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projects\FSM v24\"/>
    </mc:Choice>
  </mc:AlternateContent>
  <xr:revisionPtr revIDLastSave="0" documentId="13_ncr:1_{812E6659-E49C-40E8-8124-1FF9DC5B2A95}" xr6:coauthVersionLast="47" xr6:coauthVersionMax="47" xr10:uidLastSave="{00000000-0000-0000-0000-000000000000}"/>
  <bookViews>
    <workbookView xWindow="-98" yWindow="-98" windowWidth="19396" windowHeight="11596" xr2:uid="{84AFB811-67E8-454E-A4D2-97E0D0AF9E7F}"/>
  </bookViews>
  <sheets>
    <sheet name="PUC Calculations FY2023" sheetId="1" r:id="rId1"/>
    <sheet name="2023 MILCON Inflation Table" sheetId="2" r:id="rId2"/>
    <sheet name="Mil Cost Premiums for PUCs" sheetId="3" r:id="rId3"/>
    <sheet name="M&amp;S Selection Business Rule" sheetId="4" r:id="rId4"/>
    <sheet name="Overhead Crane Rule" sheetId="5" r:id="rId5"/>
    <sheet name="2023 Fire Sprinkler Rule" sheetId="6" r:id="rId6"/>
    <sheet name="Loading Dock Footnote" sheetId="7" r:id="rId7"/>
    <sheet name="Range Business Rules" sheetId="8" r:id="rId8"/>
  </sheets>
  <externalReferences>
    <externalReference r:id="rId9"/>
  </externalReferences>
  <definedNames>
    <definedName name="_5_6_digit" localSheetId="5">#REF!</definedName>
    <definedName name="_5_6_digit" localSheetId="1">#REF!</definedName>
    <definedName name="_5_6_digit" localSheetId="6">#REF!</definedName>
    <definedName name="_5_6_digit" localSheetId="3">#REF!</definedName>
    <definedName name="_5_6_digit" localSheetId="2">#REF!</definedName>
    <definedName name="_5_6_digit" localSheetId="4">#REF!</definedName>
    <definedName name="_5_6_digit" localSheetId="7">#REF!</definedName>
    <definedName name="_5_6_digit">#REF!</definedName>
    <definedName name="_xlnm._FilterDatabase" localSheetId="2" hidden="1">'Mil Cost Premiums for PUCs'!$A$3:$R$3</definedName>
    <definedName name="_xlnm._FilterDatabase" localSheetId="0" hidden="1">'PUC Calculations FY2023'!$M$1:$M$4588</definedName>
    <definedName name="_ftn1" localSheetId="3">'M&amp;S Selection Business Rule'!$A$16</definedName>
    <definedName name="_ftn2" localSheetId="3">'M&amp;S Selection Business Rule'!$A$17</definedName>
    <definedName name="_ftnref1" localSheetId="3">'M&amp;S Selection Business Rule'!$A$2</definedName>
    <definedName name="_ftnref2" localSheetId="3">'M&amp;S Selection Business Rule'!$F$2</definedName>
    <definedName name="del">#REF!</definedName>
    <definedName name="Ecat" localSheetId="5">#REF!</definedName>
    <definedName name="Ecat" localSheetId="1">#REF!</definedName>
    <definedName name="Ecat" localSheetId="6">#REF!</definedName>
    <definedName name="Ecat" localSheetId="3">#REF!</definedName>
    <definedName name="Ecat" localSheetId="2">#REF!</definedName>
    <definedName name="Ecat" localSheetId="4">#REF!</definedName>
    <definedName name="Ecat" localSheetId="0">#REF!</definedName>
    <definedName name="Ecat" localSheetId="7">#REF!</definedName>
    <definedName name="Ecat">#REF!</definedName>
    <definedName name="Ecat1" localSheetId="5">#REF!</definedName>
    <definedName name="Ecat1" localSheetId="1">#REF!</definedName>
    <definedName name="Ecat1" localSheetId="6">#REF!</definedName>
    <definedName name="Ecat1" localSheetId="3">#REF!</definedName>
    <definedName name="Ecat1" localSheetId="2">#REF!</definedName>
    <definedName name="Ecat1" localSheetId="4">#REF!</definedName>
    <definedName name="Ecat1" localSheetId="0">#REF!</definedName>
    <definedName name="Ecat1" localSheetId="7">#REF!</definedName>
    <definedName name="Ecat1">#REF!</definedName>
    <definedName name="ff" localSheetId="5">#REF!</definedName>
    <definedName name="ff" localSheetId="1">#REF!</definedName>
    <definedName name="ff" localSheetId="6">#REF!</definedName>
    <definedName name="ff" localSheetId="3">#REF!</definedName>
    <definedName name="ff" localSheetId="2">#REF!</definedName>
    <definedName name="ff" localSheetId="4">#REF!</definedName>
    <definedName name="ff" localSheetId="7">#REF!</definedName>
    <definedName name="ff">#REF!</definedName>
    <definedName name="MB_5_6_digit_CC_export" localSheetId="5">#REF!</definedName>
    <definedName name="MB_5_6_digit_CC_export" localSheetId="1">#REF!</definedName>
    <definedName name="MB_5_6_digit_CC_export" localSheetId="6">#REF!</definedName>
    <definedName name="MB_5_6_digit_CC_export" localSheetId="3">#REF!</definedName>
    <definedName name="MB_5_6_digit_CC_export" localSheetId="2">#REF!</definedName>
    <definedName name="MB_5_6_digit_CC_export" localSheetId="4">#REF!</definedName>
    <definedName name="MB_5_6_digit_CC_export" localSheetId="7">#REF!</definedName>
    <definedName name="MB_5_6_digit_CC_export">#REF!</definedName>
    <definedName name="MB_latestorder" localSheetId="5">#REF!</definedName>
    <definedName name="MB_latestorder" localSheetId="1">#REF!</definedName>
    <definedName name="MB_latestorder" localSheetId="6">#REF!</definedName>
    <definedName name="MB_latestorder" localSheetId="3">#REF!</definedName>
    <definedName name="MB_latestorder" localSheetId="2">#REF!</definedName>
    <definedName name="MB_latestorder" localSheetId="4">#REF!</definedName>
    <definedName name="MB_latestorder" localSheetId="7">#REF!</definedName>
    <definedName name="MB_latestorder">#REF!</definedName>
    <definedName name="NVMC_Lkup_UICs" localSheetId="5">#REF!</definedName>
    <definedName name="NVMC_Lkup_UICs" localSheetId="1">#REF!</definedName>
    <definedName name="NVMC_Lkup_UICs" localSheetId="6">#REF!</definedName>
    <definedName name="NVMC_Lkup_UICs" localSheetId="3">#REF!</definedName>
    <definedName name="NVMC_Lkup_UICs" localSheetId="2">#REF!</definedName>
    <definedName name="NVMC_Lkup_UICs" localSheetId="4">#REF!</definedName>
    <definedName name="NVMC_Lkup_UICs" localSheetId="0">#REF!</definedName>
    <definedName name="NVMC_Lkup_UICs" localSheetId="7">#REF!</definedName>
    <definedName name="NVMC_Lkup_UICs">#REF!</definedName>
    <definedName name="NVMC_lookup_UICs2" localSheetId="5">#REF!</definedName>
    <definedName name="NVMC_lookup_UICs2" localSheetId="1">#REF!</definedName>
    <definedName name="NVMC_lookup_UICs2" localSheetId="6">#REF!</definedName>
    <definedName name="NVMC_lookup_UICs2" localSheetId="3">#REF!</definedName>
    <definedName name="NVMC_lookup_UICs2" localSheetId="2">#REF!</definedName>
    <definedName name="NVMC_lookup_UICs2" localSheetId="4">#REF!</definedName>
    <definedName name="NVMC_lookup_UICs2" localSheetId="0">#REF!</definedName>
    <definedName name="NVMC_lookup_UICs2" localSheetId="7">#REF!</definedName>
    <definedName name="NVMC_lookup_UICs2">#REF!</definedName>
    <definedName name="_xlnm.Print_Area" localSheetId="1">'2023 MILCON Inflation Table'!$A$1:$F$31</definedName>
    <definedName name="_xlnm.Print_Area" localSheetId="2">'Mil Cost Premiums for PUCs'!$A$1:$R$300</definedName>
    <definedName name="_xlnm.Print_Area" localSheetId="0">'PUC Calculations FY2023'!$N$841:$S$870</definedName>
    <definedName name="PRV" localSheetId="5">#REF!</definedName>
    <definedName name="PRV" localSheetId="1">#REF!</definedName>
    <definedName name="PRV" localSheetId="6">#REF!</definedName>
    <definedName name="PRV" localSheetId="3">#REF!</definedName>
    <definedName name="PRV" localSheetId="2">'Mil Cost Premiums for PUCs'!$AS$4:$AS$544</definedName>
    <definedName name="PRV" localSheetId="4">#REF!</definedName>
    <definedName name="PRV" localSheetId="7">#REF!</definedName>
    <definedName name="PRV">#REF!</definedName>
    <definedName name="SF_FACS" localSheetId="5">#REF!</definedName>
    <definedName name="SF_FACS" localSheetId="1">#REF!</definedName>
    <definedName name="SF_FACS" localSheetId="6">#REF!</definedName>
    <definedName name="SF_FACS" localSheetId="3">#REF!</definedName>
    <definedName name="SF_FACS" localSheetId="2">#REF!</definedName>
    <definedName name="SF_FACS" localSheetId="4">#REF!</definedName>
    <definedName name="SF_FACS" localSheetId="0">#REF!</definedName>
    <definedName name="SF_FACS" localSheetId="7">#REF!</definedName>
    <definedName name="SF_FACS">#REF!</definedName>
    <definedName name="SF_FACs2" localSheetId="5">#REF!</definedName>
    <definedName name="SF_FACs2" localSheetId="1">#REF!</definedName>
    <definedName name="SF_FACs2" localSheetId="6">#REF!</definedName>
    <definedName name="SF_FACs2" localSheetId="3">#REF!</definedName>
    <definedName name="SF_FACs2" localSheetId="2">#REF!</definedName>
    <definedName name="SF_FACs2" localSheetId="4">#REF!</definedName>
    <definedName name="SF_FACs2" localSheetId="0">#REF!</definedName>
    <definedName name="SF_FACs2" localSheetId="7">#REF!</definedName>
    <definedName name="SF_FACs2">#REF!</definedName>
    <definedName name="Sort_Service" localSheetId="5">#REF!</definedName>
    <definedName name="Sort_Service" localSheetId="1">#REF!</definedName>
    <definedName name="Sort_Service" localSheetId="6">#REF!</definedName>
    <definedName name="Sort_Service" localSheetId="3">#REF!</definedName>
    <definedName name="Sort_Service" localSheetId="2">#REF!</definedName>
    <definedName name="Sort_Service" localSheetId="4">#REF!</definedName>
    <definedName name="Sort_Service" localSheetId="0">#REF!</definedName>
    <definedName name="Sort_Service" localSheetId="7">#REF!</definedName>
    <definedName name="Sort_Service">#REF!</definedName>
    <definedName name="Table_2" localSheetId="5">#REF!</definedName>
    <definedName name="Table_2" localSheetId="1">#REF!</definedName>
    <definedName name="Table_2" localSheetId="6">#REF!</definedName>
    <definedName name="Table_2" localSheetId="3">#REF!</definedName>
    <definedName name="Table_2" localSheetId="2">#REF!</definedName>
    <definedName name="Table_2" localSheetId="4">#REF!</definedName>
    <definedName name="Table_2" localSheetId="7">#REF!</definedName>
    <definedName name="Table_2">#REF!</definedName>
    <definedName name="Table_3" localSheetId="5">#REF!</definedName>
    <definedName name="Table_3" localSheetId="1">#REF!</definedName>
    <definedName name="Table_3" localSheetId="6">#REF!</definedName>
    <definedName name="Table_3" localSheetId="3">#REF!</definedName>
    <definedName name="Table_3" localSheetId="2">#REF!</definedName>
    <definedName name="Table_3" localSheetId="4">#REF!</definedName>
    <definedName name="Table_3" localSheetId="7">#REF!</definedName>
    <definedName name="Table_3">#REF!</definedName>
    <definedName name="Table_3_Legend" localSheetId="5">#REF!</definedName>
    <definedName name="Table_3_Legend" localSheetId="1">#REF!</definedName>
    <definedName name="Table_3_Legend" localSheetId="6">#REF!</definedName>
    <definedName name="Table_3_Legend" localSheetId="3">#REF!</definedName>
    <definedName name="Table_3_Legend" localSheetId="2">#REF!</definedName>
    <definedName name="Table_3_Legend" localSheetId="4">#REF!</definedName>
    <definedName name="Table_3_Legend" localSheetId="7">#REF!</definedName>
    <definedName name="Table_3_Legend">#REF!</definedName>
    <definedName name="Table_4_1C" localSheetId="5">#REF!</definedName>
    <definedName name="Table_4_1C" localSheetId="1">#REF!</definedName>
    <definedName name="Table_4_1C" localSheetId="6">#REF!</definedName>
    <definedName name="Table_4_1C" localSheetId="3">#REF!</definedName>
    <definedName name="Table_4_1C" localSheetId="2">#REF!</definedName>
    <definedName name="Table_4_1C" localSheetId="4">#REF!</definedName>
    <definedName name="Table_4_1C" localSheetId="7">#REF!</definedName>
    <definedName name="Table_4_1C">#REF!</definedName>
    <definedName name="Table_4_1O" localSheetId="5">#REF!</definedName>
    <definedName name="Table_4_1O" localSheetId="1">#REF!</definedName>
    <definedName name="Table_4_1O" localSheetId="6">#REF!</definedName>
    <definedName name="Table_4_1O" localSheetId="3">#REF!</definedName>
    <definedName name="Table_4_1O" localSheetId="2">#REF!</definedName>
    <definedName name="Table_4_1O" localSheetId="4">#REF!</definedName>
    <definedName name="Table_4_1O" localSheetId="7">#REF!</definedName>
    <definedName name="Table_4_1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8" i="3" l="1"/>
  <c r="R278" i="3" s="1"/>
  <c r="Q277" i="3"/>
  <c r="P277" i="3"/>
  <c r="R277" i="3" s="1"/>
  <c r="F277" i="3"/>
  <c r="R276" i="3"/>
  <c r="Q276" i="3"/>
  <c r="P276" i="3"/>
  <c r="F276" i="3"/>
  <c r="Q275" i="3"/>
  <c r="R275" i="3" s="1"/>
  <c r="P275" i="3"/>
  <c r="F275" i="3"/>
  <c r="R274" i="3"/>
  <c r="F274" i="3"/>
  <c r="R273" i="3"/>
  <c r="F273" i="3"/>
  <c r="F272" i="3"/>
  <c r="R272" i="3" s="1"/>
  <c r="N271" i="3"/>
  <c r="G271" i="3"/>
  <c r="F271" i="3"/>
  <c r="R271" i="3" s="1"/>
  <c r="N270" i="3"/>
  <c r="F270" i="3"/>
  <c r="R270" i="3" s="1"/>
  <c r="N269" i="3"/>
  <c r="F269" i="3"/>
  <c r="R269" i="3" s="1"/>
  <c r="F268" i="3"/>
  <c r="R268" i="3" s="1"/>
  <c r="Q267" i="3"/>
  <c r="P267" i="3"/>
  <c r="G267" i="3"/>
  <c r="F267" i="3"/>
  <c r="R267" i="3" s="1"/>
  <c r="Q266" i="3"/>
  <c r="P266" i="3"/>
  <c r="N266" i="3"/>
  <c r="R266" i="3" s="1"/>
  <c r="J266" i="3"/>
  <c r="H266" i="3"/>
  <c r="G266" i="3"/>
  <c r="F266" i="3"/>
  <c r="R265" i="3"/>
  <c r="Q264" i="3"/>
  <c r="R264" i="3" s="1"/>
  <c r="P264" i="3"/>
  <c r="F264" i="3"/>
  <c r="Q263" i="3"/>
  <c r="P263" i="3"/>
  <c r="R263" i="3" s="1"/>
  <c r="F263" i="3"/>
  <c r="Q262" i="3"/>
  <c r="R262" i="3" s="1"/>
  <c r="P262" i="3"/>
  <c r="F262" i="3"/>
  <c r="G261" i="3"/>
  <c r="R261" i="3" s="1"/>
  <c r="F261" i="3"/>
  <c r="R260" i="3"/>
  <c r="G260" i="3"/>
  <c r="F260" i="3"/>
  <c r="R259" i="3"/>
  <c r="F259" i="3"/>
  <c r="F258" i="3"/>
  <c r="R258" i="3" s="1"/>
  <c r="Q257" i="3"/>
  <c r="P257" i="3"/>
  <c r="F257" i="3"/>
  <c r="R257" i="3" s="1"/>
  <c r="Q256" i="3"/>
  <c r="P256" i="3"/>
  <c r="R256" i="3" s="1"/>
  <c r="F256" i="3"/>
  <c r="R255" i="3"/>
  <c r="Q255" i="3"/>
  <c r="P255" i="3"/>
  <c r="G255" i="3"/>
  <c r="F255" i="3"/>
  <c r="Q254" i="3"/>
  <c r="P254" i="3"/>
  <c r="G254" i="3"/>
  <c r="F254" i="3"/>
  <c r="R254" i="3" s="1"/>
  <c r="Q253" i="3"/>
  <c r="P253" i="3"/>
  <c r="R253" i="3" s="1"/>
  <c r="F253" i="3"/>
  <c r="Q252" i="3"/>
  <c r="R252" i="3" s="1"/>
  <c r="P252" i="3"/>
  <c r="F252" i="3"/>
  <c r="Q251" i="3"/>
  <c r="R251" i="3" s="1"/>
  <c r="P251" i="3"/>
  <c r="F251" i="3"/>
  <c r="R250" i="3"/>
  <c r="F250" i="3"/>
  <c r="R249" i="3"/>
  <c r="Q249" i="3"/>
  <c r="P249" i="3"/>
  <c r="G249" i="3"/>
  <c r="F249" i="3"/>
  <c r="F248" i="3"/>
  <c r="R248" i="3" s="1"/>
  <c r="R247" i="3"/>
  <c r="Q247" i="3"/>
  <c r="P247" i="3"/>
  <c r="G247" i="3"/>
  <c r="F247" i="3"/>
  <c r="R246" i="3"/>
  <c r="Q246" i="3"/>
  <c r="P246" i="3"/>
  <c r="G246" i="3"/>
  <c r="F246" i="3"/>
  <c r="Q245" i="3"/>
  <c r="P245" i="3"/>
  <c r="G245" i="3"/>
  <c r="F245" i="3"/>
  <c r="R245" i="3" s="1"/>
  <c r="Q244" i="3"/>
  <c r="P244" i="3"/>
  <c r="R244" i="3" s="1"/>
  <c r="G244" i="3"/>
  <c r="F244" i="3"/>
  <c r="Q243" i="3"/>
  <c r="P243" i="3"/>
  <c r="F243" i="3"/>
  <c r="R243" i="3" s="1"/>
  <c r="R242" i="3"/>
  <c r="Q242" i="3"/>
  <c r="P242" i="3"/>
  <c r="F242" i="3"/>
  <c r="Q241" i="3"/>
  <c r="P241" i="3"/>
  <c r="R241" i="3" s="1"/>
  <c r="F241" i="3"/>
  <c r="Q240" i="3"/>
  <c r="P240" i="3"/>
  <c r="F240" i="3"/>
  <c r="R240" i="3" s="1"/>
  <c r="R239" i="3"/>
  <c r="Q239" i="3"/>
  <c r="P239" i="3"/>
  <c r="G239" i="3"/>
  <c r="F239" i="3"/>
  <c r="R238" i="3"/>
  <c r="F238" i="3"/>
  <c r="Q237" i="3"/>
  <c r="R237" i="3" s="1"/>
  <c r="P237" i="3"/>
  <c r="F237" i="3"/>
  <c r="Q236" i="3"/>
  <c r="R236" i="3" s="1"/>
  <c r="P236" i="3"/>
  <c r="G236" i="3"/>
  <c r="F236" i="3"/>
  <c r="Q235" i="3"/>
  <c r="P235" i="3"/>
  <c r="G235" i="3"/>
  <c r="F235" i="3"/>
  <c r="R235" i="3" s="1"/>
  <c r="Q234" i="3"/>
  <c r="P234" i="3"/>
  <c r="G234" i="3"/>
  <c r="F234" i="3"/>
  <c r="R234" i="3" s="1"/>
  <c r="Q233" i="3"/>
  <c r="P233" i="3"/>
  <c r="G233" i="3"/>
  <c r="R233" i="3" s="1"/>
  <c r="F233" i="3"/>
  <c r="G232" i="3"/>
  <c r="R232" i="3" s="1"/>
  <c r="F232" i="3"/>
  <c r="Q231" i="3"/>
  <c r="P231" i="3"/>
  <c r="F231" i="3"/>
  <c r="R231" i="3" s="1"/>
  <c r="Q230" i="3"/>
  <c r="P230" i="3"/>
  <c r="F230" i="3"/>
  <c r="R230" i="3" s="1"/>
  <c r="R229" i="3"/>
  <c r="Q229" i="3"/>
  <c r="P229" i="3"/>
  <c r="F229" i="3"/>
  <c r="Q228" i="3"/>
  <c r="P228" i="3"/>
  <c r="G228" i="3"/>
  <c r="F228" i="3"/>
  <c r="R228" i="3" s="1"/>
  <c r="Q227" i="3"/>
  <c r="P227" i="3"/>
  <c r="R227" i="3" s="1"/>
  <c r="G227" i="3"/>
  <c r="F227" i="3"/>
  <c r="Q226" i="3"/>
  <c r="P226" i="3"/>
  <c r="G226" i="3"/>
  <c r="F226" i="3"/>
  <c r="R226" i="3" s="1"/>
  <c r="Q225" i="3"/>
  <c r="P225" i="3"/>
  <c r="R225" i="3" s="1"/>
  <c r="F225" i="3"/>
  <c r="R224" i="3"/>
  <c r="Q224" i="3"/>
  <c r="P224" i="3"/>
  <c r="F224" i="3"/>
  <c r="Q223" i="3"/>
  <c r="P223" i="3"/>
  <c r="F223" i="3"/>
  <c r="R223" i="3" s="1"/>
  <c r="Q222" i="3"/>
  <c r="P222" i="3"/>
  <c r="R222" i="3" s="1"/>
  <c r="F222" i="3"/>
  <c r="R221" i="3"/>
  <c r="Q221" i="3"/>
  <c r="P221" i="3"/>
  <c r="F221" i="3"/>
  <c r="Q220" i="3"/>
  <c r="P220" i="3"/>
  <c r="F220" i="3"/>
  <c r="R220" i="3" s="1"/>
  <c r="Q219" i="3"/>
  <c r="P219" i="3"/>
  <c r="R219" i="3" s="1"/>
  <c r="F219" i="3"/>
  <c r="R218" i="3"/>
  <c r="Q218" i="3"/>
  <c r="P218" i="3"/>
  <c r="F218" i="3"/>
  <c r="Q217" i="3"/>
  <c r="P217" i="3"/>
  <c r="F217" i="3"/>
  <c r="R217" i="3" s="1"/>
  <c r="Q216" i="3"/>
  <c r="P216" i="3"/>
  <c r="G216" i="3"/>
  <c r="F216" i="3"/>
  <c r="R216" i="3" s="1"/>
  <c r="R215" i="3"/>
  <c r="Q215" i="3"/>
  <c r="P215" i="3"/>
  <c r="G215" i="3"/>
  <c r="F215" i="3"/>
  <c r="Q214" i="3"/>
  <c r="R214" i="3" s="1"/>
  <c r="P214" i="3"/>
  <c r="G214" i="3"/>
  <c r="F214" i="3"/>
  <c r="Q213" i="3"/>
  <c r="P213" i="3"/>
  <c r="R213" i="3" s="1"/>
  <c r="F213" i="3"/>
  <c r="Q212" i="3"/>
  <c r="P212" i="3"/>
  <c r="G212" i="3"/>
  <c r="F212" i="3"/>
  <c r="R212" i="3" s="1"/>
  <c r="Q211" i="3"/>
  <c r="P211" i="3"/>
  <c r="G211" i="3"/>
  <c r="F211" i="3"/>
  <c r="R211" i="3" s="1"/>
  <c r="Q210" i="3"/>
  <c r="P210" i="3"/>
  <c r="O210" i="3"/>
  <c r="N210" i="3"/>
  <c r="M210" i="3"/>
  <c r="L210" i="3"/>
  <c r="K210" i="3"/>
  <c r="J210" i="3"/>
  <c r="I210" i="3"/>
  <c r="H210" i="3"/>
  <c r="G210" i="3"/>
  <c r="F210" i="3"/>
  <c r="R210" i="3" s="1"/>
  <c r="E210" i="3"/>
  <c r="R209" i="3"/>
  <c r="G209" i="3"/>
  <c r="F209" i="3"/>
  <c r="G208" i="3"/>
  <c r="R208" i="3" s="1"/>
  <c r="F208" i="3"/>
  <c r="R207" i="3"/>
  <c r="G207" i="3"/>
  <c r="F207" i="3"/>
  <c r="R206" i="3"/>
  <c r="F206" i="3"/>
  <c r="Q205" i="3"/>
  <c r="P205" i="3"/>
  <c r="G205" i="3"/>
  <c r="F205" i="3"/>
  <c r="R205" i="3" s="1"/>
  <c r="R204" i="3"/>
  <c r="G204" i="3"/>
  <c r="F204" i="3"/>
  <c r="R203" i="3"/>
  <c r="F203" i="3"/>
  <c r="R202" i="3"/>
  <c r="Q202" i="3"/>
  <c r="P202" i="3"/>
  <c r="G202" i="3"/>
  <c r="F202" i="3"/>
  <c r="F201" i="3"/>
  <c r="R201" i="3" s="1"/>
  <c r="R200" i="3"/>
  <c r="F200" i="3"/>
  <c r="Q199" i="3"/>
  <c r="P199" i="3"/>
  <c r="F199" i="3"/>
  <c r="R199" i="3" s="1"/>
  <c r="R198" i="3"/>
  <c r="Q198" i="3"/>
  <c r="P198" i="3"/>
  <c r="G198" i="3"/>
  <c r="F198" i="3"/>
  <c r="Q197" i="3"/>
  <c r="R197" i="3" s="1"/>
  <c r="P197" i="3"/>
  <c r="G197" i="3"/>
  <c r="F197" i="3"/>
  <c r="Q196" i="3"/>
  <c r="P196" i="3"/>
  <c r="N196" i="3"/>
  <c r="L196" i="3"/>
  <c r="R196" i="3" s="1"/>
  <c r="G196" i="3"/>
  <c r="F196" i="3"/>
  <c r="Q195" i="3"/>
  <c r="P195" i="3"/>
  <c r="O195" i="3"/>
  <c r="N195" i="3"/>
  <c r="M195" i="3"/>
  <c r="L195" i="3"/>
  <c r="K195" i="3"/>
  <c r="J195" i="3"/>
  <c r="I195" i="3"/>
  <c r="H195" i="3"/>
  <c r="G195" i="3"/>
  <c r="F195" i="3"/>
  <c r="E195" i="3"/>
  <c r="R195" i="3" s="1"/>
  <c r="Q194" i="3"/>
  <c r="P194" i="3"/>
  <c r="N194" i="3"/>
  <c r="L194" i="3"/>
  <c r="G194" i="3"/>
  <c r="R194" i="3" s="1"/>
  <c r="F194" i="3"/>
  <c r="R193" i="3"/>
  <c r="F193" i="3"/>
  <c r="F192" i="3"/>
  <c r="R192" i="3" s="1"/>
  <c r="R191" i="3"/>
  <c r="F191" i="3"/>
  <c r="J190" i="3"/>
  <c r="I190" i="3"/>
  <c r="H190" i="3"/>
  <c r="R190" i="3" s="1"/>
  <c r="F190" i="3"/>
  <c r="Q189" i="3"/>
  <c r="P189" i="3"/>
  <c r="N189" i="3"/>
  <c r="J189" i="3"/>
  <c r="G189" i="3"/>
  <c r="F189" i="3"/>
  <c r="R189" i="3" s="1"/>
  <c r="Q187" i="3"/>
  <c r="P187" i="3"/>
  <c r="O187" i="3"/>
  <c r="N187" i="3"/>
  <c r="M187" i="3"/>
  <c r="K187" i="3"/>
  <c r="J187" i="3"/>
  <c r="I187" i="3"/>
  <c r="H187" i="3"/>
  <c r="G187" i="3"/>
  <c r="F187" i="3"/>
  <c r="E187" i="3"/>
  <c r="R187" i="3" s="1"/>
  <c r="Q186" i="3"/>
  <c r="P186" i="3"/>
  <c r="O186" i="3"/>
  <c r="N186" i="3"/>
  <c r="L186" i="3"/>
  <c r="J186" i="3"/>
  <c r="I186" i="3"/>
  <c r="H186" i="3"/>
  <c r="G186" i="3"/>
  <c r="R186" i="3" s="1"/>
  <c r="F186" i="3"/>
  <c r="Q185" i="3"/>
  <c r="P185" i="3"/>
  <c r="O185" i="3"/>
  <c r="N185" i="3"/>
  <c r="J185" i="3"/>
  <c r="I185" i="3"/>
  <c r="H185" i="3"/>
  <c r="G185" i="3"/>
  <c r="F185" i="3"/>
  <c r="R185" i="3" s="1"/>
  <c r="R184" i="3"/>
  <c r="Q184" i="3"/>
  <c r="P184" i="3"/>
  <c r="O184" i="3"/>
  <c r="N184" i="3"/>
  <c r="M184" i="3"/>
  <c r="L184" i="3"/>
  <c r="J184" i="3"/>
  <c r="I184" i="3"/>
  <c r="H184" i="3"/>
  <c r="G184" i="3"/>
  <c r="F184" i="3"/>
  <c r="E184" i="3"/>
  <c r="Q183" i="3"/>
  <c r="P183" i="3"/>
  <c r="O183" i="3"/>
  <c r="N183" i="3"/>
  <c r="M183" i="3"/>
  <c r="L183" i="3"/>
  <c r="K183" i="3"/>
  <c r="J183" i="3"/>
  <c r="I183" i="3"/>
  <c r="H183" i="3"/>
  <c r="G183" i="3"/>
  <c r="F183" i="3"/>
  <c r="E183" i="3"/>
  <c r="R183" i="3" s="1"/>
  <c r="Q182" i="3"/>
  <c r="P182" i="3"/>
  <c r="O182" i="3"/>
  <c r="N182" i="3"/>
  <c r="M182" i="3"/>
  <c r="J182" i="3"/>
  <c r="I182" i="3"/>
  <c r="H182" i="3"/>
  <c r="G182" i="3"/>
  <c r="F182" i="3"/>
  <c r="E182" i="3"/>
  <c r="R182" i="3" s="1"/>
  <c r="O181" i="3"/>
  <c r="N181" i="3"/>
  <c r="M181" i="3"/>
  <c r="L181" i="3"/>
  <c r="K181" i="3"/>
  <c r="J181" i="3"/>
  <c r="I181" i="3"/>
  <c r="H181" i="3"/>
  <c r="G181" i="3"/>
  <c r="F181" i="3"/>
  <c r="E181" i="3"/>
  <c r="R181" i="3" s="1"/>
  <c r="Q180" i="3"/>
  <c r="P180" i="3"/>
  <c r="O180" i="3"/>
  <c r="N180" i="3"/>
  <c r="M180" i="3"/>
  <c r="L180" i="3"/>
  <c r="K180" i="3"/>
  <c r="J180" i="3"/>
  <c r="I180" i="3"/>
  <c r="H180" i="3"/>
  <c r="G180" i="3"/>
  <c r="F180" i="3"/>
  <c r="R180" i="3" s="1"/>
  <c r="E180" i="3"/>
  <c r="R179" i="3"/>
  <c r="H179" i="3"/>
  <c r="F179" i="3"/>
  <c r="R178" i="3"/>
  <c r="F178" i="3"/>
  <c r="F176" i="3"/>
  <c r="R176" i="3" s="1"/>
  <c r="R175" i="3"/>
  <c r="Q175" i="3"/>
  <c r="P175" i="3"/>
  <c r="O175" i="3"/>
  <c r="N175" i="3"/>
  <c r="M175" i="3"/>
  <c r="L175" i="3"/>
  <c r="K175" i="3"/>
  <c r="J175" i="3"/>
  <c r="I175" i="3"/>
  <c r="H175" i="3"/>
  <c r="G175" i="3"/>
  <c r="F175" i="3"/>
  <c r="E175" i="3"/>
  <c r="R174" i="3"/>
  <c r="N174" i="3"/>
  <c r="L174" i="3"/>
  <c r="F174" i="3"/>
  <c r="E174" i="3"/>
  <c r="F173" i="3"/>
  <c r="R173" i="3" s="1"/>
  <c r="F172" i="3"/>
  <c r="R172" i="3" s="1"/>
  <c r="F171" i="3"/>
  <c r="R171" i="3" s="1"/>
  <c r="Q170" i="3"/>
  <c r="P170" i="3"/>
  <c r="O170" i="3"/>
  <c r="N170" i="3"/>
  <c r="M170" i="3"/>
  <c r="L170" i="3"/>
  <c r="K170" i="3"/>
  <c r="J170" i="3"/>
  <c r="I170" i="3"/>
  <c r="H170" i="3"/>
  <c r="G170" i="3"/>
  <c r="F170" i="3"/>
  <c r="E170" i="3"/>
  <c r="R170" i="3" s="1"/>
  <c r="Q169" i="3"/>
  <c r="P169" i="3"/>
  <c r="N169" i="3"/>
  <c r="M169" i="3"/>
  <c r="L169" i="3"/>
  <c r="K169" i="3"/>
  <c r="J169" i="3"/>
  <c r="I169" i="3"/>
  <c r="H169" i="3"/>
  <c r="G169" i="3"/>
  <c r="F169" i="3"/>
  <c r="E169" i="3"/>
  <c r="R169" i="3" s="1"/>
  <c r="F168" i="3"/>
  <c r="R168" i="3" s="1"/>
  <c r="Q167" i="3"/>
  <c r="P167" i="3"/>
  <c r="O167" i="3"/>
  <c r="N167" i="3"/>
  <c r="M167" i="3"/>
  <c r="L167" i="3"/>
  <c r="K167" i="3"/>
  <c r="G167" i="3"/>
  <c r="F167" i="3"/>
  <c r="R167" i="3" s="1"/>
  <c r="E167" i="3"/>
  <c r="Q166" i="3"/>
  <c r="P166" i="3"/>
  <c r="O166" i="3"/>
  <c r="N166" i="3"/>
  <c r="M166" i="3"/>
  <c r="L166" i="3"/>
  <c r="K166" i="3"/>
  <c r="J166" i="3"/>
  <c r="I166" i="3"/>
  <c r="H166" i="3"/>
  <c r="G166" i="3"/>
  <c r="F166" i="3"/>
  <c r="R166" i="3" s="1"/>
  <c r="E166" i="3"/>
  <c r="Q165" i="3"/>
  <c r="P165" i="3"/>
  <c r="N165" i="3"/>
  <c r="L165" i="3"/>
  <c r="F165" i="3"/>
  <c r="R165" i="3" s="1"/>
  <c r="Q164" i="3"/>
  <c r="P164" i="3"/>
  <c r="O164" i="3"/>
  <c r="N164" i="3"/>
  <c r="M164" i="3"/>
  <c r="L164" i="3"/>
  <c r="J164" i="3"/>
  <c r="I164" i="3"/>
  <c r="H164" i="3"/>
  <c r="G164" i="3"/>
  <c r="F164" i="3"/>
  <c r="E164" i="3"/>
  <c r="R164" i="3" s="1"/>
  <c r="R163" i="3"/>
  <c r="Q163" i="3"/>
  <c r="P163" i="3"/>
  <c r="N163" i="3"/>
  <c r="L163" i="3"/>
  <c r="F163" i="3"/>
  <c r="Q162" i="3"/>
  <c r="P162" i="3"/>
  <c r="O162" i="3"/>
  <c r="N162" i="3"/>
  <c r="M162" i="3"/>
  <c r="K162" i="3"/>
  <c r="J162" i="3"/>
  <c r="I162" i="3"/>
  <c r="H162" i="3"/>
  <c r="G162" i="3"/>
  <c r="F162" i="3"/>
  <c r="E162" i="3"/>
  <c r="R162" i="3" s="1"/>
  <c r="Q161" i="3"/>
  <c r="P161" i="3"/>
  <c r="N161" i="3"/>
  <c r="M161" i="3"/>
  <c r="L161" i="3"/>
  <c r="K161" i="3"/>
  <c r="J161" i="3"/>
  <c r="I161" i="3"/>
  <c r="H161" i="3"/>
  <c r="G161" i="3"/>
  <c r="F161" i="3"/>
  <c r="R161" i="3" s="1"/>
  <c r="Q160" i="3"/>
  <c r="P160" i="3"/>
  <c r="N160" i="3"/>
  <c r="J160" i="3"/>
  <c r="I160" i="3"/>
  <c r="H160" i="3"/>
  <c r="G160" i="3"/>
  <c r="F160" i="3"/>
  <c r="R160" i="3" s="1"/>
  <c r="Q159" i="3"/>
  <c r="P159" i="3"/>
  <c r="O159" i="3"/>
  <c r="N159" i="3"/>
  <c r="M159" i="3"/>
  <c r="L159" i="3"/>
  <c r="K159" i="3"/>
  <c r="J159" i="3"/>
  <c r="I159" i="3"/>
  <c r="H159" i="3"/>
  <c r="G159" i="3"/>
  <c r="F159" i="3"/>
  <c r="R159" i="3" s="1"/>
  <c r="E159" i="3"/>
  <c r="Q158" i="3"/>
  <c r="P158" i="3"/>
  <c r="N158" i="3"/>
  <c r="M158" i="3"/>
  <c r="L158" i="3"/>
  <c r="F158" i="3"/>
  <c r="R158" i="3" s="1"/>
  <c r="Q157" i="3"/>
  <c r="P157" i="3"/>
  <c r="R157" i="3" s="1"/>
  <c r="N157" i="3"/>
  <c r="J157" i="3"/>
  <c r="I157" i="3"/>
  <c r="H157" i="3"/>
  <c r="F157" i="3"/>
  <c r="N156" i="3"/>
  <c r="R156" i="3" s="1"/>
  <c r="J156" i="3"/>
  <c r="F156" i="3"/>
  <c r="Q155" i="3"/>
  <c r="P155" i="3"/>
  <c r="O155" i="3"/>
  <c r="N155" i="3"/>
  <c r="M155" i="3"/>
  <c r="L155" i="3"/>
  <c r="K155" i="3"/>
  <c r="J155" i="3"/>
  <c r="I155" i="3"/>
  <c r="H155" i="3"/>
  <c r="G155" i="3"/>
  <c r="F155" i="3"/>
  <c r="R155" i="3" s="1"/>
  <c r="E155" i="3"/>
  <c r="Q154" i="3"/>
  <c r="P154" i="3"/>
  <c r="O154" i="3"/>
  <c r="N154" i="3"/>
  <c r="M154" i="3"/>
  <c r="L154" i="3"/>
  <c r="K154" i="3"/>
  <c r="R154" i="3" s="1"/>
  <c r="J154" i="3"/>
  <c r="G154" i="3"/>
  <c r="F154" i="3"/>
  <c r="E154" i="3"/>
  <c r="R153" i="3"/>
  <c r="F153" i="3"/>
  <c r="Q152" i="3"/>
  <c r="P152" i="3"/>
  <c r="N152" i="3"/>
  <c r="M152" i="3"/>
  <c r="L152" i="3"/>
  <c r="J152" i="3"/>
  <c r="I152" i="3"/>
  <c r="H152" i="3"/>
  <c r="G152" i="3"/>
  <c r="F152" i="3"/>
  <c r="R152" i="3" s="1"/>
  <c r="Q151" i="3"/>
  <c r="P151" i="3"/>
  <c r="N151" i="3"/>
  <c r="M151" i="3"/>
  <c r="L151" i="3"/>
  <c r="J151" i="3"/>
  <c r="I151" i="3"/>
  <c r="H151" i="3"/>
  <c r="G151" i="3"/>
  <c r="R151" i="3" s="1"/>
  <c r="F151" i="3"/>
  <c r="Q150" i="3"/>
  <c r="P150" i="3"/>
  <c r="O150" i="3"/>
  <c r="N150" i="3"/>
  <c r="M150" i="3"/>
  <c r="L150" i="3"/>
  <c r="K150" i="3"/>
  <c r="J150" i="3"/>
  <c r="I150" i="3"/>
  <c r="H150" i="3"/>
  <c r="G150" i="3"/>
  <c r="F150" i="3"/>
  <c r="R150" i="3" s="1"/>
  <c r="E150" i="3"/>
  <c r="Q149" i="3"/>
  <c r="P149" i="3"/>
  <c r="O149" i="3"/>
  <c r="N149" i="3"/>
  <c r="M149" i="3"/>
  <c r="L149" i="3"/>
  <c r="K149" i="3"/>
  <c r="J149" i="3"/>
  <c r="I149" i="3"/>
  <c r="H149" i="3"/>
  <c r="G149" i="3"/>
  <c r="F149" i="3"/>
  <c r="E149" i="3"/>
  <c r="R149" i="3" s="1"/>
  <c r="Q148" i="3"/>
  <c r="P148" i="3"/>
  <c r="O148" i="3"/>
  <c r="N148" i="3"/>
  <c r="M148" i="3"/>
  <c r="L148" i="3"/>
  <c r="K148" i="3"/>
  <c r="J148" i="3"/>
  <c r="I148" i="3"/>
  <c r="H148" i="3"/>
  <c r="G148" i="3"/>
  <c r="F148" i="3"/>
  <c r="R148" i="3" s="1"/>
  <c r="E148" i="3"/>
  <c r="Q147" i="3"/>
  <c r="P147" i="3"/>
  <c r="O147" i="3"/>
  <c r="N147" i="3"/>
  <c r="M147" i="3"/>
  <c r="L147" i="3"/>
  <c r="K147" i="3"/>
  <c r="J147" i="3"/>
  <c r="I147" i="3"/>
  <c r="H147" i="3"/>
  <c r="G147" i="3"/>
  <c r="F147" i="3"/>
  <c r="E147" i="3"/>
  <c r="R147" i="3" s="1"/>
  <c r="Q146" i="3"/>
  <c r="P146" i="3"/>
  <c r="O146" i="3"/>
  <c r="N146" i="3"/>
  <c r="M146" i="3"/>
  <c r="L146" i="3"/>
  <c r="K146" i="3"/>
  <c r="J146" i="3"/>
  <c r="I146" i="3"/>
  <c r="H146" i="3"/>
  <c r="G146" i="3"/>
  <c r="F146" i="3"/>
  <c r="E146" i="3"/>
  <c r="R146" i="3" s="1"/>
  <c r="Q145" i="3"/>
  <c r="P145" i="3"/>
  <c r="O145" i="3"/>
  <c r="N145" i="3"/>
  <c r="M145" i="3"/>
  <c r="L145" i="3"/>
  <c r="K145" i="3"/>
  <c r="J145" i="3"/>
  <c r="I145" i="3"/>
  <c r="H145" i="3"/>
  <c r="G145" i="3"/>
  <c r="F145" i="3"/>
  <c r="R145" i="3" s="1"/>
  <c r="E145" i="3"/>
  <c r="R144" i="3"/>
  <c r="Q144" i="3"/>
  <c r="P144" i="3"/>
  <c r="F144" i="3"/>
  <c r="R143" i="3"/>
  <c r="F143" i="3"/>
  <c r="Q142" i="3"/>
  <c r="R142" i="3" s="1"/>
  <c r="P142" i="3"/>
  <c r="N142" i="3"/>
  <c r="L142" i="3"/>
  <c r="K142" i="3"/>
  <c r="G142" i="3"/>
  <c r="F142" i="3"/>
  <c r="J141" i="3"/>
  <c r="H141" i="3"/>
  <c r="G141" i="3"/>
  <c r="F141" i="3"/>
  <c r="R141" i="3" s="1"/>
  <c r="R140" i="3"/>
  <c r="Q140" i="3"/>
  <c r="P140" i="3"/>
  <c r="H140" i="3"/>
  <c r="F140" i="3"/>
  <c r="R139" i="3"/>
  <c r="Q139" i="3"/>
  <c r="M139" i="3"/>
  <c r="G139" i="3"/>
  <c r="F139" i="3"/>
  <c r="E139" i="3"/>
  <c r="Q138" i="3"/>
  <c r="P138" i="3"/>
  <c r="O138" i="3"/>
  <c r="N138" i="3"/>
  <c r="M138" i="3"/>
  <c r="L138" i="3"/>
  <c r="K138" i="3"/>
  <c r="J138" i="3"/>
  <c r="I138" i="3"/>
  <c r="H138" i="3"/>
  <c r="G138" i="3"/>
  <c r="F138" i="3"/>
  <c r="E138" i="3"/>
  <c r="R138" i="3" s="1"/>
  <c r="Q137" i="3"/>
  <c r="P137" i="3"/>
  <c r="R137" i="3" s="1"/>
  <c r="F137" i="3"/>
  <c r="R136" i="3"/>
  <c r="F136" i="3"/>
  <c r="F135" i="3"/>
  <c r="R135" i="3" s="1"/>
  <c r="R134" i="3"/>
  <c r="F134" i="3"/>
  <c r="Q133" i="3"/>
  <c r="R133" i="3" s="1"/>
  <c r="P133" i="3"/>
  <c r="F133" i="3"/>
  <c r="R132" i="3"/>
  <c r="F132" i="3"/>
  <c r="R131" i="3"/>
  <c r="F131" i="3"/>
  <c r="F130" i="3"/>
  <c r="R130" i="3" s="1"/>
  <c r="Q129" i="3"/>
  <c r="P129" i="3"/>
  <c r="O129" i="3"/>
  <c r="N129" i="3"/>
  <c r="M129" i="3"/>
  <c r="L129" i="3"/>
  <c r="K129" i="3"/>
  <c r="J129" i="3"/>
  <c r="I129" i="3"/>
  <c r="H129" i="3"/>
  <c r="G129" i="3"/>
  <c r="F129" i="3"/>
  <c r="R129" i="3" s="1"/>
  <c r="E129" i="3"/>
  <c r="Q128" i="3"/>
  <c r="R128" i="3" s="1"/>
  <c r="P128" i="3"/>
  <c r="O128" i="3"/>
  <c r="J128" i="3"/>
  <c r="I128" i="3"/>
  <c r="H128" i="3"/>
  <c r="G128" i="3"/>
  <c r="F128" i="3"/>
  <c r="Q127" i="3"/>
  <c r="P127" i="3"/>
  <c r="G127" i="3"/>
  <c r="F127" i="3"/>
  <c r="R127" i="3" s="1"/>
  <c r="Q126" i="3"/>
  <c r="P126" i="3"/>
  <c r="O126" i="3"/>
  <c r="N126" i="3"/>
  <c r="M126" i="3"/>
  <c r="L126" i="3"/>
  <c r="J126" i="3"/>
  <c r="I126" i="3"/>
  <c r="H126" i="3"/>
  <c r="G126" i="3"/>
  <c r="F126" i="3"/>
  <c r="E126" i="3"/>
  <c r="R126" i="3" s="1"/>
  <c r="Q125" i="3"/>
  <c r="P125" i="3"/>
  <c r="O125" i="3"/>
  <c r="N125" i="3"/>
  <c r="M125" i="3"/>
  <c r="L125" i="3"/>
  <c r="K125" i="3"/>
  <c r="J125" i="3"/>
  <c r="I125" i="3"/>
  <c r="H125" i="3"/>
  <c r="G125" i="3"/>
  <c r="F125" i="3"/>
  <c r="R125" i="3" s="1"/>
  <c r="E125" i="3"/>
  <c r="Q124" i="3"/>
  <c r="P124" i="3"/>
  <c r="O124" i="3"/>
  <c r="N124" i="3"/>
  <c r="M124" i="3"/>
  <c r="L124" i="3"/>
  <c r="K124" i="3"/>
  <c r="J124" i="3"/>
  <c r="I124" i="3"/>
  <c r="H124" i="3"/>
  <c r="G124" i="3"/>
  <c r="F124" i="3"/>
  <c r="E124" i="3"/>
  <c r="R124" i="3" s="1"/>
  <c r="Q123" i="3"/>
  <c r="P123" i="3"/>
  <c r="O123" i="3"/>
  <c r="N123" i="3"/>
  <c r="M123" i="3"/>
  <c r="L123" i="3"/>
  <c r="K123" i="3"/>
  <c r="J123" i="3"/>
  <c r="I123" i="3"/>
  <c r="H123" i="3"/>
  <c r="G123" i="3"/>
  <c r="F123" i="3"/>
  <c r="R123" i="3" s="1"/>
  <c r="E123" i="3"/>
  <c r="Q122" i="3"/>
  <c r="P122" i="3"/>
  <c r="F122" i="3"/>
  <c r="R122" i="3" s="1"/>
  <c r="R121" i="3"/>
  <c r="Q121" i="3"/>
  <c r="P121" i="3"/>
  <c r="F121" i="3"/>
  <c r="Q120" i="3"/>
  <c r="P120" i="3"/>
  <c r="N120" i="3"/>
  <c r="M120" i="3"/>
  <c r="R120" i="3" s="1"/>
  <c r="J120" i="3"/>
  <c r="F120" i="3"/>
  <c r="Q119" i="3"/>
  <c r="R119" i="3" s="1"/>
  <c r="P119" i="3"/>
  <c r="F119" i="3"/>
  <c r="Q118" i="3"/>
  <c r="P118" i="3"/>
  <c r="R118" i="3" s="1"/>
  <c r="J118" i="3"/>
  <c r="G118" i="3"/>
  <c r="F118" i="3"/>
  <c r="Q117" i="3"/>
  <c r="P117" i="3"/>
  <c r="N117" i="3"/>
  <c r="M117" i="3"/>
  <c r="J117" i="3"/>
  <c r="I117" i="3"/>
  <c r="H117" i="3"/>
  <c r="G117" i="3"/>
  <c r="F117" i="3"/>
  <c r="R117" i="3" s="1"/>
  <c r="Q116" i="3"/>
  <c r="P116" i="3"/>
  <c r="N116" i="3"/>
  <c r="M116" i="3"/>
  <c r="J116" i="3"/>
  <c r="I116" i="3"/>
  <c r="H116" i="3"/>
  <c r="G116" i="3"/>
  <c r="R116" i="3" s="1"/>
  <c r="F116" i="3"/>
  <c r="Q115" i="3"/>
  <c r="P115" i="3"/>
  <c r="N115" i="3"/>
  <c r="M115" i="3"/>
  <c r="J115" i="3"/>
  <c r="I115" i="3"/>
  <c r="G115" i="3"/>
  <c r="R115" i="3" s="1"/>
  <c r="F115" i="3"/>
  <c r="Q114" i="3"/>
  <c r="P114" i="3"/>
  <c r="N114" i="3"/>
  <c r="M114" i="3"/>
  <c r="J114" i="3"/>
  <c r="I114" i="3"/>
  <c r="H114" i="3"/>
  <c r="G114" i="3"/>
  <c r="F114" i="3"/>
  <c r="R114" i="3" s="1"/>
  <c r="R113" i="3"/>
  <c r="Q113" i="3"/>
  <c r="P113" i="3"/>
  <c r="F113" i="3"/>
  <c r="F112" i="3"/>
  <c r="R112" i="3" s="1"/>
  <c r="Q111" i="3"/>
  <c r="P111" i="3"/>
  <c r="O111" i="3"/>
  <c r="N111" i="3"/>
  <c r="M111" i="3"/>
  <c r="J111" i="3"/>
  <c r="I111" i="3"/>
  <c r="H111" i="3"/>
  <c r="G111" i="3"/>
  <c r="R111" i="3" s="1"/>
  <c r="F111" i="3"/>
  <c r="R110" i="3"/>
  <c r="F110" i="3"/>
  <c r="Q109" i="3"/>
  <c r="P109" i="3"/>
  <c r="L109" i="3"/>
  <c r="G109" i="3"/>
  <c r="F109" i="3"/>
  <c r="R109" i="3" s="1"/>
  <c r="E109" i="3"/>
  <c r="Q108" i="3"/>
  <c r="P108" i="3"/>
  <c r="O108" i="3"/>
  <c r="N108" i="3"/>
  <c r="M108" i="3"/>
  <c r="L108" i="3"/>
  <c r="K108" i="3"/>
  <c r="J108" i="3"/>
  <c r="I108" i="3"/>
  <c r="H108" i="3"/>
  <c r="G108" i="3"/>
  <c r="F108" i="3"/>
  <c r="R108" i="3" s="1"/>
  <c r="E108" i="3"/>
  <c r="Q107" i="3"/>
  <c r="P107" i="3"/>
  <c r="O107" i="3"/>
  <c r="N107" i="3"/>
  <c r="M107" i="3"/>
  <c r="L107" i="3"/>
  <c r="K107" i="3"/>
  <c r="J107" i="3"/>
  <c r="I107" i="3"/>
  <c r="H107" i="3"/>
  <c r="G107" i="3"/>
  <c r="F107" i="3"/>
  <c r="E107" i="3"/>
  <c r="R107" i="3" s="1"/>
  <c r="Q106" i="3"/>
  <c r="P106" i="3"/>
  <c r="O106" i="3"/>
  <c r="N106" i="3"/>
  <c r="M106" i="3"/>
  <c r="L106" i="3"/>
  <c r="K106" i="3"/>
  <c r="J106" i="3"/>
  <c r="I106" i="3"/>
  <c r="H106" i="3"/>
  <c r="F106" i="3"/>
  <c r="E106" i="3"/>
  <c r="R106" i="3" s="1"/>
  <c r="Q105" i="3"/>
  <c r="P105" i="3"/>
  <c r="O105" i="3"/>
  <c r="N105" i="3"/>
  <c r="M105" i="3"/>
  <c r="L105" i="3"/>
  <c r="K105" i="3"/>
  <c r="J105" i="3"/>
  <c r="I105" i="3"/>
  <c r="H105" i="3"/>
  <c r="G105" i="3"/>
  <c r="F105" i="3"/>
  <c r="E105" i="3"/>
  <c r="R105" i="3" s="1"/>
  <c r="Q104" i="3"/>
  <c r="P104" i="3"/>
  <c r="O104" i="3"/>
  <c r="N104" i="3"/>
  <c r="M104" i="3"/>
  <c r="L104" i="3"/>
  <c r="K104" i="3"/>
  <c r="J104" i="3"/>
  <c r="I104" i="3"/>
  <c r="H104" i="3"/>
  <c r="G104" i="3"/>
  <c r="F104" i="3"/>
  <c r="R104" i="3" s="1"/>
  <c r="E104" i="3"/>
  <c r="Q103" i="3"/>
  <c r="P103" i="3"/>
  <c r="O103" i="3"/>
  <c r="N103" i="3"/>
  <c r="M103" i="3"/>
  <c r="L103" i="3"/>
  <c r="K103" i="3"/>
  <c r="J103" i="3"/>
  <c r="I103" i="3"/>
  <c r="H103" i="3"/>
  <c r="G103" i="3"/>
  <c r="F103" i="3"/>
  <c r="E103" i="3"/>
  <c r="R103" i="3" s="1"/>
  <c r="Q102" i="3"/>
  <c r="P102" i="3"/>
  <c r="O102" i="3"/>
  <c r="N102" i="3"/>
  <c r="M102" i="3"/>
  <c r="L102" i="3"/>
  <c r="K102" i="3"/>
  <c r="J102" i="3"/>
  <c r="I102" i="3"/>
  <c r="H102" i="3"/>
  <c r="G102" i="3"/>
  <c r="F102" i="3"/>
  <c r="E102" i="3"/>
  <c r="R102" i="3" s="1"/>
  <c r="Q101" i="3"/>
  <c r="P101" i="3"/>
  <c r="O101" i="3"/>
  <c r="N101" i="3"/>
  <c r="M101" i="3"/>
  <c r="L101" i="3"/>
  <c r="K101" i="3"/>
  <c r="J101" i="3"/>
  <c r="I101" i="3"/>
  <c r="H101" i="3"/>
  <c r="G101" i="3"/>
  <c r="F101" i="3"/>
  <c r="R101" i="3" s="1"/>
  <c r="E101" i="3"/>
  <c r="Q100" i="3"/>
  <c r="P100" i="3"/>
  <c r="O100" i="3"/>
  <c r="N100" i="3"/>
  <c r="M100" i="3"/>
  <c r="L100" i="3"/>
  <c r="K100" i="3"/>
  <c r="J100" i="3"/>
  <c r="I100" i="3"/>
  <c r="H100" i="3"/>
  <c r="G100" i="3"/>
  <c r="F100" i="3"/>
  <c r="R100" i="3" s="1"/>
  <c r="E100" i="3"/>
  <c r="Q99" i="3"/>
  <c r="P99" i="3"/>
  <c r="O99" i="3"/>
  <c r="N99" i="3"/>
  <c r="M99" i="3"/>
  <c r="L99" i="3"/>
  <c r="K99" i="3"/>
  <c r="J99" i="3"/>
  <c r="I99" i="3"/>
  <c r="H99" i="3"/>
  <c r="G99" i="3"/>
  <c r="F99" i="3"/>
  <c r="E99" i="3"/>
  <c r="R99" i="3" s="1"/>
  <c r="Q98" i="3"/>
  <c r="P98" i="3"/>
  <c r="O98" i="3"/>
  <c r="N98" i="3"/>
  <c r="M98" i="3"/>
  <c r="L98" i="3"/>
  <c r="K98" i="3"/>
  <c r="J98" i="3"/>
  <c r="I98" i="3"/>
  <c r="H98" i="3"/>
  <c r="G98" i="3"/>
  <c r="F98" i="3"/>
  <c r="E98" i="3"/>
  <c r="R98" i="3" s="1"/>
  <c r="Q97" i="3"/>
  <c r="P97" i="3"/>
  <c r="O97" i="3"/>
  <c r="N97" i="3"/>
  <c r="M97" i="3"/>
  <c r="L97" i="3"/>
  <c r="K97" i="3"/>
  <c r="J97" i="3"/>
  <c r="I97" i="3"/>
  <c r="H97" i="3"/>
  <c r="G97" i="3"/>
  <c r="F97" i="3"/>
  <c r="E97" i="3"/>
  <c r="R97" i="3" s="1"/>
  <c r="Q96" i="3"/>
  <c r="P96" i="3"/>
  <c r="N96" i="3"/>
  <c r="G96" i="3"/>
  <c r="F96" i="3"/>
  <c r="R96" i="3" s="1"/>
  <c r="Q95" i="3"/>
  <c r="P95" i="3"/>
  <c r="O95" i="3"/>
  <c r="N95" i="3"/>
  <c r="M95" i="3"/>
  <c r="J95" i="3"/>
  <c r="I95" i="3"/>
  <c r="H95" i="3"/>
  <c r="G95" i="3"/>
  <c r="F95" i="3"/>
  <c r="R95" i="3" s="1"/>
  <c r="Q94" i="3"/>
  <c r="P94" i="3"/>
  <c r="O94" i="3"/>
  <c r="N94" i="3"/>
  <c r="M94" i="3"/>
  <c r="J94" i="3"/>
  <c r="I94" i="3"/>
  <c r="H94" i="3"/>
  <c r="G94" i="3"/>
  <c r="R94" i="3" s="1"/>
  <c r="F94" i="3"/>
  <c r="R93" i="3"/>
  <c r="Q93" i="3"/>
  <c r="P93" i="3"/>
  <c r="F93" i="3"/>
  <c r="Q92" i="3"/>
  <c r="P92" i="3"/>
  <c r="O92" i="3"/>
  <c r="N92" i="3"/>
  <c r="M92" i="3"/>
  <c r="J92" i="3"/>
  <c r="I92" i="3"/>
  <c r="H92" i="3"/>
  <c r="G92" i="3"/>
  <c r="F92" i="3"/>
  <c r="R92" i="3" s="1"/>
  <c r="Q90" i="3"/>
  <c r="P90" i="3"/>
  <c r="O90" i="3"/>
  <c r="N90" i="3"/>
  <c r="M90" i="3"/>
  <c r="J90" i="3"/>
  <c r="I90" i="3"/>
  <c r="H90" i="3"/>
  <c r="G90" i="3"/>
  <c r="R90" i="3" s="1"/>
  <c r="F90" i="3"/>
  <c r="Q89" i="3"/>
  <c r="P89" i="3"/>
  <c r="G89" i="3"/>
  <c r="F89" i="3"/>
  <c r="R89" i="3" s="1"/>
  <c r="R88" i="3"/>
  <c r="Q88" i="3"/>
  <c r="P88" i="3"/>
  <c r="O88" i="3"/>
  <c r="N88" i="3"/>
  <c r="M88" i="3"/>
  <c r="J88" i="3"/>
  <c r="I88" i="3"/>
  <c r="H88" i="3"/>
  <c r="G88" i="3"/>
  <c r="F88" i="3"/>
  <c r="Q87" i="3"/>
  <c r="R87" i="3" s="1"/>
  <c r="P87" i="3"/>
  <c r="O87" i="3"/>
  <c r="N87" i="3"/>
  <c r="M87" i="3"/>
  <c r="J87" i="3"/>
  <c r="I87" i="3"/>
  <c r="H87" i="3"/>
  <c r="G87" i="3"/>
  <c r="F87" i="3"/>
  <c r="Q86" i="3"/>
  <c r="P86" i="3"/>
  <c r="O86" i="3"/>
  <c r="N86" i="3"/>
  <c r="M86" i="3"/>
  <c r="J86" i="3"/>
  <c r="I86" i="3"/>
  <c r="H86" i="3"/>
  <c r="G86" i="3"/>
  <c r="F86" i="3"/>
  <c r="R86" i="3" s="1"/>
  <c r="Q85" i="3"/>
  <c r="P85" i="3"/>
  <c r="O85" i="3"/>
  <c r="N85" i="3"/>
  <c r="I85" i="3"/>
  <c r="H85" i="3"/>
  <c r="G85" i="3"/>
  <c r="F85" i="3"/>
  <c r="R85" i="3" s="1"/>
  <c r="Q84" i="3"/>
  <c r="P84" i="3"/>
  <c r="O84" i="3"/>
  <c r="N84" i="3"/>
  <c r="M84" i="3"/>
  <c r="J84" i="3"/>
  <c r="I84" i="3"/>
  <c r="H84" i="3"/>
  <c r="G84" i="3"/>
  <c r="R84" i="3" s="1"/>
  <c r="F84" i="3"/>
  <c r="R83" i="3"/>
  <c r="N83" i="3"/>
  <c r="G83" i="3"/>
  <c r="F83" i="3"/>
  <c r="Q82" i="3"/>
  <c r="P82" i="3"/>
  <c r="O82" i="3"/>
  <c r="N82" i="3"/>
  <c r="M82" i="3"/>
  <c r="J82" i="3"/>
  <c r="G82" i="3"/>
  <c r="F82" i="3"/>
  <c r="E82" i="3"/>
  <c r="R82" i="3" s="1"/>
  <c r="G81" i="3"/>
  <c r="R81" i="3" s="1"/>
  <c r="F81" i="3"/>
  <c r="Q80" i="3"/>
  <c r="P80" i="3"/>
  <c r="O80" i="3"/>
  <c r="N80" i="3"/>
  <c r="M80" i="3"/>
  <c r="J80" i="3"/>
  <c r="G80" i="3"/>
  <c r="F80" i="3"/>
  <c r="R80" i="3" s="1"/>
  <c r="Q79" i="3"/>
  <c r="P79" i="3"/>
  <c r="O79" i="3"/>
  <c r="N79" i="3"/>
  <c r="M79" i="3"/>
  <c r="J79" i="3"/>
  <c r="G79" i="3"/>
  <c r="F79" i="3"/>
  <c r="R79" i="3" s="1"/>
  <c r="Q78" i="3"/>
  <c r="P78" i="3"/>
  <c r="O78" i="3"/>
  <c r="N78" i="3"/>
  <c r="M78" i="3"/>
  <c r="J78" i="3"/>
  <c r="G78" i="3"/>
  <c r="F78" i="3"/>
  <c r="R78" i="3" s="1"/>
  <c r="Q77" i="3"/>
  <c r="O77" i="3"/>
  <c r="N77" i="3"/>
  <c r="M77" i="3"/>
  <c r="J77" i="3"/>
  <c r="G77" i="3"/>
  <c r="F77" i="3"/>
  <c r="R77" i="3" s="1"/>
  <c r="Q76" i="3"/>
  <c r="O76" i="3"/>
  <c r="N76" i="3"/>
  <c r="M76" i="3"/>
  <c r="J76" i="3"/>
  <c r="I76" i="3"/>
  <c r="H76" i="3"/>
  <c r="G76" i="3"/>
  <c r="F76" i="3"/>
  <c r="R76" i="3" s="1"/>
  <c r="Q75" i="3"/>
  <c r="P75" i="3"/>
  <c r="N75" i="3"/>
  <c r="J75" i="3"/>
  <c r="G75" i="3"/>
  <c r="R75" i="3" s="1"/>
  <c r="F75" i="3"/>
  <c r="Q74" i="3"/>
  <c r="P74" i="3"/>
  <c r="O74" i="3"/>
  <c r="R74" i="3" s="1"/>
  <c r="N74" i="3"/>
  <c r="H74" i="3"/>
  <c r="G74" i="3"/>
  <c r="F74" i="3"/>
  <c r="Q73" i="3"/>
  <c r="P73" i="3"/>
  <c r="O73" i="3"/>
  <c r="N73" i="3"/>
  <c r="M73" i="3"/>
  <c r="J73" i="3"/>
  <c r="I73" i="3"/>
  <c r="H73" i="3"/>
  <c r="G73" i="3"/>
  <c r="F73" i="3"/>
  <c r="R73" i="3" s="1"/>
  <c r="Q72" i="3"/>
  <c r="P72" i="3"/>
  <c r="O72" i="3"/>
  <c r="N72" i="3"/>
  <c r="M72" i="3"/>
  <c r="J72" i="3"/>
  <c r="I72" i="3"/>
  <c r="H72" i="3"/>
  <c r="G72" i="3"/>
  <c r="F72" i="3"/>
  <c r="R72" i="3" s="1"/>
  <c r="Q71" i="3"/>
  <c r="P71" i="3"/>
  <c r="N71" i="3"/>
  <c r="G71" i="3"/>
  <c r="R71" i="3" s="1"/>
  <c r="F71" i="3"/>
  <c r="Q70" i="3"/>
  <c r="P70" i="3"/>
  <c r="O70" i="3"/>
  <c r="N70" i="3"/>
  <c r="M70" i="3"/>
  <c r="J70" i="3"/>
  <c r="I70" i="3"/>
  <c r="H70" i="3"/>
  <c r="G70" i="3"/>
  <c r="F70" i="3"/>
  <c r="R70" i="3" s="1"/>
  <c r="Q69" i="3"/>
  <c r="P69" i="3"/>
  <c r="O69" i="3"/>
  <c r="N69" i="3"/>
  <c r="M69" i="3"/>
  <c r="J69" i="3"/>
  <c r="I69" i="3"/>
  <c r="H69" i="3"/>
  <c r="G69" i="3"/>
  <c r="F69" i="3"/>
  <c r="R69" i="3" s="1"/>
  <c r="R68" i="3"/>
  <c r="Q68" i="3"/>
  <c r="P68" i="3"/>
  <c r="O68" i="3"/>
  <c r="N68" i="3"/>
  <c r="M68" i="3"/>
  <c r="J68" i="3"/>
  <c r="I68" i="3"/>
  <c r="H68" i="3"/>
  <c r="G68" i="3"/>
  <c r="F68" i="3"/>
  <c r="R67" i="3"/>
  <c r="R66" i="3"/>
  <c r="R65" i="3"/>
  <c r="R64" i="3"/>
  <c r="P64" i="3"/>
  <c r="P63" i="3"/>
  <c r="G63" i="3"/>
  <c r="F63" i="3"/>
  <c r="R63" i="3" s="1"/>
  <c r="R62" i="3"/>
  <c r="G62" i="3"/>
  <c r="F62" i="3"/>
  <c r="G61" i="3"/>
  <c r="R61" i="3" s="1"/>
  <c r="F61" i="3"/>
  <c r="R60" i="3"/>
  <c r="P60" i="3"/>
  <c r="G60" i="3"/>
  <c r="F60" i="3"/>
  <c r="G59" i="3"/>
  <c r="F59" i="3"/>
  <c r="R59" i="3" s="1"/>
  <c r="G58" i="3"/>
  <c r="F58" i="3"/>
  <c r="R58" i="3" s="1"/>
  <c r="R57" i="3"/>
  <c r="G57" i="3"/>
  <c r="F57" i="3"/>
  <c r="G56" i="3"/>
  <c r="F56" i="3"/>
  <c r="R56" i="3" s="1"/>
  <c r="G55" i="3"/>
  <c r="F55" i="3"/>
  <c r="R55" i="3" s="1"/>
  <c r="G54" i="3"/>
  <c r="F54" i="3"/>
  <c r="R54" i="3" s="1"/>
  <c r="R53" i="3"/>
  <c r="P53" i="3"/>
  <c r="G53" i="3"/>
  <c r="F53" i="3"/>
  <c r="G52" i="3"/>
  <c r="F52" i="3"/>
  <c r="R52" i="3" s="1"/>
  <c r="G51" i="3"/>
  <c r="R51" i="3" s="1"/>
  <c r="F51" i="3"/>
  <c r="G50" i="3"/>
  <c r="F50" i="3"/>
  <c r="R50" i="3" s="1"/>
  <c r="P49" i="3"/>
  <c r="G49" i="3"/>
  <c r="R49" i="3" s="1"/>
  <c r="F49" i="3"/>
  <c r="R48" i="3"/>
  <c r="P48" i="3"/>
  <c r="G48" i="3"/>
  <c r="F48" i="3"/>
  <c r="G47" i="3"/>
  <c r="F47" i="3"/>
  <c r="R47" i="3" s="1"/>
  <c r="R46" i="3"/>
  <c r="G46" i="3"/>
  <c r="F46" i="3"/>
  <c r="G45" i="3"/>
  <c r="F45" i="3"/>
  <c r="R45" i="3" s="1"/>
  <c r="G44" i="3"/>
  <c r="F44" i="3"/>
  <c r="R44" i="3" s="1"/>
  <c r="G43" i="3"/>
  <c r="F43" i="3"/>
  <c r="R43" i="3" s="1"/>
  <c r="R42" i="3"/>
  <c r="G42" i="3"/>
  <c r="F42" i="3"/>
  <c r="G41" i="3"/>
  <c r="F41" i="3"/>
  <c r="R41" i="3" s="1"/>
  <c r="G40" i="3"/>
  <c r="F40" i="3"/>
  <c r="R40" i="3" s="1"/>
  <c r="G39" i="3"/>
  <c r="F39" i="3"/>
  <c r="R39" i="3" s="1"/>
  <c r="R38" i="3"/>
  <c r="G38" i="3"/>
  <c r="F38" i="3"/>
  <c r="R37" i="3"/>
  <c r="G37" i="3"/>
  <c r="F37" i="3"/>
  <c r="G36" i="3"/>
  <c r="F36" i="3"/>
  <c r="R36" i="3" s="1"/>
  <c r="G35" i="3"/>
  <c r="F35" i="3"/>
  <c r="R35" i="3" s="1"/>
  <c r="R34" i="3"/>
  <c r="G34" i="3"/>
  <c r="F34" i="3"/>
  <c r="R33" i="3"/>
  <c r="G33" i="3"/>
  <c r="F33" i="3"/>
  <c r="G32" i="3"/>
  <c r="F32" i="3"/>
  <c r="R32" i="3" s="1"/>
  <c r="G31" i="3"/>
  <c r="F31" i="3"/>
  <c r="R31" i="3" s="1"/>
  <c r="R30" i="3"/>
  <c r="G30" i="3"/>
  <c r="F30" i="3"/>
  <c r="R29" i="3"/>
  <c r="G29" i="3"/>
  <c r="F29" i="3"/>
  <c r="F28" i="3"/>
  <c r="R28" i="3" s="1"/>
  <c r="P27" i="3"/>
  <c r="G27" i="3"/>
  <c r="F27" i="3"/>
  <c r="R27" i="3" s="1"/>
  <c r="R26" i="3"/>
  <c r="Q26" i="3"/>
  <c r="P26" i="3"/>
  <c r="N26" i="3"/>
  <c r="L26" i="3"/>
  <c r="G26" i="3"/>
  <c r="F26" i="3"/>
  <c r="F25" i="3"/>
  <c r="R25" i="3" s="1"/>
  <c r="R24" i="3"/>
  <c r="F24" i="3"/>
  <c r="F23" i="3"/>
  <c r="R23" i="3" s="1"/>
  <c r="Q22" i="3"/>
  <c r="P22" i="3"/>
  <c r="O22" i="3"/>
  <c r="N22" i="3"/>
  <c r="J22" i="3"/>
  <c r="F22" i="3"/>
  <c r="R22" i="3" s="1"/>
  <c r="Q21" i="3"/>
  <c r="P21" i="3"/>
  <c r="F21" i="3"/>
  <c r="R21" i="3" s="1"/>
  <c r="R20" i="3"/>
  <c r="F20" i="3"/>
  <c r="Q19" i="3"/>
  <c r="P19" i="3"/>
  <c r="F19" i="3"/>
  <c r="R19" i="3" s="1"/>
  <c r="F18" i="3"/>
  <c r="R18" i="3" s="1"/>
  <c r="Q17" i="3"/>
  <c r="P17" i="3"/>
  <c r="G17" i="3"/>
  <c r="F17" i="3"/>
  <c r="R17" i="3" s="1"/>
  <c r="Q16" i="3"/>
  <c r="P16" i="3"/>
  <c r="O16" i="3"/>
  <c r="G16" i="3"/>
  <c r="F16" i="3"/>
  <c r="E16" i="3"/>
  <c r="R16" i="3" s="1"/>
  <c r="Q15" i="3"/>
  <c r="P15" i="3"/>
  <c r="G15" i="3"/>
  <c r="F15" i="3"/>
  <c r="R15" i="3" s="1"/>
  <c r="Q14" i="3"/>
  <c r="P14" i="3"/>
  <c r="O14" i="3"/>
  <c r="N14" i="3"/>
  <c r="M14" i="3"/>
  <c r="L14" i="3"/>
  <c r="K14" i="3"/>
  <c r="J14" i="3"/>
  <c r="I14" i="3"/>
  <c r="G14" i="3"/>
  <c r="F14" i="3"/>
  <c r="E14" i="3"/>
  <c r="R14" i="3" s="1"/>
  <c r="Q13" i="3"/>
  <c r="P13" i="3"/>
  <c r="N13" i="3"/>
  <c r="M13" i="3"/>
  <c r="J13" i="3"/>
  <c r="I13" i="3"/>
  <c r="H13" i="3"/>
  <c r="G13" i="3"/>
  <c r="F13" i="3"/>
  <c r="E13" i="3"/>
  <c r="R13" i="3" s="1"/>
  <c r="Q12" i="3"/>
  <c r="P12" i="3"/>
  <c r="O12" i="3"/>
  <c r="N12" i="3"/>
  <c r="M12" i="3"/>
  <c r="L12" i="3"/>
  <c r="K12" i="3"/>
  <c r="J12" i="3"/>
  <c r="I12" i="3"/>
  <c r="H12" i="3"/>
  <c r="G12" i="3"/>
  <c r="F12" i="3"/>
  <c r="E12" i="3"/>
  <c r="R12" i="3" s="1"/>
  <c r="Q11" i="3"/>
  <c r="P11" i="3"/>
  <c r="O11" i="3"/>
  <c r="N11" i="3"/>
  <c r="M11" i="3"/>
  <c r="L11" i="3"/>
  <c r="K11" i="3"/>
  <c r="J11" i="3"/>
  <c r="I11" i="3"/>
  <c r="R11" i="3" s="1"/>
  <c r="H11" i="3"/>
  <c r="G11" i="3"/>
  <c r="F11" i="3"/>
  <c r="E11" i="3"/>
  <c r="Q10" i="3"/>
  <c r="P10" i="3"/>
  <c r="O10" i="3"/>
  <c r="N10" i="3"/>
  <c r="M10" i="3"/>
  <c r="L10" i="3"/>
  <c r="K10" i="3"/>
  <c r="J10" i="3"/>
  <c r="I10" i="3"/>
  <c r="H10" i="3"/>
  <c r="R10" i="3" s="1"/>
  <c r="G10" i="3"/>
  <c r="F10" i="3"/>
  <c r="E10" i="3"/>
  <c r="F9" i="3"/>
  <c r="R9" i="3" s="1"/>
  <c r="R8" i="3"/>
  <c r="F8" i="3"/>
  <c r="F7" i="3"/>
  <c r="R7" i="3" s="1"/>
  <c r="F6" i="3"/>
  <c r="R6" i="3" s="1"/>
  <c r="R5" i="3"/>
  <c r="F5" i="3"/>
  <c r="R4" i="3"/>
  <c r="F4" i="3"/>
  <c r="F21" i="2"/>
  <c r="F22" i="2" s="1"/>
  <c r="F23" i="2" s="1"/>
  <c r="F24" i="2" s="1"/>
  <c r="F25" i="2" s="1"/>
  <c r="F20" i="2"/>
  <c r="F18" i="2"/>
  <c r="F17" i="2"/>
  <c r="F16" i="2"/>
  <c r="F15" i="2"/>
  <c r="F14" i="2"/>
  <c r="F13" i="2"/>
  <c r="F12" i="2"/>
  <c r="F11" i="2"/>
  <c r="F10" i="2"/>
  <c r="F9" i="2"/>
  <c r="F8" i="2"/>
  <c r="F7" i="2"/>
  <c r="F6" i="2"/>
  <c r="F5" i="2"/>
  <c r="F4" i="2"/>
  <c r="E3993" i="1" l="1"/>
  <c r="E3994" i="1"/>
  <c r="E3992" i="1"/>
  <c r="I2140" i="1"/>
  <c r="K3736" i="1"/>
  <c r="K3726" i="1"/>
  <c r="E4031" i="1"/>
  <c r="K4031" i="1" s="1"/>
  <c r="E4033" i="1"/>
  <c r="K4610" i="1"/>
  <c r="I4610" i="1"/>
  <c r="K4609" i="1"/>
  <c r="K4611" i="1" s="1"/>
  <c r="K4612" i="1" s="1"/>
  <c r="I4609" i="1"/>
  <c r="J4605" i="1"/>
  <c r="K4600" i="1"/>
  <c r="K4599" i="1"/>
  <c r="K4598" i="1"/>
  <c r="K4601" i="1" s="1"/>
  <c r="K4604" i="1" s="1"/>
  <c r="K4605" i="1" s="1"/>
  <c r="J4592" i="1"/>
  <c r="K4587" i="1"/>
  <c r="K4586" i="1"/>
  <c r="K4588" i="1" s="1"/>
  <c r="K4591" i="1" s="1"/>
  <c r="K4592" i="1" s="1"/>
  <c r="K4593" i="1" s="1"/>
  <c r="K4594" i="1" s="1"/>
  <c r="K4580" i="1"/>
  <c r="K4581" i="1" s="1"/>
  <c r="K4582" i="1" s="1"/>
  <c r="I4580" i="1"/>
  <c r="I4579" i="1"/>
  <c r="K4579" i="1" s="1"/>
  <c r="K4574" i="1"/>
  <c r="K4575" i="1" s="1"/>
  <c r="J4574" i="1"/>
  <c r="K4570" i="1"/>
  <c r="K4573" i="1" s="1"/>
  <c r="E4570" i="1"/>
  <c r="J4566" i="1"/>
  <c r="K4560" i="1"/>
  <c r="K4562" i="1" s="1"/>
  <c r="K4565" i="1" s="1"/>
  <c r="K4566" i="1" s="1"/>
  <c r="I4555" i="1"/>
  <c r="K4555" i="1" s="1"/>
  <c r="K4556" i="1" s="1"/>
  <c r="I4548" i="1"/>
  <c r="I4549" i="1" s="1"/>
  <c r="K4549" i="1" s="1"/>
  <c r="K4550" i="1" s="1"/>
  <c r="K4551" i="1" s="1"/>
  <c r="J4543" i="1"/>
  <c r="K4543" i="1" s="1"/>
  <c r="K4544" i="1" s="1"/>
  <c r="K4542" i="1"/>
  <c r="K4539" i="1"/>
  <c r="K4535" i="1"/>
  <c r="J4534" i="1"/>
  <c r="K4533" i="1"/>
  <c r="K4534" i="1" s="1"/>
  <c r="K4530" i="1"/>
  <c r="J4524" i="1"/>
  <c r="K4519" i="1"/>
  <c r="K4518" i="1"/>
  <c r="E4518" i="1"/>
  <c r="K4517" i="1"/>
  <c r="K4516" i="1"/>
  <c r="K4520" i="1" s="1"/>
  <c r="K4523" i="1" s="1"/>
  <c r="K4524" i="1" s="1"/>
  <c r="K4525" i="1" s="1"/>
  <c r="K4526" i="1" s="1"/>
  <c r="J4512" i="1"/>
  <c r="G4507" i="1"/>
  <c r="K4507" i="1" s="1"/>
  <c r="K4506" i="1"/>
  <c r="E4506" i="1"/>
  <c r="K4505" i="1"/>
  <c r="E4505" i="1"/>
  <c r="G4504" i="1"/>
  <c r="K4504" i="1" s="1"/>
  <c r="E4504" i="1"/>
  <c r="G4503" i="1"/>
  <c r="K4503" i="1" s="1"/>
  <c r="E4503" i="1"/>
  <c r="G4502" i="1"/>
  <c r="K4502" i="1" s="1"/>
  <c r="K4501" i="1"/>
  <c r="E4501" i="1"/>
  <c r="K4500" i="1"/>
  <c r="E4500" i="1"/>
  <c r="K4499" i="1"/>
  <c r="K4498" i="1"/>
  <c r="K4508" i="1" s="1"/>
  <c r="K4511" i="1" s="1"/>
  <c r="K4512" i="1" s="1"/>
  <c r="J4498" i="1"/>
  <c r="J4494" i="1"/>
  <c r="K4490" i="1"/>
  <c r="K4493" i="1" s="1"/>
  <c r="K4494" i="1" s="1"/>
  <c r="J4468" i="1"/>
  <c r="E4463" i="1"/>
  <c r="K4463" i="1" s="1"/>
  <c r="K4462" i="1"/>
  <c r="E4462" i="1"/>
  <c r="K4461" i="1"/>
  <c r="E4461" i="1"/>
  <c r="E4460" i="1"/>
  <c r="K4460" i="1" s="1"/>
  <c r="E4459" i="1"/>
  <c r="K4459" i="1" s="1"/>
  <c r="K4464" i="1" s="1"/>
  <c r="K4467" i="1" s="1"/>
  <c r="K4468" i="1" s="1"/>
  <c r="K4469" i="1" s="1"/>
  <c r="K4470" i="1" s="1"/>
  <c r="J4451" i="1"/>
  <c r="K4451" i="1" s="1"/>
  <c r="E4455" i="1" s="1"/>
  <c r="K4455" i="1" s="1"/>
  <c r="I4444" i="1"/>
  <c r="K4444" i="1" s="1"/>
  <c r="I4443" i="1"/>
  <c r="K4443" i="1" s="1"/>
  <c r="I4441" i="1"/>
  <c r="K4441" i="1" s="1"/>
  <c r="I4439" i="1"/>
  <c r="K4439" i="1" s="1"/>
  <c r="I4438" i="1"/>
  <c r="I4442" i="1" s="1"/>
  <c r="K4442" i="1" s="1"/>
  <c r="K4432" i="1"/>
  <c r="I4432" i="1"/>
  <c r="K4430" i="1"/>
  <c r="I4430" i="1"/>
  <c r="I4427" i="1"/>
  <c r="I4429" i="1" s="1"/>
  <c r="K4429" i="1" s="1"/>
  <c r="I4426" i="1"/>
  <c r="K4426" i="1" s="1"/>
  <c r="K4425" i="1"/>
  <c r="I4425" i="1"/>
  <c r="I4431" i="1" s="1"/>
  <c r="K4431" i="1" s="1"/>
  <c r="G4414" i="1"/>
  <c r="K4414" i="1" s="1"/>
  <c r="K4413" i="1"/>
  <c r="K4415" i="1" s="1"/>
  <c r="K4418" i="1" s="1"/>
  <c r="K4419" i="1" s="1"/>
  <c r="K4420" i="1" s="1"/>
  <c r="K4421" i="1" s="1"/>
  <c r="G4413" i="1"/>
  <c r="G4407" i="1"/>
  <c r="K4407" i="1" s="1"/>
  <c r="K4405" i="1"/>
  <c r="I4405" i="1"/>
  <c r="I4404" i="1"/>
  <c r="I4407" i="1" s="1"/>
  <c r="G4398" i="1"/>
  <c r="K4397" i="1"/>
  <c r="I4397" i="1"/>
  <c r="G4397" i="1"/>
  <c r="G4396" i="1"/>
  <c r="K4395" i="1"/>
  <c r="I4395" i="1"/>
  <c r="I4398" i="1" s="1"/>
  <c r="K4398" i="1" s="1"/>
  <c r="G4395" i="1"/>
  <c r="H4393" i="1"/>
  <c r="J4391" i="1"/>
  <c r="K4386" i="1"/>
  <c r="K4385" i="1"/>
  <c r="E4385" i="1"/>
  <c r="E4384" i="1"/>
  <c r="K4384" i="1" s="1"/>
  <c r="E4383" i="1"/>
  <c r="K4383" i="1" s="1"/>
  <c r="K4382" i="1"/>
  <c r="E4381" i="1"/>
  <c r="K4381" i="1" s="1"/>
  <c r="K4377" i="1"/>
  <c r="K4376" i="1"/>
  <c r="J4360" i="1"/>
  <c r="K4355" i="1"/>
  <c r="K4356" i="1" s="1"/>
  <c r="K4359" i="1" s="1"/>
  <c r="K4360" i="1" s="1"/>
  <c r="I4346" i="1"/>
  <c r="I4349" i="1" s="1"/>
  <c r="K4349" i="1" s="1"/>
  <c r="J4341" i="1"/>
  <c r="K4337" i="1"/>
  <c r="K4340" i="1" s="1"/>
  <c r="K4341" i="1" s="1"/>
  <c r="K4342" i="1" s="1"/>
  <c r="K4333" i="1"/>
  <c r="J4333" i="1"/>
  <c r="K4328" i="1"/>
  <c r="K4329" i="1" s="1"/>
  <c r="I4328" i="1"/>
  <c r="J4323" i="1"/>
  <c r="K4321" i="1"/>
  <c r="I4320" i="1"/>
  <c r="K4320" i="1" s="1"/>
  <c r="K4319" i="1"/>
  <c r="I4319" i="1"/>
  <c r="K4318" i="1"/>
  <c r="K4317" i="1"/>
  <c r="K4316" i="1"/>
  <c r="I4316" i="1"/>
  <c r="K4315" i="1"/>
  <c r="I4314" i="1"/>
  <c r="K4314" i="1" s="1"/>
  <c r="K4309" i="1"/>
  <c r="K4308" i="1"/>
  <c r="I4302" i="1"/>
  <c r="K4302" i="1" s="1"/>
  <c r="K4301" i="1"/>
  <c r="I4301" i="1"/>
  <c r="K4300" i="1"/>
  <c r="I4300" i="1"/>
  <c r="I4303" i="1" s="1"/>
  <c r="K4303" i="1" s="1"/>
  <c r="J4296" i="1"/>
  <c r="K4292" i="1"/>
  <c r="K4295" i="1" s="1"/>
  <c r="K4296" i="1" s="1"/>
  <c r="E4292" i="1"/>
  <c r="I4287" i="1"/>
  <c r="K4287" i="1" s="1"/>
  <c r="K4286" i="1"/>
  <c r="K4288" i="1" s="1"/>
  <c r="I4286" i="1"/>
  <c r="K4277" i="1"/>
  <c r="I4277" i="1"/>
  <c r="I4278" i="1" s="1"/>
  <c r="I4271" i="1"/>
  <c r="I4272" i="1" s="1"/>
  <c r="K4272" i="1" s="1"/>
  <c r="I4270" i="1"/>
  <c r="K4270" i="1" s="1"/>
  <c r="G4265" i="1"/>
  <c r="K4265" i="1" s="1"/>
  <c r="G4264" i="1"/>
  <c r="G4263" i="1"/>
  <c r="K4259" i="1"/>
  <c r="I4258" i="1"/>
  <c r="I4259" i="1" s="1"/>
  <c r="J4254" i="1"/>
  <c r="K4253" i="1"/>
  <c r="K4254" i="1" s="1"/>
  <c r="K4250" i="1"/>
  <c r="J4246" i="1"/>
  <c r="E4242" i="1"/>
  <c r="K4242" i="1" s="1"/>
  <c r="K4245" i="1" s="1"/>
  <c r="K4246" i="1" s="1"/>
  <c r="I4237" i="1"/>
  <c r="K4237" i="1" s="1"/>
  <c r="I4236" i="1"/>
  <c r="K4236" i="1" s="1"/>
  <c r="K4235" i="1"/>
  <c r="I4235" i="1"/>
  <c r="E4235" i="1"/>
  <c r="K4230" i="1"/>
  <c r="I4229" i="1"/>
  <c r="K4229" i="1" s="1"/>
  <c r="G4228" i="1"/>
  <c r="E4222" i="1"/>
  <c r="K4215" i="1"/>
  <c r="I4215" i="1"/>
  <c r="I4224" i="1" s="1"/>
  <c r="K4224" i="1" s="1"/>
  <c r="I4208" i="1"/>
  <c r="I4209" i="1" s="1"/>
  <c r="K4209" i="1" s="1"/>
  <c r="J4196" i="1"/>
  <c r="K4191" i="1"/>
  <c r="E4190" i="1"/>
  <c r="K4190" i="1" s="1"/>
  <c r="K4189" i="1"/>
  <c r="K4192" i="1" s="1"/>
  <c r="K4195" i="1" s="1"/>
  <c r="K4196" i="1" s="1"/>
  <c r="K4197" i="1" s="1"/>
  <c r="K4198" i="1" s="1"/>
  <c r="E4189" i="1"/>
  <c r="F4181" i="1"/>
  <c r="K4180" i="1"/>
  <c r="I4180" i="1"/>
  <c r="I4179" i="1"/>
  <c r="K4179" i="1" s="1"/>
  <c r="I4178" i="1"/>
  <c r="K4178" i="1" s="1"/>
  <c r="I4170" i="1"/>
  <c r="K4170" i="1" s="1"/>
  <c r="I4168" i="1"/>
  <c r="K4168" i="1" s="1"/>
  <c r="K4167" i="1"/>
  <c r="I4167" i="1"/>
  <c r="I4162" i="1"/>
  <c r="K4162" i="1" s="1"/>
  <c r="I4160" i="1"/>
  <c r="K4160" i="1" s="1"/>
  <c r="I4159" i="1"/>
  <c r="K4159" i="1" s="1"/>
  <c r="F4154" i="1"/>
  <c r="I4152" i="1"/>
  <c r="K4152" i="1" s="1"/>
  <c r="I4151" i="1"/>
  <c r="I4153" i="1" s="1"/>
  <c r="K4153" i="1" s="1"/>
  <c r="I4145" i="1"/>
  <c r="K4145" i="1" s="1"/>
  <c r="K4144" i="1"/>
  <c r="I4144" i="1"/>
  <c r="K4143" i="1"/>
  <c r="K4146" i="1" s="1"/>
  <c r="K4147" i="1" s="1"/>
  <c r="E4204" i="1" s="1"/>
  <c r="K4204" i="1" s="1"/>
  <c r="I4143" i="1"/>
  <c r="I4139" i="1"/>
  <c r="K4139" i="1" s="1"/>
  <c r="J4133" i="1"/>
  <c r="K4129" i="1"/>
  <c r="K4132" i="1" s="1"/>
  <c r="K4133" i="1" s="1"/>
  <c r="K4134" i="1" s="1"/>
  <c r="K4135" i="1" s="1"/>
  <c r="K4128" i="1"/>
  <c r="G4128" i="1"/>
  <c r="K4127" i="1"/>
  <c r="G4127" i="1"/>
  <c r="E4127" i="1"/>
  <c r="I4121" i="1"/>
  <c r="K4121" i="1" s="1"/>
  <c r="K4120" i="1"/>
  <c r="K4122" i="1" s="1"/>
  <c r="K4123" i="1" s="1"/>
  <c r="E4185" i="1" s="1"/>
  <c r="K4185" i="1" s="1"/>
  <c r="I4120" i="1"/>
  <c r="J4116" i="1"/>
  <c r="K4112" i="1"/>
  <c r="K4115" i="1" s="1"/>
  <c r="K4116" i="1" s="1"/>
  <c r="J4112" i="1"/>
  <c r="E4112" i="1"/>
  <c r="J4101" i="1"/>
  <c r="K4098" i="1"/>
  <c r="J4098" i="1"/>
  <c r="K4097" i="1"/>
  <c r="J4097" i="1"/>
  <c r="J4096" i="1"/>
  <c r="K4096" i="1" s="1"/>
  <c r="K4099" i="1" s="1"/>
  <c r="K4100" i="1" s="1"/>
  <c r="K4101" i="1" s="1"/>
  <c r="E4105" i="1" s="1"/>
  <c r="K4105" i="1" s="1"/>
  <c r="K4106" i="1" s="1"/>
  <c r="J4090" i="1"/>
  <c r="K4085" i="1"/>
  <c r="G4085" i="1"/>
  <c r="E4085" i="1"/>
  <c r="G4084" i="1"/>
  <c r="E4084" i="1"/>
  <c r="K4084" i="1" s="1"/>
  <c r="G4083" i="1"/>
  <c r="E4083" i="1"/>
  <c r="K4083" i="1" s="1"/>
  <c r="K4082" i="1"/>
  <c r="G4082" i="1"/>
  <c r="K4081" i="1"/>
  <c r="K4086" i="1" s="1"/>
  <c r="K4089" i="1" s="1"/>
  <c r="K4090" i="1" s="1"/>
  <c r="K4091" i="1" s="1"/>
  <c r="K4092" i="1" s="1"/>
  <c r="G4081" i="1"/>
  <c r="E4081" i="1"/>
  <c r="K4080" i="1"/>
  <c r="G4080" i="1"/>
  <c r="E4080" i="1"/>
  <c r="K4079" i="1"/>
  <c r="J4075" i="1"/>
  <c r="K4071" i="1"/>
  <c r="K4074" i="1" s="1"/>
  <c r="K4075" i="1" s="1"/>
  <c r="J4071" i="1"/>
  <c r="I4065" i="1"/>
  <c r="K4065" i="1" s="1"/>
  <c r="I4063" i="1"/>
  <c r="K4063" i="1" s="1"/>
  <c r="I4062" i="1"/>
  <c r="K4062" i="1" s="1"/>
  <c r="K4064" i="1" s="1"/>
  <c r="I4056" i="1"/>
  <c r="K4056" i="1" s="1"/>
  <c r="K4057" i="1" s="1"/>
  <c r="K4058" i="1" s="1"/>
  <c r="K4055" i="1"/>
  <c r="I4055" i="1"/>
  <c r="K4054" i="1"/>
  <c r="I4054" i="1"/>
  <c r="J4050" i="1"/>
  <c r="G4045" i="1"/>
  <c r="K4045" i="1" s="1"/>
  <c r="E4045" i="1"/>
  <c r="K4044" i="1"/>
  <c r="K4046" i="1" s="1"/>
  <c r="K4049" i="1" s="1"/>
  <c r="K4050" i="1" s="1"/>
  <c r="E4044" i="1"/>
  <c r="J4038" i="1"/>
  <c r="K4033" i="1"/>
  <c r="J4025" i="1"/>
  <c r="G4021" i="1"/>
  <c r="K4021" i="1" s="1"/>
  <c r="K4024" i="1" s="1"/>
  <c r="K4025" i="1" s="1"/>
  <c r="K4026" i="1" s="1"/>
  <c r="K4027" i="1" s="1"/>
  <c r="J4017" i="1"/>
  <c r="K4013" i="1"/>
  <c r="K4016" i="1" s="1"/>
  <c r="K4017" i="1" s="1"/>
  <c r="J4013" i="1"/>
  <c r="J4009" i="1"/>
  <c r="J4005" i="1"/>
  <c r="K4005" i="1" s="1"/>
  <c r="K4008" i="1" s="1"/>
  <c r="K4009" i="1" s="1"/>
  <c r="E4005" i="1"/>
  <c r="J3999" i="1"/>
  <c r="K3994" i="1"/>
  <c r="K3992" i="1"/>
  <c r="J3988" i="1"/>
  <c r="K3987" i="1"/>
  <c r="K3988" i="1" s="1"/>
  <c r="K3983" i="1"/>
  <c r="K3984" i="1" s="1"/>
  <c r="K3977" i="1"/>
  <c r="I3977" i="1"/>
  <c r="I3976" i="1"/>
  <c r="K3976" i="1" s="1"/>
  <c r="I3975" i="1"/>
  <c r="K3975" i="1" s="1"/>
  <c r="J3969" i="1"/>
  <c r="K3968" i="1"/>
  <c r="K3965" i="1"/>
  <c r="J3959" i="1"/>
  <c r="G3954" i="1"/>
  <c r="K3954" i="1" s="1"/>
  <c r="E3954" i="1"/>
  <c r="K3953" i="1"/>
  <c r="G3953" i="1"/>
  <c r="E3953" i="1"/>
  <c r="K3952" i="1"/>
  <c r="G3952" i="1"/>
  <c r="E3951" i="1"/>
  <c r="K3951" i="1" s="1"/>
  <c r="K3955" i="1" s="1"/>
  <c r="K3958" i="1" s="1"/>
  <c r="K3959" i="1" s="1"/>
  <c r="K3960" i="1" s="1"/>
  <c r="K3961" i="1" s="1"/>
  <c r="I3928" i="1"/>
  <c r="K3912" i="1"/>
  <c r="K3913" i="1" s="1"/>
  <c r="J3912" i="1"/>
  <c r="G3911" i="1"/>
  <c r="G3906" i="1"/>
  <c r="K3906" i="1" s="1"/>
  <c r="E3904" i="1"/>
  <c r="G3905" i="1" s="1"/>
  <c r="K3905" i="1" s="1"/>
  <c r="K3907" i="1" s="1"/>
  <c r="K3910" i="1" s="1"/>
  <c r="G3903" i="1"/>
  <c r="J3897" i="1"/>
  <c r="K3892" i="1"/>
  <c r="K3891" i="1"/>
  <c r="K3890" i="1"/>
  <c r="K3889" i="1"/>
  <c r="K3888" i="1"/>
  <c r="K3893" i="1" s="1"/>
  <c r="K3896" i="1" s="1"/>
  <c r="K3897" i="1" s="1"/>
  <c r="K3898" i="1" s="1"/>
  <c r="K3899" i="1" s="1"/>
  <c r="F3883" i="1"/>
  <c r="I3880" i="1"/>
  <c r="I3882" i="1" s="1"/>
  <c r="K3882" i="1" s="1"/>
  <c r="I3875" i="1"/>
  <c r="K3875" i="1" s="1"/>
  <c r="K3876" i="1" s="1"/>
  <c r="K3869" i="1"/>
  <c r="K3868" i="1"/>
  <c r="J3868" i="1"/>
  <c r="J3846" i="1"/>
  <c r="J3844" i="1"/>
  <c r="I3844" i="1"/>
  <c r="I3843" i="1"/>
  <c r="J3842" i="1"/>
  <c r="I3842" i="1"/>
  <c r="J3841" i="1"/>
  <c r="I3841" i="1"/>
  <c r="J3840" i="1"/>
  <c r="I3840" i="1"/>
  <c r="I3839" i="1"/>
  <c r="J3838" i="1"/>
  <c r="I3838" i="1"/>
  <c r="J3837" i="1"/>
  <c r="I3837" i="1"/>
  <c r="J3836" i="1"/>
  <c r="J3839" i="1" s="1"/>
  <c r="I3836" i="1"/>
  <c r="K3837" i="1" s="1"/>
  <c r="I3826" i="1"/>
  <c r="I3819" i="1"/>
  <c r="I3820" i="1" s="1"/>
  <c r="K3820" i="1" s="1"/>
  <c r="I3813" i="1"/>
  <c r="K3813" i="1" s="1"/>
  <c r="I3812" i="1"/>
  <c r="K3812" i="1" s="1"/>
  <c r="J3808" i="1"/>
  <c r="G3803" i="1"/>
  <c r="K3803" i="1" s="1"/>
  <c r="G3802" i="1"/>
  <c r="K3802" i="1" s="1"/>
  <c r="E3801" i="1"/>
  <c r="K3801" i="1" s="1"/>
  <c r="K3800" i="1"/>
  <c r="K3796" i="1"/>
  <c r="J3795" i="1"/>
  <c r="E3791" i="1"/>
  <c r="K3791" i="1" s="1"/>
  <c r="K3794" i="1" s="1"/>
  <c r="K3795" i="1" s="1"/>
  <c r="J3785" i="1"/>
  <c r="E3781" i="1"/>
  <c r="K3781" i="1" s="1"/>
  <c r="K3784" i="1" s="1"/>
  <c r="K3785" i="1" s="1"/>
  <c r="K3786" i="1" s="1"/>
  <c r="K3787" i="1" s="1"/>
  <c r="F3776" i="1"/>
  <c r="K3771" i="1"/>
  <c r="I3771" i="1"/>
  <c r="I3773" i="1" s="1"/>
  <c r="K3773" i="1" s="1"/>
  <c r="I3765" i="1"/>
  <c r="K3765" i="1" s="1"/>
  <c r="J3759" i="1"/>
  <c r="K3759" i="1" s="1"/>
  <c r="K3760" i="1" s="1"/>
  <c r="K3761" i="1" s="1"/>
  <c r="K3755" i="1"/>
  <c r="K3753" i="1"/>
  <c r="K3754" i="1" s="1"/>
  <c r="J3753" i="1"/>
  <c r="K3752" i="1"/>
  <c r="K3749" i="1"/>
  <c r="J3741" i="1"/>
  <c r="K3740" i="1"/>
  <c r="K3741" i="1" s="1"/>
  <c r="J3740" i="1"/>
  <c r="E3740" i="1"/>
  <c r="J3736" i="1"/>
  <c r="K3732" i="1"/>
  <c r="K3731" i="1"/>
  <c r="K3730" i="1"/>
  <c r="J3726" i="1"/>
  <c r="K3719" i="1"/>
  <c r="K3718" i="1"/>
  <c r="K3720" i="1" s="1"/>
  <c r="K3717" i="1"/>
  <c r="K3715" i="1"/>
  <c r="K3713" i="1"/>
  <c r="K3712" i="1"/>
  <c r="E3712" i="1"/>
  <c r="K3711" i="1"/>
  <c r="K3708" i="1"/>
  <c r="E3708" i="1"/>
  <c r="K3707" i="1"/>
  <c r="E3706" i="1"/>
  <c r="K3706" i="1" s="1"/>
  <c r="E3705" i="1"/>
  <c r="K3705" i="1" s="1"/>
  <c r="K3704" i="1"/>
  <c r="G3704" i="1"/>
  <c r="K3703" i="1"/>
  <c r="G3703" i="1"/>
  <c r="E3701" i="1"/>
  <c r="K3701" i="1" s="1"/>
  <c r="E3700" i="1"/>
  <c r="K3700" i="1" s="1"/>
  <c r="J3694" i="1"/>
  <c r="K3693" i="1"/>
  <c r="K3690" i="1"/>
  <c r="E3690" i="1"/>
  <c r="J3684" i="1"/>
  <c r="K3679" i="1"/>
  <c r="K3683" i="1" s="1"/>
  <c r="K3684" i="1" s="1"/>
  <c r="K3685" i="1" s="1"/>
  <c r="K3686" i="1" s="1"/>
  <c r="J3675" i="1"/>
  <c r="K3674" i="1"/>
  <c r="K3675" i="1" s="1"/>
  <c r="K3671" i="1"/>
  <c r="J3665" i="1"/>
  <c r="E3660" i="1"/>
  <c r="K3660" i="1" s="1"/>
  <c r="K3659" i="1"/>
  <c r="E3659" i="1"/>
  <c r="K3658" i="1"/>
  <c r="K3661" i="1" s="1"/>
  <c r="E3658" i="1"/>
  <c r="K3653" i="1"/>
  <c r="K3652" i="1"/>
  <c r="I3652" i="1"/>
  <c r="K3647" i="1"/>
  <c r="K3648" i="1" s="1"/>
  <c r="I3647" i="1"/>
  <c r="J3643" i="1"/>
  <c r="K3637" i="1"/>
  <c r="E3637" i="1"/>
  <c r="G3636" i="1"/>
  <c r="E3636" i="1"/>
  <c r="K3636" i="1" s="1"/>
  <c r="K3638" i="1" s="1"/>
  <c r="K3635" i="1"/>
  <c r="G3635" i="1"/>
  <c r="E3635" i="1"/>
  <c r="K3633" i="1"/>
  <c r="E3633" i="1"/>
  <c r="K3632" i="1"/>
  <c r="E3632" i="1"/>
  <c r="K3631" i="1"/>
  <c r="E3631" i="1"/>
  <c r="J3624" i="1"/>
  <c r="E3620" i="1"/>
  <c r="K3620" i="1" s="1"/>
  <c r="K3623" i="1" s="1"/>
  <c r="K3624" i="1" s="1"/>
  <c r="K3625" i="1" s="1"/>
  <c r="K3626" i="1" s="1"/>
  <c r="K3614" i="1"/>
  <c r="K3615" i="1" s="1"/>
  <c r="J3613" i="1"/>
  <c r="E3609" i="1"/>
  <c r="K3609" i="1" s="1"/>
  <c r="K3612" i="1" s="1"/>
  <c r="K3613" i="1" s="1"/>
  <c r="K3604" i="1"/>
  <c r="J3604" i="1"/>
  <c r="K3598" i="1"/>
  <c r="K3599" i="1" s="1"/>
  <c r="K3600" i="1" s="1"/>
  <c r="J3598" i="1"/>
  <c r="K3597" i="1"/>
  <c r="E3594" i="1"/>
  <c r="K3594" i="1" s="1"/>
  <c r="J3588" i="1"/>
  <c r="E3584" i="1"/>
  <c r="K3584" i="1" s="1"/>
  <c r="K3587" i="1" s="1"/>
  <c r="K3588" i="1" s="1"/>
  <c r="K3589" i="1" s="1"/>
  <c r="K3590" i="1" s="1"/>
  <c r="J3580" i="1"/>
  <c r="K3575" i="1"/>
  <c r="E3575" i="1"/>
  <c r="E3574" i="1"/>
  <c r="K3574" i="1" s="1"/>
  <c r="K3576" i="1" s="1"/>
  <c r="K3579" i="1" s="1"/>
  <c r="K3580" i="1" s="1"/>
  <c r="J3569" i="1"/>
  <c r="K3564" i="1"/>
  <c r="E3563" i="1"/>
  <c r="K3563" i="1" s="1"/>
  <c r="E3562" i="1"/>
  <c r="K3562" i="1" s="1"/>
  <c r="K3561" i="1"/>
  <c r="E3561" i="1"/>
  <c r="E3559" i="1"/>
  <c r="K3553" i="1"/>
  <c r="I3553" i="1"/>
  <c r="K3552" i="1"/>
  <c r="I3552" i="1"/>
  <c r="I3551" i="1"/>
  <c r="K3551" i="1" s="1"/>
  <c r="K3550" i="1"/>
  <c r="I3550" i="1"/>
  <c r="J3544" i="1"/>
  <c r="K3539" i="1"/>
  <c r="G3539" i="1"/>
  <c r="E3539" i="1"/>
  <c r="G3538" i="1"/>
  <c r="K3538" i="1" s="1"/>
  <c r="E3538" i="1"/>
  <c r="G3537" i="1"/>
  <c r="E3537" i="1"/>
  <c r="K3537" i="1" s="1"/>
  <c r="K3536" i="1"/>
  <c r="K3535" i="1"/>
  <c r="J3529" i="1"/>
  <c r="K3524" i="1"/>
  <c r="J3523" i="1"/>
  <c r="K3523" i="1" s="1"/>
  <c r="K3525" i="1" s="1"/>
  <c r="K3528" i="1" s="1"/>
  <c r="K3529" i="1" s="1"/>
  <c r="K3530" i="1" s="1"/>
  <c r="K3531" i="1" s="1"/>
  <c r="I3518" i="1"/>
  <c r="K3518" i="1" s="1"/>
  <c r="I3517" i="1"/>
  <c r="K3517" i="1" s="1"/>
  <c r="K3519" i="1" s="1"/>
  <c r="J3511" i="1"/>
  <c r="K3506" i="1"/>
  <c r="K3505" i="1"/>
  <c r="K3507" i="1" s="1"/>
  <c r="K3510" i="1" s="1"/>
  <c r="K3511" i="1" s="1"/>
  <c r="K3512" i="1" s="1"/>
  <c r="K3513" i="1" s="1"/>
  <c r="K3500" i="1"/>
  <c r="K3501" i="1" s="1"/>
  <c r="J3499" i="1"/>
  <c r="K3499" i="1" s="1"/>
  <c r="K3498" i="1"/>
  <c r="K3495" i="1"/>
  <c r="J3489" i="1"/>
  <c r="K3485" i="1"/>
  <c r="K3488" i="1" s="1"/>
  <c r="K3489" i="1" s="1"/>
  <c r="K3490" i="1" s="1"/>
  <c r="K3491" i="1" s="1"/>
  <c r="J3479" i="1"/>
  <c r="K3479" i="1" s="1"/>
  <c r="K3480" i="1" s="1"/>
  <c r="K3481" i="1" s="1"/>
  <c r="K3478" i="1"/>
  <c r="K3475" i="1"/>
  <c r="J3471" i="1"/>
  <c r="K3466" i="1"/>
  <c r="K3465" i="1"/>
  <c r="K3467" i="1" s="1"/>
  <c r="K3470" i="1" s="1"/>
  <c r="K3471" i="1" s="1"/>
  <c r="K3460" i="1"/>
  <c r="K3461" i="1" s="1"/>
  <c r="I3459" i="1"/>
  <c r="K3459" i="1" s="1"/>
  <c r="K3458" i="1"/>
  <c r="I3458" i="1"/>
  <c r="J3454" i="1"/>
  <c r="K3449" i="1"/>
  <c r="K3448" i="1"/>
  <c r="K3450" i="1" s="1"/>
  <c r="K3453" i="1" s="1"/>
  <c r="K3454" i="1" s="1"/>
  <c r="J3444" i="1"/>
  <c r="E3439" i="1"/>
  <c r="G3439" i="1" s="1"/>
  <c r="K3439" i="1" s="1"/>
  <c r="K3438" i="1"/>
  <c r="K3440" i="1" s="1"/>
  <c r="K3443" i="1" s="1"/>
  <c r="K3437" i="1"/>
  <c r="K3431" i="1"/>
  <c r="K3432" i="1" s="1"/>
  <c r="K3433" i="1" s="1"/>
  <c r="J3431" i="1"/>
  <c r="K3430" i="1"/>
  <c r="K3426" i="1"/>
  <c r="K3427" i="1" s="1"/>
  <c r="K3425" i="1"/>
  <c r="K3420" i="1"/>
  <c r="K3421" i="1" s="1"/>
  <c r="J3414" i="1"/>
  <c r="K3409" i="1"/>
  <c r="K3408" i="1"/>
  <c r="K3404" i="1"/>
  <c r="J3404" i="1"/>
  <c r="K3399" i="1"/>
  <c r="K3400" i="1" s="1"/>
  <c r="K3403" i="1" s="1"/>
  <c r="K3398" i="1"/>
  <c r="J3394" i="1"/>
  <c r="K3389" i="1"/>
  <c r="K3388" i="1"/>
  <c r="K3390" i="1" s="1"/>
  <c r="K3393" i="1" s="1"/>
  <c r="K3394" i="1" s="1"/>
  <c r="K3384" i="1"/>
  <c r="J3384" i="1"/>
  <c r="K3379" i="1"/>
  <c r="K3380" i="1" s="1"/>
  <c r="K3383" i="1" s="1"/>
  <c r="K3378" i="1"/>
  <c r="J3372" i="1"/>
  <c r="K3367" i="1"/>
  <c r="K3368" i="1" s="1"/>
  <c r="K3371" i="1" s="1"/>
  <c r="K3372" i="1" s="1"/>
  <c r="K3373" i="1" s="1"/>
  <c r="K3374" i="1" s="1"/>
  <c r="K3366" i="1"/>
  <c r="J3362" i="1"/>
  <c r="K3357" i="1"/>
  <c r="K3356" i="1"/>
  <c r="K3358" i="1" s="1"/>
  <c r="K3361" i="1" s="1"/>
  <c r="K3362" i="1" s="1"/>
  <c r="J3350" i="1"/>
  <c r="K3349" i="1"/>
  <c r="K3350" i="1" s="1"/>
  <c r="K3351" i="1" s="1"/>
  <c r="K3352" i="1" s="1"/>
  <c r="K3346" i="1"/>
  <c r="K3345" i="1"/>
  <c r="K3344" i="1"/>
  <c r="J3338" i="1"/>
  <c r="K3333" i="1"/>
  <c r="K3332" i="1"/>
  <c r="K3322" i="1"/>
  <c r="K3325" i="1" s="1"/>
  <c r="K3326" i="1" s="1"/>
  <c r="K3327" i="1" s="1"/>
  <c r="K3328" i="1" s="1"/>
  <c r="K3321" i="1"/>
  <c r="K3320" i="1"/>
  <c r="K3319" i="1"/>
  <c r="K3315" i="1"/>
  <c r="K3314" i="1"/>
  <c r="J3308" i="1"/>
  <c r="K3303" i="1"/>
  <c r="K3301" i="1"/>
  <c r="K3300" i="1"/>
  <c r="K3299" i="1"/>
  <c r="K3298" i="1"/>
  <c r="J3292" i="1"/>
  <c r="K3287" i="1"/>
  <c r="K3288" i="1" s="1"/>
  <c r="K3291" i="1" s="1"/>
  <c r="K3292" i="1" s="1"/>
  <c r="K3293" i="1" s="1"/>
  <c r="K3294" i="1" s="1"/>
  <c r="K3286" i="1"/>
  <c r="J3282" i="1"/>
  <c r="K3277" i="1"/>
  <c r="K3276" i="1"/>
  <c r="J3270" i="1"/>
  <c r="K3265" i="1"/>
  <c r="G3264" i="1"/>
  <c r="K3264" i="1" s="1"/>
  <c r="E3264" i="1"/>
  <c r="K3263" i="1"/>
  <c r="E3263" i="1"/>
  <c r="K3259" i="1"/>
  <c r="K3258" i="1"/>
  <c r="I3258" i="1"/>
  <c r="J3252" i="1"/>
  <c r="K3251" i="1"/>
  <c r="K3252" i="1" s="1"/>
  <c r="K3253" i="1" s="1"/>
  <c r="K3254" i="1" s="1"/>
  <c r="K3248" i="1"/>
  <c r="K3247" i="1"/>
  <c r="K3246" i="1"/>
  <c r="J3240" i="1"/>
  <c r="K3236" i="1"/>
  <c r="K3239" i="1" s="1"/>
  <c r="K3240" i="1" s="1"/>
  <c r="K3241" i="1" s="1"/>
  <c r="K3242" i="1" s="1"/>
  <c r="K3232" i="1"/>
  <c r="J3228" i="1"/>
  <c r="G3223" i="1"/>
  <c r="K3223" i="1" s="1"/>
  <c r="K3222" i="1"/>
  <c r="K3221" i="1"/>
  <c r="K3216" i="1"/>
  <c r="K3217" i="1" s="1"/>
  <c r="J3210" i="1"/>
  <c r="K3205" i="1"/>
  <c r="K3204" i="1"/>
  <c r="K3200" i="1"/>
  <c r="K3199" i="1"/>
  <c r="I3199" i="1"/>
  <c r="J3194" i="1"/>
  <c r="K3189" i="1"/>
  <c r="K3187" i="1"/>
  <c r="K3186" i="1"/>
  <c r="K3185" i="1"/>
  <c r="K3181" i="1"/>
  <c r="K3180" i="1"/>
  <c r="J3176" i="1"/>
  <c r="K3171" i="1"/>
  <c r="G3171" i="1"/>
  <c r="K3170" i="1"/>
  <c r="K3169" i="1"/>
  <c r="J3163" i="1"/>
  <c r="K3159" i="1"/>
  <c r="K3162" i="1" s="1"/>
  <c r="K3163" i="1" s="1"/>
  <c r="K3164" i="1" s="1"/>
  <c r="K3165" i="1" s="1"/>
  <c r="J3155" i="1"/>
  <c r="E3150" i="1"/>
  <c r="G3150" i="1" s="1"/>
  <c r="K3150" i="1" s="1"/>
  <c r="K3151" i="1" s="1"/>
  <c r="K3154" i="1" s="1"/>
  <c r="K3155" i="1" s="1"/>
  <c r="K3149" i="1"/>
  <c r="I3149" i="1"/>
  <c r="E3148" i="1"/>
  <c r="I3148" i="1" s="1"/>
  <c r="K3148" i="1" s="1"/>
  <c r="G3147" i="1"/>
  <c r="E3147" i="1"/>
  <c r="I3147" i="1" s="1"/>
  <c r="K3147" i="1" s="1"/>
  <c r="K3146" i="1"/>
  <c r="K3145" i="1"/>
  <c r="K3139" i="1"/>
  <c r="K3140" i="1" s="1"/>
  <c r="K3141" i="1" s="1"/>
  <c r="J3139" i="1"/>
  <c r="K3135" i="1"/>
  <c r="K3138" i="1" s="1"/>
  <c r="J3131" i="1"/>
  <c r="K3130" i="1"/>
  <c r="K3131" i="1" s="1"/>
  <c r="K3127" i="1"/>
  <c r="K3126" i="1"/>
  <c r="K3125" i="1"/>
  <c r="E3125" i="1"/>
  <c r="J3121" i="1"/>
  <c r="K3116" i="1"/>
  <c r="G3116" i="1"/>
  <c r="I3116" i="1" s="1"/>
  <c r="I3115" i="1"/>
  <c r="K3115" i="1" s="1"/>
  <c r="E3115" i="1"/>
  <c r="K3114" i="1"/>
  <c r="I3114" i="1"/>
  <c r="G3114" i="1"/>
  <c r="E3114" i="1"/>
  <c r="K3113" i="1"/>
  <c r="K3112" i="1"/>
  <c r="J3106" i="1"/>
  <c r="K3105" i="1"/>
  <c r="K3106" i="1" s="1"/>
  <c r="K3107" i="1" s="1"/>
  <c r="K3108" i="1" s="1"/>
  <c r="K3101" i="1"/>
  <c r="K3100" i="1"/>
  <c r="K3102" i="1" s="1"/>
  <c r="J3096" i="1"/>
  <c r="K3091" i="1"/>
  <c r="E3091" i="1"/>
  <c r="I3091" i="1" s="1"/>
  <c r="G3090" i="1"/>
  <c r="E3090" i="1"/>
  <c r="I3090" i="1" s="1"/>
  <c r="K3090" i="1" s="1"/>
  <c r="K3089" i="1"/>
  <c r="I3089" i="1"/>
  <c r="K3088" i="1"/>
  <c r="K3087" i="1"/>
  <c r="B3083" i="1"/>
  <c r="J3077" i="1"/>
  <c r="K3072" i="1"/>
  <c r="K3071" i="1"/>
  <c r="E3071" i="1"/>
  <c r="K3070" i="1"/>
  <c r="K3069" i="1"/>
  <c r="K3073" i="1" s="1"/>
  <c r="K3076" i="1" s="1"/>
  <c r="K3077" i="1" s="1"/>
  <c r="K3078" i="1" s="1"/>
  <c r="K3079" i="1" s="1"/>
  <c r="J3069" i="1"/>
  <c r="J3063" i="1"/>
  <c r="K3058" i="1"/>
  <c r="K3057" i="1"/>
  <c r="K3059" i="1" s="1"/>
  <c r="K3062" i="1" s="1"/>
  <c r="K3063" i="1" s="1"/>
  <c r="K3064" i="1" s="1"/>
  <c r="K3065" i="1" s="1"/>
  <c r="K3051" i="1"/>
  <c r="K3052" i="1" s="1"/>
  <c r="K3053" i="1" s="1"/>
  <c r="J3051" i="1"/>
  <c r="K3046" i="1"/>
  <c r="K3047" i="1" s="1"/>
  <c r="K3050" i="1" s="1"/>
  <c r="K3045" i="1"/>
  <c r="J3041" i="1"/>
  <c r="I3036" i="1"/>
  <c r="K3036" i="1" s="1"/>
  <c r="K3035" i="1"/>
  <c r="E3035" i="1"/>
  <c r="I3035" i="1" s="1"/>
  <c r="K3034" i="1"/>
  <c r="I3034" i="1"/>
  <c r="G3034" i="1"/>
  <c r="E3034" i="1"/>
  <c r="G3033" i="1"/>
  <c r="K3033" i="1" s="1"/>
  <c r="K3032" i="1"/>
  <c r="G3032" i="1"/>
  <c r="K3031" i="1"/>
  <c r="K3030" i="1"/>
  <c r="B3026" i="1"/>
  <c r="J3022" i="1"/>
  <c r="K3021" i="1"/>
  <c r="K3022" i="1" s="1"/>
  <c r="E3026" i="1" s="1"/>
  <c r="K3026" i="1" s="1"/>
  <c r="K3017" i="1"/>
  <c r="G3017" i="1"/>
  <c r="G3016" i="1"/>
  <c r="K3016" i="1" s="1"/>
  <c r="K3015" i="1"/>
  <c r="K3018" i="1" s="1"/>
  <c r="K3014" i="1"/>
  <c r="J3008" i="1"/>
  <c r="K3004" i="1"/>
  <c r="G3004" i="1"/>
  <c r="E3004" i="1"/>
  <c r="E3003" i="1"/>
  <c r="G3003" i="1" s="1"/>
  <c r="K3003" i="1" s="1"/>
  <c r="K3002" i="1"/>
  <c r="J2996" i="1"/>
  <c r="K2991" i="1"/>
  <c r="K2990" i="1"/>
  <c r="K2992" i="1" s="1"/>
  <c r="K2995" i="1" s="1"/>
  <c r="K2996" i="1" s="1"/>
  <c r="K2997" i="1" s="1"/>
  <c r="K2998" i="1" s="1"/>
  <c r="K2989" i="1"/>
  <c r="K2984" i="1"/>
  <c r="K2985" i="1" s="1"/>
  <c r="J2983" i="1"/>
  <c r="K2978" i="1"/>
  <c r="K2977" i="1"/>
  <c r="K2979" i="1" s="1"/>
  <c r="K2982" i="1" s="1"/>
  <c r="K2983" i="1" s="1"/>
  <c r="J2977" i="1"/>
  <c r="E2977" i="1"/>
  <c r="J2971" i="1"/>
  <c r="K2966" i="1"/>
  <c r="K2965" i="1"/>
  <c r="K2967" i="1" s="1"/>
  <c r="K2970" i="1" s="1"/>
  <c r="K2971" i="1" s="1"/>
  <c r="K2972" i="1" s="1"/>
  <c r="K2973" i="1" s="1"/>
  <c r="J2961" i="1"/>
  <c r="K2957" i="1"/>
  <c r="K2960" i="1" s="1"/>
  <c r="K2961" i="1" s="1"/>
  <c r="K2956" i="1"/>
  <c r="K2955" i="1"/>
  <c r="J2951" i="1"/>
  <c r="I2946" i="1"/>
  <c r="K2946" i="1" s="1"/>
  <c r="K2945" i="1"/>
  <c r="E2945" i="1"/>
  <c r="I2945" i="1" s="1"/>
  <c r="I2944" i="1"/>
  <c r="K2944" i="1" s="1"/>
  <c r="G2944" i="1"/>
  <c r="E2944" i="1"/>
  <c r="K2943" i="1"/>
  <c r="K2942" i="1"/>
  <c r="K2938" i="1"/>
  <c r="K2937" i="1"/>
  <c r="K2932" i="1"/>
  <c r="K2933" i="1" s="1"/>
  <c r="I2932" i="1"/>
  <c r="K2931" i="1"/>
  <c r="I2931" i="1"/>
  <c r="K2930" i="1"/>
  <c r="K2929" i="1"/>
  <c r="I2929" i="1"/>
  <c r="I2930" i="1" s="1"/>
  <c r="K2924" i="1"/>
  <c r="K2925" i="1" s="1"/>
  <c r="J2920" i="1"/>
  <c r="K2915" i="1"/>
  <c r="E2914" i="1"/>
  <c r="K2914" i="1" s="1"/>
  <c r="K2916" i="1" s="1"/>
  <c r="K2919" i="1" s="1"/>
  <c r="K2920" i="1" s="1"/>
  <c r="K2913" i="1"/>
  <c r="K2909" i="1"/>
  <c r="K2908" i="1"/>
  <c r="I2908" i="1"/>
  <c r="I2903" i="1"/>
  <c r="K2903" i="1" s="1"/>
  <c r="K2904" i="1" s="1"/>
  <c r="J2898" i="1"/>
  <c r="E2893" i="1"/>
  <c r="K2893" i="1" s="1"/>
  <c r="K2892" i="1"/>
  <c r="K2894" i="1" s="1"/>
  <c r="K2897" i="1" s="1"/>
  <c r="K2898" i="1" s="1"/>
  <c r="K2899" i="1" s="1"/>
  <c r="E2892" i="1"/>
  <c r="J2886" i="1"/>
  <c r="K2881" i="1"/>
  <c r="K2885" i="1" s="1"/>
  <c r="K2886" i="1" s="1"/>
  <c r="K2887" i="1" s="1"/>
  <c r="K2888" i="1" s="1"/>
  <c r="J2875" i="1"/>
  <c r="K2870" i="1"/>
  <c r="K2869" i="1"/>
  <c r="J2863" i="1"/>
  <c r="K2859" i="1"/>
  <c r="K2862" i="1" s="1"/>
  <c r="K2863" i="1" s="1"/>
  <c r="K2864" i="1" s="1"/>
  <c r="K2865" i="1" s="1"/>
  <c r="K2858" i="1"/>
  <c r="K2857" i="1"/>
  <c r="K2853" i="1"/>
  <c r="K2852" i="1"/>
  <c r="J2836" i="1"/>
  <c r="K2831" i="1"/>
  <c r="E2829" i="1"/>
  <c r="K2829" i="1" s="1"/>
  <c r="K2830" i="1" s="1"/>
  <c r="K2832" i="1" s="1"/>
  <c r="K2835" i="1" s="1"/>
  <c r="K2836" i="1" s="1"/>
  <c r="K2837" i="1" s="1"/>
  <c r="K2838" i="1" s="1"/>
  <c r="K2828" i="1"/>
  <c r="K2823" i="1"/>
  <c r="K2824" i="1" s="1"/>
  <c r="K2818" i="1"/>
  <c r="K2819" i="1" s="1"/>
  <c r="J2802" i="1"/>
  <c r="E2797" i="1"/>
  <c r="K2797" i="1" s="1"/>
  <c r="E2796" i="1"/>
  <c r="K2796" i="1" s="1"/>
  <c r="E2795" i="1"/>
  <c r="K2795" i="1" s="1"/>
  <c r="E2794" i="1"/>
  <c r="K2794" i="1" s="1"/>
  <c r="K2793" i="1"/>
  <c r="E2793" i="1"/>
  <c r="K2792" i="1"/>
  <c r="E2792" i="1"/>
  <c r="K2791" i="1"/>
  <c r="K2790" i="1"/>
  <c r="K2785" i="1"/>
  <c r="K2786" i="1" s="1"/>
  <c r="K2781" i="1"/>
  <c r="K2780" i="1"/>
  <c r="K2776" i="1"/>
  <c r="K2775" i="1"/>
  <c r="K2771" i="1"/>
  <c r="K2770" i="1"/>
  <c r="J2765" i="1"/>
  <c r="K2760" i="1"/>
  <c r="E2760" i="1"/>
  <c r="K2759" i="1"/>
  <c r="K2761" i="1" s="1"/>
  <c r="K2764" i="1" s="1"/>
  <c r="K2765" i="1" s="1"/>
  <c r="K2766" i="1" s="1"/>
  <c r="E2759" i="1"/>
  <c r="J2753" i="1"/>
  <c r="K2749" i="1"/>
  <c r="K2752" i="1" s="1"/>
  <c r="K2753" i="1" s="1"/>
  <c r="K2754" i="1" s="1"/>
  <c r="K2755" i="1" s="1"/>
  <c r="K2748" i="1"/>
  <c r="K2747" i="1"/>
  <c r="J2741" i="1"/>
  <c r="K2740" i="1"/>
  <c r="K2736" i="1"/>
  <c r="K2737" i="1" s="1"/>
  <c r="K2735" i="1"/>
  <c r="J2730" i="1"/>
  <c r="K2725" i="1"/>
  <c r="E2724" i="1"/>
  <c r="K2724" i="1" s="1"/>
  <c r="K2726" i="1" s="1"/>
  <c r="K2729" i="1" s="1"/>
  <c r="K2730" i="1" s="1"/>
  <c r="K2731" i="1" s="1"/>
  <c r="J2719" i="1"/>
  <c r="K2719" i="1" s="1"/>
  <c r="K2720" i="1" s="1"/>
  <c r="K2718" i="1"/>
  <c r="K2715" i="1"/>
  <c r="J2710" i="1"/>
  <c r="K2705" i="1"/>
  <c r="K2709" i="1" s="1"/>
  <c r="K2710" i="1" s="1"/>
  <c r="K2711" i="1" s="1"/>
  <c r="G2705" i="1"/>
  <c r="K2701" i="1"/>
  <c r="K2700" i="1"/>
  <c r="E2696" i="1"/>
  <c r="K2694" i="1"/>
  <c r="I2694" i="1"/>
  <c r="I2693" i="1"/>
  <c r="K2693" i="1" s="1"/>
  <c r="K2692" i="1"/>
  <c r="I2692" i="1"/>
  <c r="K2691" i="1"/>
  <c r="I2691" i="1"/>
  <c r="K2690" i="1"/>
  <c r="I2690" i="1"/>
  <c r="K2689" i="1"/>
  <c r="I2689" i="1"/>
  <c r="I2695" i="1" s="1"/>
  <c r="K2695" i="1" s="1"/>
  <c r="K2696" i="1" s="1"/>
  <c r="J2684" i="1"/>
  <c r="K2678" i="1"/>
  <c r="E2678" i="1"/>
  <c r="K2677" i="1"/>
  <c r="K2679" i="1" s="1"/>
  <c r="K2680" i="1" s="1"/>
  <c r="K2683" i="1" s="1"/>
  <c r="K2684" i="1" s="1"/>
  <c r="K2685" i="1" s="1"/>
  <c r="E2677" i="1"/>
  <c r="K2676" i="1"/>
  <c r="E2676" i="1"/>
  <c r="K2669" i="1"/>
  <c r="K2670" i="1" s="1"/>
  <c r="K2671" i="1" s="1"/>
  <c r="K2672" i="1" s="1"/>
  <c r="I2669" i="1"/>
  <c r="K2668" i="1"/>
  <c r="I2663" i="1"/>
  <c r="K2663" i="1" s="1"/>
  <c r="K2664" i="1" s="1"/>
  <c r="K2658" i="1"/>
  <c r="K2659" i="1" s="1"/>
  <c r="J2658" i="1"/>
  <c r="K2653" i="1"/>
  <c r="K2652" i="1"/>
  <c r="K2654" i="1" s="1"/>
  <c r="K2657" i="1" s="1"/>
  <c r="G2652" i="1"/>
  <c r="K2651" i="1"/>
  <c r="I2646" i="1"/>
  <c r="K2646" i="1" s="1"/>
  <c r="K2647" i="1" s="1"/>
  <c r="K2641" i="1"/>
  <c r="K2642" i="1" s="1"/>
  <c r="K2637" i="1"/>
  <c r="I2636" i="1"/>
  <c r="K2636" i="1" s="1"/>
  <c r="J2631" i="1"/>
  <c r="K2626" i="1"/>
  <c r="K2625" i="1"/>
  <c r="K2627" i="1" s="1"/>
  <c r="K2630" i="1" s="1"/>
  <c r="K2631" i="1" s="1"/>
  <c r="K2632" i="1" s="1"/>
  <c r="K2620" i="1"/>
  <c r="K2621" i="1" s="1"/>
  <c r="K2616" i="1"/>
  <c r="K2615" i="1"/>
  <c r="K2611" i="1"/>
  <c r="K2610" i="1"/>
  <c r="K2606" i="1"/>
  <c r="K2605" i="1"/>
  <c r="I2605" i="1"/>
  <c r="K2601" i="1"/>
  <c r="K2600" i="1"/>
  <c r="I2595" i="1"/>
  <c r="K2595" i="1" s="1"/>
  <c r="K2596" i="1" s="1"/>
  <c r="K2591" i="1"/>
  <c r="J2590" i="1"/>
  <c r="K2586" i="1"/>
  <c r="K2589" i="1" s="1"/>
  <c r="K2590" i="1" s="1"/>
  <c r="K2585" i="1"/>
  <c r="K2584" i="1"/>
  <c r="J2579" i="1"/>
  <c r="K2576" i="1"/>
  <c r="I2574" i="1"/>
  <c r="K2574" i="1" s="1"/>
  <c r="K2575" i="1" s="1"/>
  <c r="K2578" i="1" s="1"/>
  <c r="K2579" i="1" s="1"/>
  <c r="K2580" i="1" s="1"/>
  <c r="I2573" i="1"/>
  <c r="K2573" i="1" s="1"/>
  <c r="K2572" i="1"/>
  <c r="I2572" i="1"/>
  <c r="J2567" i="1"/>
  <c r="K2564" i="1"/>
  <c r="K2563" i="1"/>
  <c r="I2562" i="1"/>
  <c r="K2562" i="1" s="1"/>
  <c r="I2561" i="1"/>
  <c r="E2561" i="1"/>
  <c r="K2561" i="1" s="1"/>
  <c r="J2555" i="1"/>
  <c r="K2552" i="1"/>
  <c r="K2551" i="1"/>
  <c r="K2554" i="1" s="1"/>
  <c r="K2555" i="1" s="1"/>
  <c r="K2556" i="1" s="1"/>
  <c r="K2557" i="1" s="1"/>
  <c r="I2550" i="1"/>
  <c r="K2550" i="1" s="1"/>
  <c r="I2549" i="1"/>
  <c r="K2549" i="1" s="1"/>
  <c r="J2533" i="1"/>
  <c r="K2530" i="1"/>
  <c r="K2528" i="1"/>
  <c r="E2528" i="1"/>
  <c r="G2528" i="1" s="1"/>
  <c r="G2527" i="1"/>
  <c r="K2527" i="1" s="1"/>
  <c r="E2527" i="1"/>
  <c r="G2526" i="1"/>
  <c r="K2526" i="1" s="1"/>
  <c r="E2526" i="1"/>
  <c r="E2525" i="1"/>
  <c r="G2525" i="1" s="1"/>
  <c r="K2525" i="1" s="1"/>
  <c r="K2529" i="1" s="1"/>
  <c r="K2532" i="1" s="1"/>
  <c r="K2533" i="1" s="1"/>
  <c r="K2534" i="1" s="1"/>
  <c r="K2535" i="1" s="1"/>
  <c r="K2524" i="1"/>
  <c r="E2524" i="1"/>
  <c r="G2524" i="1" s="1"/>
  <c r="G2523" i="1"/>
  <c r="K2523" i="1" s="1"/>
  <c r="E2523" i="1"/>
  <c r="K2522" i="1"/>
  <c r="K2521" i="1"/>
  <c r="K2516" i="1"/>
  <c r="K2517" i="1" s="1"/>
  <c r="I2516" i="1"/>
  <c r="I2510" i="1"/>
  <c r="K2510" i="1" s="1"/>
  <c r="I2509" i="1"/>
  <c r="K2509" i="1" s="1"/>
  <c r="K2511" i="1" s="1"/>
  <c r="K2512" i="1" s="1"/>
  <c r="K2508" i="1"/>
  <c r="I2508" i="1"/>
  <c r="I2501" i="1"/>
  <c r="K2501" i="1" s="1"/>
  <c r="I2500" i="1"/>
  <c r="K2500" i="1" s="1"/>
  <c r="J2495" i="1"/>
  <c r="K2492" i="1"/>
  <c r="K2490" i="1"/>
  <c r="K2491" i="1" s="1"/>
  <c r="K2494" i="1" s="1"/>
  <c r="K2495" i="1" s="1"/>
  <c r="K2496" i="1" s="1"/>
  <c r="K2489" i="1"/>
  <c r="K2484" i="1"/>
  <c r="K2485" i="1" s="1"/>
  <c r="J2479" i="1"/>
  <c r="K2475" i="1"/>
  <c r="K2478" i="1" s="1"/>
  <c r="K2479" i="1" s="1"/>
  <c r="K2480" i="1" s="1"/>
  <c r="J2470" i="1"/>
  <c r="K2467" i="1"/>
  <c r="K2466" i="1"/>
  <c r="K2469" i="1" s="1"/>
  <c r="K2470" i="1" s="1"/>
  <c r="K2471" i="1" s="1"/>
  <c r="K2465" i="1"/>
  <c r="I2465" i="1"/>
  <c r="K2464" i="1"/>
  <c r="I2464" i="1"/>
  <c r="K2459" i="1"/>
  <c r="K2460" i="1" s="1"/>
  <c r="I2459" i="1"/>
  <c r="I2454" i="1"/>
  <c r="K2454" i="1" s="1"/>
  <c r="K2455" i="1" s="1"/>
  <c r="K2449" i="1"/>
  <c r="K2450" i="1" s="1"/>
  <c r="I2449" i="1"/>
  <c r="K2444" i="1"/>
  <c r="K2445" i="1" s="1"/>
  <c r="J2429" i="1"/>
  <c r="K2426" i="1"/>
  <c r="K2424" i="1"/>
  <c r="I2423" i="1"/>
  <c r="K2423" i="1" s="1"/>
  <c r="E2423" i="1"/>
  <c r="I2422" i="1"/>
  <c r="K2422" i="1" s="1"/>
  <c r="E2422" i="1"/>
  <c r="I2421" i="1"/>
  <c r="K2421" i="1" s="1"/>
  <c r="E2421" i="1"/>
  <c r="G2420" i="1"/>
  <c r="I2420" i="1" s="1"/>
  <c r="K2420" i="1" s="1"/>
  <c r="E2420" i="1"/>
  <c r="I2419" i="1"/>
  <c r="K2419" i="1" s="1"/>
  <c r="E2419" i="1"/>
  <c r="G2418" i="1"/>
  <c r="E2418" i="1"/>
  <c r="I2418" i="1" s="1"/>
  <c r="K2418" i="1" s="1"/>
  <c r="K2417" i="1"/>
  <c r="I2412" i="1"/>
  <c r="K2412" i="1" s="1"/>
  <c r="K2413" i="1" s="1"/>
  <c r="I2407" i="1"/>
  <c r="K2407" i="1" s="1"/>
  <c r="K2408" i="1" s="1"/>
  <c r="K2402" i="1"/>
  <c r="K2403" i="1" s="1"/>
  <c r="I2397" i="1"/>
  <c r="K2397" i="1" s="1"/>
  <c r="K2398" i="1" s="1"/>
  <c r="F2392" i="1"/>
  <c r="I2390" i="1"/>
  <c r="I2391" i="1" s="1"/>
  <c r="K2391" i="1" s="1"/>
  <c r="I2384" i="1"/>
  <c r="K2384" i="1" s="1"/>
  <c r="K2383" i="1"/>
  <c r="I2383" i="1"/>
  <c r="J2379" i="1"/>
  <c r="K2378" i="1"/>
  <c r="K2379" i="1" s="1"/>
  <c r="K2375" i="1"/>
  <c r="K2370" i="1"/>
  <c r="K2371" i="1" s="1"/>
  <c r="I2370" i="1"/>
  <c r="K2366" i="1"/>
  <c r="K2365" i="1"/>
  <c r="K2360" i="1"/>
  <c r="K2361" i="1" s="1"/>
  <c r="E2355" i="1"/>
  <c r="K2353" i="1"/>
  <c r="K2355" i="1" s="1"/>
  <c r="K2356" i="1" s="1"/>
  <c r="I2353" i="1"/>
  <c r="I2354" i="1" s="1"/>
  <c r="K2354" i="1" s="1"/>
  <c r="I2347" i="1"/>
  <c r="K2347" i="1" s="1"/>
  <c r="K2345" i="1"/>
  <c r="I2345" i="1"/>
  <c r="I2346" i="1" s="1"/>
  <c r="K2346" i="1" s="1"/>
  <c r="I2339" i="1"/>
  <c r="K2339" i="1" s="1"/>
  <c r="I2338" i="1"/>
  <c r="K2338" i="1" s="1"/>
  <c r="K2332" i="1"/>
  <c r="K2331" i="1"/>
  <c r="K2330" i="1"/>
  <c r="K2329" i="1"/>
  <c r="K2328" i="1"/>
  <c r="K2327" i="1"/>
  <c r="K2326" i="1"/>
  <c r="K2333" i="1" s="1"/>
  <c r="K2334" i="1" s="1"/>
  <c r="K2320" i="1"/>
  <c r="K2319" i="1"/>
  <c r="K2318" i="1"/>
  <c r="K2317" i="1"/>
  <c r="K2316" i="1"/>
  <c r="K2315" i="1"/>
  <c r="K2314" i="1"/>
  <c r="K2313" i="1"/>
  <c r="K2321" i="1" s="1"/>
  <c r="K2322" i="1" s="1"/>
  <c r="K2312" i="1"/>
  <c r="K2308" i="1"/>
  <c r="K2307" i="1"/>
  <c r="K2306" i="1"/>
  <c r="K2305" i="1"/>
  <c r="K2304" i="1"/>
  <c r="K2303" i="1"/>
  <c r="K2302" i="1"/>
  <c r="K2301" i="1"/>
  <c r="K2300" i="1"/>
  <c r="K2299" i="1"/>
  <c r="K2298" i="1"/>
  <c r="K2292" i="1"/>
  <c r="K2293" i="1" s="1"/>
  <c r="K2291" i="1"/>
  <c r="J2291" i="1"/>
  <c r="K2290" i="1"/>
  <c r="J2290" i="1"/>
  <c r="J2289" i="1"/>
  <c r="K2289" i="1" s="1"/>
  <c r="G2289" i="1"/>
  <c r="J2284" i="1"/>
  <c r="K2283" i="1"/>
  <c r="K2284" i="1" s="1"/>
  <c r="J2283" i="1"/>
  <c r="I2269" i="1"/>
  <c r="K2269" i="1" s="1"/>
  <c r="I2268" i="1"/>
  <c r="K2268" i="1" s="1"/>
  <c r="I2267" i="1"/>
  <c r="K2267" i="1" s="1"/>
  <c r="I2266" i="1"/>
  <c r="K2266" i="1" s="1"/>
  <c r="I2259" i="1"/>
  <c r="K2259" i="1" s="1"/>
  <c r="I2258" i="1"/>
  <c r="K2258" i="1" s="1"/>
  <c r="I2252" i="1"/>
  <c r="K2252" i="1" s="1"/>
  <c r="K2251" i="1"/>
  <c r="I2251" i="1"/>
  <c r="J2231" i="1"/>
  <c r="I2226" i="1"/>
  <c r="K2226" i="1" s="1"/>
  <c r="E2226" i="1"/>
  <c r="I2225" i="1"/>
  <c r="K2225" i="1" s="1"/>
  <c r="E2225" i="1"/>
  <c r="I2224" i="1"/>
  <c r="K2224" i="1" s="1"/>
  <c r="E2224" i="1"/>
  <c r="E2223" i="1"/>
  <c r="I2223" i="1" s="1"/>
  <c r="K2223" i="1" s="1"/>
  <c r="G2222" i="1"/>
  <c r="I2222" i="1" s="1"/>
  <c r="K2222" i="1" s="1"/>
  <c r="E2222" i="1"/>
  <c r="E2221" i="1"/>
  <c r="G2221" i="1" s="1"/>
  <c r="I2221" i="1" s="1"/>
  <c r="K2221" i="1" s="1"/>
  <c r="E2220" i="1"/>
  <c r="G2220" i="1" s="1"/>
  <c r="I2220" i="1" s="1"/>
  <c r="K2220" i="1" s="1"/>
  <c r="I2219" i="1"/>
  <c r="K2219" i="1" s="1"/>
  <c r="G2219" i="1"/>
  <c r="E2219" i="1"/>
  <c r="G2218" i="1"/>
  <c r="I2218" i="1" s="1"/>
  <c r="K2218" i="1" s="1"/>
  <c r="K2217" i="1"/>
  <c r="I2217" i="1"/>
  <c r="K2216" i="1"/>
  <c r="I2216" i="1"/>
  <c r="J2212" i="1"/>
  <c r="I2207" i="1"/>
  <c r="K2207" i="1" s="1"/>
  <c r="G2207" i="1"/>
  <c r="I2206" i="1"/>
  <c r="K2206" i="1" s="1"/>
  <c r="E2206" i="1"/>
  <c r="G2205" i="1"/>
  <c r="I2205" i="1" s="1"/>
  <c r="K2205" i="1" s="1"/>
  <c r="E2205" i="1"/>
  <c r="G2204" i="1"/>
  <c r="K2204" i="1" s="1"/>
  <c r="E2204" i="1"/>
  <c r="G2203" i="1"/>
  <c r="E2203" i="1"/>
  <c r="K2203" i="1" s="1"/>
  <c r="K2202" i="1"/>
  <c r="G2202" i="1"/>
  <c r="K2201" i="1"/>
  <c r="E2201" i="1"/>
  <c r="K2200" i="1"/>
  <c r="I2200" i="1"/>
  <c r="I2199" i="1"/>
  <c r="K2199" i="1" s="1"/>
  <c r="E2199" i="1"/>
  <c r="J2195" i="1"/>
  <c r="G2190" i="1"/>
  <c r="E2190" i="1"/>
  <c r="K2190" i="1" s="1"/>
  <c r="G2189" i="1"/>
  <c r="E2189" i="1"/>
  <c r="K2189" i="1" s="1"/>
  <c r="K2188" i="1"/>
  <c r="G2188" i="1"/>
  <c r="K2187" i="1"/>
  <c r="I2187" i="1"/>
  <c r="I2186" i="1"/>
  <c r="K2186" i="1" s="1"/>
  <c r="E2186" i="1"/>
  <c r="G2185" i="1"/>
  <c r="I2185" i="1" s="1"/>
  <c r="K2185" i="1" s="1"/>
  <c r="E2185" i="1"/>
  <c r="E2184" i="1"/>
  <c r="K2184" i="1" s="1"/>
  <c r="E2183" i="1"/>
  <c r="K2183" i="1" s="1"/>
  <c r="K2182" i="1"/>
  <c r="K2181" i="1"/>
  <c r="K2180" i="1"/>
  <c r="E2180" i="1"/>
  <c r="J2176" i="1"/>
  <c r="K2171" i="1"/>
  <c r="I2171" i="1"/>
  <c r="E2171" i="1"/>
  <c r="K2170" i="1"/>
  <c r="I2170" i="1"/>
  <c r="I2169" i="1"/>
  <c r="K2169" i="1" s="1"/>
  <c r="E2169" i="1"/>
  <c r="G2168" i="1"/>
  <c r="I2168" i="1" s="1"/>
  <c r="K2168" i="1" s="1"/>
  <c r="E2168" i="1"/>
  <c r="K2167" i="1"/>
  <c r="I2167" i="1"/>
  <c r="I2166" i="1"/>
  <c r="K2166" i="1" s="1"/>
  <c r="E2166" i="1"/>
  <c r="J2162" i="1"/>
  <c r="I2157" i="1"/>
  <c r="K2157" i="1" s="1"/>
  <c r="E2156" i="1"/>
  <c r="I2156" i="1" s="1"/>
  <c r="K2156" i="1" s="1"/>
  <c r="G2155" i="1"/>
  <c r="E2155" i="1"/>
  <c r="I2155" i="1" s="1"/>
  <c r="K2155" i="1" s="1"/>
  <c r="E2154" i="1"/>
  <c r="I2154" i="1" s="1"/>
  <c r="K2154" i="1" s="1"/>
  <c r="E2153" i="1"/>
  <c r="K2153" i="1" s="1"/>
  <c r="E2152" i="1"/>
  <c r="K2152" i="1" s="1"/>
  <c r="K2151" i="1"/>
  <c r="K2150" i="1"/>
  <c r="K2149" i="1"/>
  <c r="K2158" i="1" s="1"/>
  <c r="K2161" i="1" s="1"/>
  <c r="K2162" i="1" s="1"/>
  <c r="E2149" i="1"/>
  <c r="J2145" i="1"/>
  <c r="K2140" i="1"/>
  <c r="G2140" i="1"/>
  <c r="K2139" i="1"/>
  <c r="I2139" i="1"/>
  <c r="E2139" i="1"/>
  <c r="G2138" i="1"/>
  <c r="E2138" i="1"/>
  <c r="I2138" i="1" s="1"/>
  <c r="K2138" i="1" s="1"/>
  <c r="G2137" i="1"/>
  <c r="E2137" i="1"/>
  <c r="K2137" i="1" s="1"/>
  <c r="K2136" i="1"/>
  <c r="G2136" i="1"/>
  <c r="E2136" i="1"/>
  <c r="K2135" i="1"/>
  <c r="G2135" i="1"/>
  <c r="K2134" i="1"/>
  <c r="E2134" i="1"/>
  <c r="E2133" i="1"/>
  <c r="K2133" i="1" s="1"/>
  <c r="K2132" i="1"/>
  <c r="K2131" i="1"/>
  <c r="K2130" i="1"/>
  <c r="J2124" i="1"/>
  <c r="E2119" i="1"/>
  <c r="I2119" i="1" s="1"/>
  <c r="K2119" i="1" s="1"/>
  <c r="I2118" i="1"/>
  <c r="K2118" i="1" s="1"/>
  <c r="E2118" i="1"/>
  <c r="K2117" i="1"/>
  <c r="E2117" i="1"/>
  <c r="I2117" i="1" s="1"/>
  <c r="K2116" i="1"/>
  <c r="E2116" i="1"/>
  <c r="I2116" i="1" s="1"/>
  <c r="G2115" i="1"/>
  <c r="I2115" i="1" s="1"/>
  <c r="K2115" i="1" s="1"/>
  <c r="E2115" i="1"/>
  <c r="G2114" i="1"/>
  <c r="I2114" i="1" s="1"/>
  <c r="K2114" i="1" s="1"/>
  <c r="E2114" i="1"/>
  <c r="K2113" i="1"/>
  <c r="I2113" i="1"/>
  <c r="G2113" i="1"/>
  <c r="E2113" i="1"/>
  <c r="G2112" i="1"/>
  <c r="I2112" i="1" s="1"/>
  <c r="K2112" i="1" s="1"/>
  <c r="E2112" i="1"/>
  <c r="K2111" i="1"/>
  <c r="I2111" i="1"/>
  <c r="G2111" i="1"/>
  <c r="I2110" i="1"/>
  <c r="K2110" i="1" s="1"/>
  <c r="E2109" i="1"/>
  <c r="I2109" i="1" s="1"/>
  <c r="K2109" i="1" s="1"/>
  <c r="J2093" i="1"/>
  <c r="E2088" i="1"/>
  <c r="I2088" i="1" s="1"/>
  <c r="K2088" i="1" s="1"/>
  <c r="K2087" i="1"/>
  <c r="E2087" i="1"/>
  <c r="I2087" i="1" s="1"/>
  <c r="E2086" i="1"/>
  <c r="I2086" i="1" s="1"/>
  <c r="K2086" i="1" s="1"/>
  <c r="I2085" i="1"/>
  <c r="K2085" i="1" s="1"/>
  <c r="E2085" i="1"/>
  <c r="E2084" i="1"/>
  <c r="G2084" i="1" s="1"/>
  <c r="I2084" i="1" s="1"/>
  <c r="K2084" i="1" s="1"/>
  <c r="E2083" i="1"/>
  <c r="G2083" i="1" s="1"/>
  <c r="I2083" i="1" s="1"/>
  <c r="K2083" i="1" s="1"/>
  <c r="G2082" i="1"/>
  <c r="E2082" i="1"/>
  <c r="I2082" i="1" s="1"/>
  <c r="K2082" i="1" s="1"/>
  <c r="G2081" i="1"/>
  <c r="E2081" i="1"/>
  <c r="I2080" i="1"/>
  <c r="K2080" i="1" s="1"/>
  <c r="G2080" i="1"/>
  <c r="I2079" i="1"/>
  <c r="K2079" i="1" s="1"/>
  <c r="I2078" i="1"/>
  <c r="K2078" i="1" s="1"/>
  <c r="K2073" i="1"/>
  <c r="I2072" i="1"/>
  <c r="K2072" i="1" s="1"/>
  <c r="K2070" i="1"/>
  <c r="I2070" i="1"/>
  <c r="I2071" i="1" s="1"/>
  <c r="K2071" i="1" s="1"/>
  <c r="I2069" i="1"/>
  <c r="K2069" i="1" s="1"/>
  <c r="I2063" i="1"/>
  <c r="K2063" i="1" s="1"/>
  <c r="I2062" i="1"/>
  <c r="K2062" i="1" s="1"/>
  <c r="K2061" i="1"/>
  <c r="I2061" i="1"/>
  <c r="K2060" i="1"/>
  <c r="I2060" i="1"/>
  <c r="J2054" i="1"/>
  <c r="K2051" i="1"/>
  <c r="K2049" i="1"/>
  <c r="K2048" i="1"/>
  <c r="G2048" i="1"/>
  <c r="K2047" i="1"/>
  <c r="E2046" i="1"/>
  <c r="K2046" i="1" s="1"/>
  <c r="J2040" i="1"/>
  <c r="K2037" i="1"/>
  <c r="K2035" i="1"/>
  <c r="K2036" i="1" s="1"/>
  <c r="K2039" i="1" s="1"/>
  <c r="K2040" i="1" s="1"/>
  <c r="K2041" i="1" s="1"/>
  <c r="K2042" i="1" s="1"/>
  <c r="G2034" i="1"/>
  <c r="K2034" i="1" s="1"/>
  <c r="K2033" i="1"/>
  <c r="E2032" i="1"/>
  <c r="K2032" i="1" s="1"/>
  <c r="J2017" i="1"/>
  <c r="K2014" i="1"/>
  <c r="K2012" i="1"/>
  <c r="I2012" i="1"/>
  <c r="K2011" i="1"/>
  <c r="I2011" i="1"/>
  <c r="I2010" i="1"/>
  <c r="K2010" i="1" s="1"/>
  <c r="I2009" i="1"/>
  <c r="K2009" i="1" s="1"/>
  <c r="J2005" i="1"/>
  <c r="K2000" i="1"/>
  <c r="K2001" i="1" s="1"/>
  <c r="K2004" i="1" s="1"/>
  <c r="K2005" i="1" s="1"/>
  <c r="E2247" i="1" s="1"/>
  <c r="K2247" i="1" s="1"/>
  <c r="E2000" i="1"/>
  <c r="K1999" i="1"/>
  <c r="E1999" i="1"/>
  <c r="K1998" i="1"/>
  <c r="K1997" i="1"/>
  <c r="K1996" i="1"/>
  <c r="J1992" i="1"/>
  <c r="K1991" i="1"/>
  <c r="K1992" i="1" s="1"/>
  <c r="K1987" i="1"/>
  <c r="K1988" i="1" s="1"/>
  <c r="J1987" i="1"/>
  <c r="E1987" i="1"/>
  <c r="J1981" i="1"/>
  <c r="K1976" i="1"/>
  <c r="K1975" i="1"/>
  <c r="E1975" i="1"/>
  <c r="K1974" i="1"/>
  <c r="E1974" i="1"/>
  <c r="G1973" i="1"/>
  <c r="K1973" i="1" s="1"/>
  <c r="E1972" i="1"/>
  <c r="K1972" i="1" s="1"/>
  <c r="K1977" i="1" s="1"/>
  <c r="K1980" i="1" s="1"/>
  <c r="K1981" i="1" s="1"/>
  <c r="K1982" i="1" s="1"/>
  <c r="K1983" i="1" s="1"/>
  <c r="K1968" i="1"/>
  <c r="J1966" i="1"/>
  <c r="K1961" i="1"/>
  <c r="K1960" i="1"/>
  <c r="K1962" i="1" s="1"/>
  <c r="K1965" i="1" s="1"/>
  <c r="K1966" i="1" s="1"/>
  <c r="K1967" i="1" s="1"/>
  <c r="E1960" i="1"/>
  <c r="E1956" i="1"/>
  <c r="G1952" i="1" s="1"/>
  <c r="K1952" i="1" s="1"/>
  <c r="I1953" i="1"/>
  <c r="I1952" i="1"/>
  <c r="K1951" i="1"/>
  <c r="I1951" i="1"/>
  <c r="I1954" i="1" s="1"/>
  <c r="G1951" i="1"/>
  <c r="I1946" i="1"/>
  <c r="K1946" i="1" s="1"/>
  <c r="K1947" i="1" s="1"/>
  <c r="J1940" i="1"/>
  <c r="E1935" i="1"/>
  <c r="H1935" i="1" s="1"/>
  <c r="K1935" i="1" s="1"/>
  <c r="E1934" i="1"/>
  <c r="H1934" i="1" s="1"/>
  <c r="K1934" i="1" s="1"/>
  <c r="K1933" i="1"/>
  <c r="K1932" i="1"/>
  <c r="K1936" i="1" s="1"/>
  <c r="K1939" i="1" s="1"/>
  <c r="K1940" i="1" s="1"/>
  <c r="K1941" i="1" s="1"/>
  <c r="K1942" i="1" s="1"/>
  <c r="E1932" i="1"/>
  <c r="J1928" i="1"/>
  <c r="I1923" i="1"/>
  <c r="K1923" i="1" s="1"/>
  <c r="G1923" i="1"/>
  <c r="E1922" i="1"/>
  <c r="I1922" i="1" s="1"/>
  <c r="K1922" i="1" s="1"/>
  <c r="K1921" i="1"/>
  <c r="G1921" i="1"/>
  <c r="E1921" i="1"/>
  <c r="I1921" i="1" s="1"/>
  <c r="I1920" i="1"/>
  <c r="K1920" i="1" s="1"/>
  <c r="I1919" i="1"/>
  <c r="K1919" i="1" s="1"/>
  <c r="E1919" i="1"/>
  <c r="E1918" i="1"/>
  <c r="I1918" i="1" s="1"/>
  <c r="K1918" i="1" s="1"/>
  <c r="K1917" i="1"/>
  <c r="I1917" i="1"/>
  <c r="K1916" i="1"/>
  <c r="I1916" i="1"/>
  <c r="E1916" i="1"/>
  <c r="J1910" i="1"/>
  <c r="E1905" i="1"/>
  <c r="K1905" i="1" s="1"/>
  <c r="E1904" i="1"/>
  <c r="K1904" i="1" s="1"/>
  <c r="K1903" i="1"/>
  <c r="E1902" i="1"/>
  <c r="K1902" i="1" s="1"/>
  <c r="J1898" i="1"/>
  <c r="G1893" i="1"/>
  <c r="I1893" i="1" s="1"/>
  <c r="K1893" i="1" s="1"/>
  <c r="I1892" i="1"/>
  <c r="K1892" i="1" s="1"/>
  <c r="E1892" i="1"/>
  <c r="I1891" i="1"/>
  <c r="K1891" i="1" s="1"/>
  <c r="G1891" i="1"/>
  <c r="E1891" i="1"/>
  <c r="K1890" i="1"/>
  <c r="I1890" i="1"/>
  <c r="E1889" i="1"/>
  <c r="I1889" i="1" s="1"/>
  <c r="K1889" i="1" s="1"/>
  <c r="E1888" i="1"/>
  <c r="I1888" i="1" s="1"/>
  <c r="K1888" i="1" s="1"/>
  <c r="I1887" i="1"/>
  <c r="K1887" i="1" s="1"/>
  <c r="I1886" i="1"/>
  <c r="K1886" i="1" s="1"/>
  <c r="E1886" i="1"/>
  <c r="J1880" i="1"/>
  <c r="K1876" i="1"/>
  <c r="K1879" i="1" s="1"/>
  <c r="K1880" i="1" s="1"/>
  <c r="K1881" i="1" s="1"/>
  <c r="K1882" i="1" s="1"/>
  <c r="K1875" i="1"/>
  <c r="E1874" i="1"/>
  <c r="K1874" i="1" s="1"/>
  <c r="J1870" i="1"/>
  <c r="G1865" i="1"/>
  <c r="I1865" i="1" s="1"/>
  <c r="K1865" i="1" s="1"/>
  <c r="E1864" i="1"/>
  <c r="I1864" i="1" s="1"/>
  <c r="K1864" i="1" s="1"/>
  <c r="I1863" i="1"/>
  <c r="K1863" i="1" s="1"/>
  <c r="G1863" i="1"/>
  <c r="E1863" i="1"/>
  <c r="K1862" i="1"/>
  <c r="I1862" i="1"/>
  <c r="E1861" i="1"/>
  <c r="I1861" i="1" s="1"/>
  <c r="K1861" i="1" s="1"/>
  <c r="K1860" i="1"/>
  <c r="E1859" i="1"/>
  <c r="K1859" i="1" s="1"/>
  <c r="J1853" i="1"/>
  <c r="K1848" i="1"/>
  <c r="G1847" i="1"/>
  <c r="K1847" i="1" s="1"/>
  <c r="E1846" i="1"/>
  <c r="K1846" i="1" s="1"/>
  <c r="J1842" i="1"/>
  <c r="I1837" i="1"/>
  <c r="K1837" i="1" s="1"/>
  <c r="G1837" i="1"/>
  <c r="E1836" i="1"/>
  <c r="I1836" i="1" s="1"/>
  <c r="K1836" i="1" s="1"/>
  <c r="G1835" i="1"/>
  <c r="I1835" i="1" s="1"/>
  <c r="K1835" i="1" s="1"/>
  <c r="E1835" i="1"/>
  <c r="K1834" i="1"/>
  <c r="I1834" i="1"/>
  <c r="I1833" i="1"/>
  <c r="K1833" i="1" s="1"/>
  <c r="E1833" i="1"/>
  <c r="E1832" i="1"/>
  <c r="I1832" i="1" s="1"/>
  <c r="K1832" i="1" s="1"/>
  <c r="I1831" i="1"/>
  <c r="K1831" i="1" s="1"/>
  <c r="K1830" i="1"/>
  <c r="E1830" i="1"/>
  <c r="I1830" i="1" s="1"/>
  <c r="J1824" i="1"/>
  <c r="K1819" i="1"/>
  <c r="K1820" i="1" s="1"/>
  <c r="K1823" i="1" s="1"/>
  <c r="K1824" i="1" s="1"/>
  <c r="K1825" i="1" s="1"/>
  <c r="K1826" i="1" s="1"/>
  <c r="K1818" i="1"/>
  <c r="J1814" i="1"/>
  <c r="E1809" i="1"/>
  <c r="I1809" i="1" s="1"/>
  <c r="K1809" i="1" s="1"/>
  <c r="E1808" i="1"/>
  <c r="I1808" i="1" s="1"/>
  <c r="K1808" i="1" s="1"/>
  <c r="K1807" i="1"/>
  <c r="G1807" i="1"/>
  <c r="I1807" i="1" s="1"/>
  <c r="K1806" i="1"/>
  <c r="E1806" i="1"/>
  <c r="I1806" i="1" s="1"/>
  <c r="I1805" i="1"/>
  <c r="K1805" i="1" s="1"/>
  <c r="G1805" i="1"/>
  <c r="E1805" i="1"/>
  <c r="I1804" i="1"/>
  <c r="K1804" i="1" s="1"/>
  <c r="E1803" i="1"/>
  <c r="I1803" i="1" s="1"/>
  <c r="K1803" i="1" s="1"/>
  <c r="K1802" i="1"/>
  <c r="I1802" i="1"/>
  <c r="K1801" i="1"/>
  <c r="K1810" i="1" s="1"/>
  <c r="K1813" i="1" s="1"/>
  <c r="K1814" i="1" s="1"/>
  <c r="E1801" i="1"/>
  <c r="I1801" i="1" s="1"/>
  <c r="I1795" i="1"/>
  <c r="K1795" i="1" s="1"/>
  <c r="K1797" i="1" s="1"/>
  <c r="K1790" i="1"/>
  <c r="K1791" i="1" s="1"/>
  <c r="J1788" i="1"/>
  <c r="K1785" i="1"/>
  <c r="K1786" i="1" s="1"/>
  <c r="I1785" i="1"/>
  <c r="I1780" i="1"/>
  <c r="K1780" i="1" s="1"/>
  <c r="K1781" i="1" s="1"/>
  <c r="K1776" i="1"/>
  <c r="K1775" i="1"/>
  <c r="J1773" i="1"/>
  <c r="K1770" i="1"/>
  <c r="K1771" i="1" s="1"/>
  <c r="J1768" i="1"/>
  <c r="K1766" i="1"/>
  <c r="K1765" i="1"/>
  <c r="J1763" i="1"/>
  <c r="J1759" i="1"/>
  <c r="K1755" i="1"/>
  <c r="K1758" i="1" s="1"/>
  <c r="K1759" i="1" s="1"/>
  <c r="K1760" i="1" s="1"/>
  <c r="K1761" i="1" s="1"/>
  <c r="K1750" i="1"/>
  <c r="K1751" i="1" s="1"/>
  <c r="I1750" i="1"/>
  <c r="K1745" i="1"/>
  <c r="K1746" i="1" s="1"/>
  <c r="I1745" i="1"/>
  <c r="J1739" i="1"/>
  <c r="E1734" i="1"/>
  <c r="K1734" i="1" s="1"/>
  <c r="E1733" i="1"/>
  <c r="K1733" i="1" s="1"/>
  <c r="K1732" i="1"/>
  <c r="G1731" i="1"/>
  <c r="K1731" i="1" s="1"/>
  <c r="E1730" i="1"/>
  <c r="K1730" i="1" s="1"/>
  <c r="K1735" i="1" s="1"/>
  <c r="K1738" i="1" s="1"/>
  <c r="K1739" i="1" s="1"/>
  <c r="K1740" i="1" s="1"/>
  <c r="K1741" i="1" s="1"/>
  <c r="J1726" i="1"/>
  <c r="K1721" i="1"/>
  <c r="G1721" i="1"/>
  <c r="K1720" i="1"/>
  <c r="E1720" i="1"/>
  <c r="E1719" i="1"/>
  <c r="K1719" i="1" s="1"/>
  <c r="K1718" i="1"/>
  <c r="G1717" i="1"/>
  <c r="K1717" i="1" s="1"/>
  <c r="E1716" i="1"/>
  <c r="K1716" i="1" s="1"/>
  <c r="K1722" i="1" s="1"/>
  <c r="K1725" i="1" s="1"/>
  <c r="K1726" i="1" s="1"/>
  <c r="J1712" i="1"/>
  <c r="E1707" i="1"/>
  <c r="K1707" i="1" s="1"/>
  <c r="E1706" i="1"/>
  <c r="K1706" i="1" s="1"/>
  <c r="K1705" i="1"/>
  <c r="K1704" i="1"/>
  <c r="G1704" i="1"/>
  <c r="K1703" i="1"/>
  <c r="G1703" i="1"/>
  <c r="K1702" i="1"/>
  <c r="E1702" i="1"/>
  <c r="J1698" i="1"/>
  <c r="K1693" i="1"/>
  <c r="G1693" i="1"/>
  <c r="K1692" i="1"/>
  <c r="E1692" i="1"/>
  <c r="K1691" i="1"/>
  <c r="G1690" i="1"/>
  <c r="K1690" i="1" s="1"/>
  <c r="E1689" i="1"/>
  <c r="K1689" i="1" s="1"/>
  <c r="K1694" i="1" s="1"/>
  <c r="K1697" i="1" s="1"/>
  <c r="K1698" i="1" s="1"/>
  <c r="K1680" i="1"/>
  <c r="K1681" i="1" s="1"/>
  <c r="I1680" i="1"/>
  <c r="K1676" i="1"/>
  <c r="K1675" i="1"/>
  <c r="I1675" i="1"/>
  <c r="J1673" i="1"/>
  <c r="I1670" i="1"/>
  <c r="K1670" i="1" s="1"/>
  <c r="K1669" i="1"/>
  <c r="K1671" i="1" s="1"/>
  <c r="I1669" i="1"/>
  <c r="K1665" i="1"/>
  <c r="K1660" i="1"/>
  <c r="I1660" i="1"/>
  <c r="I1659" i="1"/>
  <c r="K1659" i="1" s="1"/>
  <c r="K1661" i="1" s="1"/>
  <c r="K1654" i="1"/>
  <c r="K1655" i="1" s="1"/>
  <c r="I1654" i="1"/>
  <c r="J1652" i="1"/>
  <c r="K1649" i="1"/>
  <c r="K1650" i="1" s="1"/>
  <c r="I1649" i="1"/>
  <c r="J1647" i="1"/>
  <c r="K1645" i="1"/>
  <c r="K1644" i="1"/>
  <c r="I1644" i="1"/>
  <c r="J1642" i="1"/>
  <c r="K1639" i="1"/>
  <c r="K1640" i="1" s="1"/>
  <c r="I1639" i="1"/>
  <c r="J1637" i="1"/>
  <c r="I1634" i="1"/>
  <c r="K1634" i="1" s="1"/>
  <c r="K1635" i="1" s="1"/>
  <c r="K1625" i="1"/>
  <c r="K1624" i="1"/>
  <c r="I1624" i="1"/>
  <c r="J1620" i="1"/>
  <c r="K1615" i="1"/>
  <c r="G1614" i="1"/>
  <c r="K1614" i="1" s="1"/>
  <c r="K1613" i="1"/>
  <c r="K1612" i="1"/>
  <c r="E1612" i="1"/>
  <c r="K1608" i="1"/>
  <c r="K1607" i="1"/>
  <c r="I1607" i="1"/>
  <c r="K1603" i="1"/>
  <c r="J1596" i="1"/>
  <c r="I1594" i="1"/>
  <c r="K1594" i="1" s="1"/>
  <c r="K1595" i="1" s="1"/>
  <c r="K1596" i="1" s="1"/>
  <c r="J1579" i="1"/>
  <c r="E1574" i="1"/>
  <c r="I1574" i="1" s="1"/>
  <c r="K1574" i="1" s="1"/>
  <c r="E1573" i="1"/>
  <c r="I1573" i="1" s="1"/>
  <c r="K1573" i="1" s="1"/>
  <c r="E1572" i="1"/>
  <c r="I1572" i="1" s="1"/>
  <c r="K1572" i="1" s="1"/>
  <c r="G1571" i="1"/>
  <c r="I1571" i="1" s="1"/>
  <c r="K1571" i="1" s="1"/>
  <c r="E1571" i="1"/>
  <c r="I1570" i="1"/>
  <c r="K1570" i="1" s="1"/>
  <c r="E1570" i="1"/>
  <c r="G1569" i="1"/>
  <c r="E1569" i="1"/>
  <c r="I1569" i="1" s="1"/>
  <c r="K1569" i="1" s="1"/>
  <c r="K1568" i="1"/>
  <c r="I1568" i="1"/>
  <c r="G1568" i="1"/>
  <c r="K1567" i="1"/>
  <c r="E1567" i="1"/>
  <c r="I1567" i="1" s="1"/>
  <c r="I1566" i="1"/>
  <c r="K1566" i="1" s="1"/>
  <c r="E1566" i="1"/>
  <c r="K1565" i="1"/>
  <c r="I1565" i="1"/>
  <c r="I1564" i="1"/>
  <c r="K1564" i="1" s="1"/>
  <c r="E1564" i="1"/>
  <c r="J1558" i="1"/>
  <c r="I1553" i="1"/>
  <c r="K1553" i="1" s="1"/>
  <c r="E1553" i="1"/>
  <c r="K1552" i="1"/>
  <c r="I1552" i="1"/>
  <c r="E1552" i="1"/>
  <c r="I1551" i="1"/>
  <c r="K1551" i="1" s="1"/>
  <c r="E1551" i="1"/>
  <c r="G1550" i="1"/>
  <c r="I1550" i="1" s="1"/>
  <c r="K1550" i="1" s="1"/>
  <c r="E1550" i="1"/>
  <c r="I1549" i="1"/>
  <c r="K1549" i="1" s="1"/>
  <c r="E1549" i="1"/>
  <c r="K1548" i="1"/>
  <c r="G1548" i="1"/>
  <c r="E1548" i="1"/>
  <c r="I1548" i="1" s="1"/>
  <c r="I1547" i="1"/>
  <c r="K1547" i="1" s="1"/>
  <c r="E1546" i="1"/>
  <c r="I1546" i="1" s="1"/>
  <c r="K1546" i="1" s="1"/>
  <c r="K1545" i="1"/>
  <c r="I1545" i="1"/>
  <c r="E1545" i="1"/>
  <c r="K1544" i="1"/>
  <c r="I1544" i="1"/>
  <c r="I1543" i="1"/>
  <c r="K1543" i="1" s="1"/>
  <c r="E1543" i="1"/>
  <c r="J1539" i="1"/>
  <c r="K1534" i="1"/>
  <c r="K1533" i="1"/>
  <c r="G1532" i="1"/>
  <c r="E1532" i="1"/>
  <c r="K1532" i="1" s="1"/>
  <c r="K1535" i="1" s="1"/>
  <c r="K1538" i="1" s="1"/>
  <c r="K1539" i="1" s="1"/>
  <c r="K1531" i="1"/>
  <c r="J1515" i="1"/>
  <c r="E1510" i="1"/>
  <c r="I1510" i="1" s="1"/>
  <c r="K1510" i="1" s="1"/>
  <c r="K1509" i="1"/>
  <c r="I1509" i="1"/>
  <c r="E1509" i="1"/>
  <c r="E1508" i="1"/>
  <c r="I1508" i="1" s="1"/>
  <c r="K1508" i="1" s="1"/>
  <c r="G1507" i="1"/>
  <c r="I1507" i="1" s="1"/>
  <c r="K1507" i="1" s="1"/>
  <c r="E1507" i="1"/>
  <c r="E1506" i="1"/>
  <c r="I1506" i="1" s="1"/>
  <c r="K1506" i="1" s="1"/>
  <c r="K1505" i="1"/>
  <c r="G1505" i="1"/>
  <c r="I1505" i="1" s="1"/>
  <c r="E1505" i="1"/>
  <c r="I1504" i="1"/>
  <c r="K1504" i="1" s="1"/>
  <c r="E1504" i="1"/>
  <c r="I1503" i="1"/>
  <c r="K1503" i="1" s="1"/>
  <c r="E1503" i="1"/>
  <c r="I1502" i="1"/>
  <c r="K1502" i="1" s="1"/>
  <c r="E1502" i="1"/>
  <c r="K1501" i="1"/>
  <c r="I1501" i="1"/>
  <c r="I1500" i="1"/>
  <c r="E1500" i="1"/>
  <c r="K1500" i="1" s="1"/>
  <c r="J1496" i="1"/>
  <c r="E1491" i="1"/>
  <c r="I1491" i="1" s="1"/>
  <c r="K1491" i="1" s="1"/>
  <c r="K1490" i="1"/>
  <c r="I1490" i="1"/>
  <c r="E1490" i="1"/>
  <c r="K1489" i="1"/>
  <c r="I1489" i="1"/>
  <c r="K1488" i="1"/>
  <c r="I1488" i="1"/>
  <c r="I1487" i="1"/>
  <c r="K1487" i="1" s="1"/>
  <c r="I1486" i="1"/>
  <c r="K1486" i="1" s="1"/>
  <c r="K1485" i="1"/>
  <c r="I1485" i="1"/>
  <c r="E1485" i="1"/>
  <c r="I1484" i="1"/>
  <c r="K1484" i="1" s="1"/>
  <c r="E1484" i="1"/>
  <c r="K1483" i="1"/>
  <c r="I1483" i="1"/>
  <c r="I1482" i="1"/>
  <c r="K1482" i="1" s="1"/>
  <c r="E1482" i="1"/>
  <c r="K1477" i="1"/>
  <c r="K1478" i="1" s="1"/>
  <c r="I1477" i="1"/>
  <c r="K1473" i="1"/>
  <c r="K1472" i="1"/>
  <c r="I1472" i="1"/>
  <c r="K1467" i="1"/>
  <c r="K1468" i="1" s="1"/>
  <c r="I1467" i="1"/>
  <c r="K1462" i="1"/>
  <c r="K1463" i="1" s="1"/>
  <c r="I1462" i="1"/>
  <c r="K1457" i="1"/>
  <c r="K1458" i="1" s="1"/>
  <c r="I1457" i="1"/>
  <c r="K1453" i="1"/>
  <c r="K1452" i="1"/>
  <c r="I1452" i="1"/>
  <c r="K1447" i="1"/>
  <c r="K1448" i="1" s="1"/>
  <c r="I1447" i="1"/>
  <c r="J1442" i="1"/>
  <c r="K1437" i="1"/>
  <c r="G1437" i="1"/>
  <c r="E1437" i="1"/>
  <c r="G1436" i="1"/>
  <c r="E1436" i="1"/>
  <c r="K1436" i="1" s="1"/>
  <c r="K1435" i="1"/>
  <c r="G1435" i="1"/>
  <c r="K1434" i="1"/>
  <c r="E1434" i="1"/>
  <c r="G1433" i="1"/>
  <c r="K1433" i="1" s="1"/>
  <c r="K1438" i="1" s="1"/>
  <c r="K1441" i="1" s="1"/>
  <c r="K1442" i="1" s="1"/>
  <c r="K1443" i="1" s="1"/>
  <c r="K1432" i="1"/>
  <c r="J1428" i="1"/>
  <c r="E1426" i="1"/>
  <c r="E1425" i="1"/>
  <c r="J1424" i="1"/>
  <c r="I1424" i="1"/>
  <c r="G1424" i="1"/>
  <c r="I1423" i="1"/>
  <c r="G1423" i="1"/>
  <c r="J1419" i="1"/>
  <c r="E1417" i="1"/>
  <c r="E1416" i="1"/>
  <c r="G1415" i="1"/>
  <c r="E1415" i="1"/>
  <c r="I1414" i="1"/>
  <c r="G1414" i="1"/>
  <c r="I1413" i="1"/>
  <c r="J1409" i="1"/>
  <c r="E1406" i="1"/>
  <c r="E1405" i="1"/>
  <c r="I1404" i="1"/>
  <c r="I1403" i="1"/>
  <c r="E1403" i="1"/>
  <c r="E1402" i="1"/>
  <c r="E1401" i="1"/>
  <c r="I1400" i="1"/>
  <c r="G1400" i="1"/>
  <c r="I1399" i="1"/>
  <c r="I1398" i="1"/>
  <c r="I1396" i="1"/>
  <c r="E1396" i="1"/>
  <c r="I1395" i="1"/>
  <c r="I1394" i="1"/>
  <c r="E1394" i="1"/>
  <c r="I1388" i="1"/>
  <c r="G1388" i="1"/>
  <c r="G1387" i="1"/>
  <c r="G1386" i="1"/>
  <c r="I1385" i="1"/>
  <c r="I1387" i="1" s="1"/>
  <c r="G1385" i="1"/>
  <c r="J1384" i="1"/>
  <c r="G1384" i="1"/>
  <c r="E1384" i="1"/>
  <c r="J1383" i="1"/>
  <c r="K1383" i="1" s="1"/>
  <c r="E1383" i="1"/>
  <c r="J1379" i="1"/>
  <c r="E1377" i="1"/>
  <c r="E1376" i="1"/>
  <c r="I1375" i="1"/>
  <c r="J1367" i="1"/>
  <c r="I1365" i="1"/>
  <c r="G1365" i="1"/>
  <c r="E1365" i="1"/>
  <c r="E1364" i="1"/>
  <c r="E1363" i="1"/>
  <c r="E1362" i="1"/>
  <c r="I1361" i="1"/>
  <c r="I1360" i="1"/>
  <c r="G1360" i="1"/>
  <c r="I1359" i="1"/>
  <c r="I1358" i="1"/>
  <c r="I1357" i="1"/>
  <c r="G1357" i="1"/>
  <c r="I1356" i="1"/>
  <c r="I1355" i="1"/>
  <c r="G1355" i="1"/>
  <c r="E1355" i="1"/>
  <c r="I1354" i="1"/>
  <c r="G1354" i="1"/>
  <c r="E1354" i="1"/>
  <c r="I1353" i="1"/>
  <c r="G1353" i="1"/>
  <c r="I1352" i="1"/>
  <c r="I1351" i="1"/>
  <c r="I1350" i="1"/>
  <c r="G1350" i="1"/>
  <c r="J1345" i="1"/>
  <c r="G1343" i="1"/>
  <c r="E1343" i="1"/>
  <c r="E1342" i="1"/>
  <c r="I1341" i="1"/>
  <c r="I1340" i="1"/>
  <c r="I1339" i="1"/>
  <c r="I1338" i="1"/>
  <c r="I1337" i="1"/>
  <c r="G1337" i="1"/>
  <c r="I1336" i="1"/>
  <c r="I1335" i="1"/>
  <c r="I1334" i="1"/>
  <c r="G1334" i="1"/>
  <c r="J1328" i="1"/>
  <c r="I1326" i="1"/>
  <c r="G1326" i="1"/>
  <c r="E1326" i="1"/>
  <c r="I1325" i="1"/>
  <c r="E1325" i="1"/>
  <c r="E1324" i="1"/>
  <c r="E1323" i="1"/>
  <c r="E1322" i="1"/>
  <c r="I1321" i="1"/>
  <c r="I1320" i="1"/>
  <c r="G1320" i="1"/>
  <c r="J1319" i="1"/>
  <c r="I1319" i="1"/>
  <c r="I1318" i="1"/>
  <c r="I1317" i="1"/>
  <c r="G1317" i="1"/>
  <c r="I1316" i="1"/>
  <c r="I1315" i="1"/>
  <c r="E1315" i="1"/>
  <c r="I1314" i="1"/>
  <c r="G1314" i="1"/>
  <c r="J1309" i="1"/>
  <c r="E1307" i="1"/>
  <c r="I1306" i="1"/>
  <c r="J1305" i="1"/>
  <c r="I1305" i="1"/>
  <c r="G1305" i="1"/>
  <c r="I1304" i="1"/>
  <c r="J1300" i="1"/>
  <c r="I1298" i="1"/>
  <c r="I1297" i="1"/>
  <c r="G1297" i="1"/>
  <c r="I1296" i="1"/>
  <c r="E1296" i="1"/>
  <c r="E1295" i="1"/>
  <c r="E1294" i="1"/>
  <c r="E1293" i="1"/>
  <c r="I1292" i="1"/>
  <c r="I1291" i="1"/>
  <c r="I1290" i="1"/>
  <c r="I1289" i="1"/>
  <c r="I1288" i="1"/>
  <c r="G1288" i="1"/>
  <c r="E1288" i="1"/>
  <c r="J1287" i="1"/>
  <c r="I1287" i="1"/>
  <c r="G1287" i="1"/>
  <c r="I1286" i="1"/>
  <c r="I1285" i="1"/>
  <c r="I1284" i="1"/>
  <c r="G1284" i="1"/>
  <c r="J1279" i="1"/>
  <c r="E1277" i="1"/>
  <c r="I1276" i="1"/>
  <c r="I1275" i="1"/>
  <c r="E1274" i="1"/>
  <c r="J1270" i="1"/>
  <c r="J1268" i="1"/>
  <c r="K1268" i="1" s="1"/>
  <c r="I1268" i="1"/>
  <c r="E1268" i="1"/>
  <c r="E1267" i="1"/>
  <c r="E1266" i="1"/>
  <c r="E1265" i="1"/>
  <c r="I1264" i="1"/>
  <c r="E1264" i="1"/>
  <c r="I1263" i="1"/>
  <c r="I1262" i="1"/>
  <c r="I1261" i="1"/>
  <c r="I1260" i="1"/>
  <c r="G1260" i="1"/>
  <c r="I1259" i="1"/>
  <c r="I1258" i="1"/>
  <c r="G1258" i="1"/>
  <c r="E1258" i="1"/>
  <c r="I1257" i="1"/>
  <c r="G1257" i="1"/>
  <c r="E1257" i="1"/>
  <c r="I1256" i="1"/>
  <c r="G1256" i="1"/>
  <c r="I1255" i="1"/>
  <c r="E1255" i="1"/>
  <c r="I1254" i="1"/>
  <c r="I1253" i="1"/>
  <c r="G1253" i="1"/>
  <c r="J1248" i="1"/>
  <c r="I1246" i="1"/>
  <c r="E1246" i="1"/>
  <c r="E1245" i="1"/>
  <c r="I1244" i="1"/>
  <c r="G1244" i="1"/>
  <c r="E1243" i="1"/>
  <c r="I1242" i="1"/>
  <c r="G1242" i="1"/>
  <c r="E1242" i="1"/>
  <c r="E1241" i="1"/>
  <c r="E1240" i="1"/>
  <c r="I1239" i="1"/>
  <c r="I1238" i="1"/>
  <c r="I1237" i="1"/>
  <c r="I1236" i="1"/>
  <c r="J1235" i="1"/>
  <c r="I1235" i="1"/>
  <c r="G1235" i="1"/>
  <c r="J1231" i="1"/>
  <c r="I1229" i="1"/>
  <c r="G1229" i="1"/>
  <c r="E1228" i="1"/>
  <c r="E1227" i="1"/>
  <c r="I1226" i="1"/>
  <c r="G1226" i="1"/>
  <c r="I1225" i="1"/>
  <c r="G1225" i="1"/>
  <c r="I1224" i="1"/>
  <c r="E1224" i="1"/>
  <c r="I1223" i="1"/>
  <c r="I1222" i="1"/>
  <c r="G1222" i="1"/>
  <c r="I1221" i="1"/>
  <c r="I1220" i="1"/>
  <c r="G1220" i="1"/>
  <c r="E1220" i="1"/>
  <c r="I1219" i="1"/>
  <c r="G1219" i="1"/>
  <c r="E1219" i="1"/>
  <c r="I1218" i="1"/>
  <c r="G1218" i="1"/>
  <c r="I1217" i="1"/>
  <c r="E1217" i="1"/>
  <c r="I1216" i="1"/>
  <c r="I1215" i="1"/>
  <c r="G1215" i="1"/>
  <c r="J1210" i="1"/>
  <c r="E1208" i="1"/>
  <c r="E1207" i="1"/>
  <c r="I1206" i="1"/>
  <c r="G1206" i="1"/>
  <c r="I1205" i="1"/>
  <c r="I1204" i="1"/>
  <c r="G1204" i="1"/>
  <c r="I1203" i="1"/>
  <c r="I1202" i="1"/>
  <c r="I1201" i="1"/>
  <c r="G1201" i="1"/>
  <c r="E1201" i="1"/>
  <c r="J1196" i="1"/>
  <c r="E1194" i="1"/>
  <c r="G1193" i="1"/>
  <c r="E1193" i="1"/>
  <c r="I1192" i="1"/>
  <c r="G1192" i="1"/>
  <c r="E1192" i="1"/>
  <c r="I1191" i="1"/>
  <c r="I1190" i="1"/>
  <c r="I1189" i="1"/>
  <c r="I1188" i="1"/>
  <c r="G1188" i="1"/>
  <c r="E1188" i="1"/>
  <c r="J1183" i="1"/>
  <c r="I1180" i="1"/>
  <c r="E1180" i="1"/>
  <c r="E1179" i="1"/>
  <c r="I1178" i="1"/>
  <c r="G1178" i="1"/>
  <c r="E1178" i="1"/>
  <c r="E1177" i="1"/>
  <c r="I1176" i="1"/>
  <c r="G1176" i="1"/>
  <c r="E1175" i="1"/>
  <c r="I1174" i="1"/>
  <c r="G1174" i="1"/>
  <c r="I1173" i="1"/>
  <c r="E1173" i="1"/>
  <c r="I1172" i="1"/>
  <c r="I1171" i="1"/>
  <c r="I1170" i="1"/>
  <c r="G1170" i="1"/>
  <c r="E1170" i="1"/>
  <c r="I1169" i="1"/>
  <c r="I1168" i="1"/>
  <c r="G1168" i="1"/>
  <c r="E1168" i="1"/>
  <c r="I1167" i="1"/>
  <c r="G1167" i="1"/>
  <c r="E1167" i="1"/>
  <c r="I1166" i="1"/>
  <c r="G1166" i="1"/>
  <c r="I1165" i="1"/>
  <c r="I1164" i="1"/>
  <c r="I1163" i="1"/>
  <c r="G1163" i="1"/>
  <c r="J1158" i="1"/>
  <c r="I1156" i="1"/>
  <c r="E1156" i="1"/>
  <c r="E1155" i="1"/>
  <c r="I1154" i="1"/>
  <c r="E1153" i="1"/>
  <c r="I1152" i="1"/>
  <c r="G1152" i="1"/>
  <c r="E1151" i="1"/>
  <c r="I1150" i="1"/>
  <c r="E1150" i="1"/>
  <c r="J1149" i="1"/>
  <c r="I1149" i="1"/>
  <c r="I1148" i="1"/>
  <c r="I1147" i="1"/>
  <c r="I1146" i="1"/>
  <c r="G1146" i="1"/>
  <c r="E1146" i="1"/>
  <c r="I1145" i="1"/>
  <c r="I1144" i="1"/>
  <c r="G1144" i="1"/>
  <c r="E1144" i="1"/>
  <c r="I1143" i="1"/>
  <c r="G1143" i="1"/>
  <c r="E1143" i="1"/>
  <c r="I1142" i="1"/>
  <c r="G1142" i="1"/>
  <c r="I1141" i="1"/>
  <c r="I1140" i="1"/>
  <c r="E1140" i="1"/>
  <c r="I1139" i="1"/>
  <c r="G1139" i="1"/>
  <c r="J1134" i="1"/>
  <c r="E1132" i="1"/>
  <c r="E1131" i="1"/>
  <c r="I1130" i="1"/>
  <c r="G1130" i="1"/>
  <c r="I1129" i="1"/>
  <c r="G1129" i="1"/>
  <c r="E1128" i="1"/>
  <c r="I1127" i="1"/>
  <c r="G1127" i="1"/>
  <c r="I1126" i="1"/>
  <c r="I1125" i="1"/>
  <c r="J1124" i="1"/>
  <c r="I1124" i="1"/>
  <c r="I1123" i="1"/>
  <c r="G1123" i="1"/>
  <c r="I1122" i="1"/>
  <c r="I1121" i="1"/>
  <c r="G1121" i="1"/>
  <c r="E1121" i="1"/>
  <c r="I1120" i="1"/>
  <c r="I1119" i="1"/>
  <c r="I1118" i="1"/>
  <c r="G1118" i="1"/>
  <c r="E1118" i="1"/>
  <c r="J1113" i="1"/>
  <c r="E1111" i="1"/>
  <c r="E1110" i="1"/>
  <c r="J1101" i="1"/>
  <c r="E1099" i="1"/>
  <c r="E1098" i="1"/>
  <c r="I1097" i="1"/>
  <c r="G1097" i="1"/>
  <c r="I1096" i="1"/>
  <c r="G1096" i="1"/>
  <c r="E1095" i="1"/>
  <c r="I1094" i="1"/>
  <c r="G1094" i="1"/>
  <c r="I1093" i="1"/>
  <c r="G1093" i="1"/>
  <c r="E1093" i="1"/>
  <c r="J1092" i="1"/>
  <c r="I1092" i="1"/>
  <c r="I1091" i="1"/>
  <c r="I1090" i="1"/>
  <c r="E1090" i="1"/>
  <c r="I1089" i="1"/>
  <c r="I1088" i="1"/>
  <c r="G1088" i="1"/>
  <c r="E1088" i="1"/>
  <c r="I1087" i="1"/>
  <c r="G1087" i="1"/>
  <c r="E1087" i="1"/>
  <c r="I1086" i="1"/>
  <c r="G1086" i="1"/>
  <c r="E1086" i="1"/>
  <c r="I1085" i="1"/>
  <c r="I1084" i="1"/>
  <c r="I1083" i="1"/>
  <c r="G1083" i="1"/>
  <c r="J1078" i="1"/>
  <c r="E1076" i="1"/>
  <c r="E1075" i="1"/>
  <c r="I1074" i="1"/>
  <c r="G1074" i="1"/>
  <c r="E1073" i="1"/>
  <c r="I1072" i="1"/>
  <c r="G1072" i="1"/>
  <c r="I1071" i="1"/>
  <c r="G1071" i="1"/>
  <c r="I1070" i="1"/>
  <c r="I1069" i="1"/>
  <c r="I1068" i="1"/>
  <c r="G1068" i="1"/>
  <c r="J1063" i="1"/>
  <c r="E1061" i="1"/>
  <c r="E1060" i="1"/>
  <c r="I1059" i="1"/>
  <c r="G1059" i="1"/>
  <c r="E1058" i="1"/>
  <c r="I1057" i="1"/>
  <c r="G1057" i="1"/>
  <c r="E1057" i="1"/>
  <c r="I1056" i="1"/>
  <c r="I1055" i="1"/>
  <c r="I1054" i="1"/>
  <c r="J1053" i="1"/>
  <c r="I1053" i="1"/>
  <c r="G1053" i="1"/>
  <c r="I1052" i="1"/>
  <c r="I1051" i="1"/>
  <c r="G1051" i="1"/>
  <c r="E1051" i="1"/>
  <c r="J1050" i="1"/>
  <c r="I1050" i="1"/>
  <c r="G1050" i="1"/>
  <c r="J1045" i="1"/>
  <c r="E1043" i="1"/>
  <c r="J1042" i="1"/>
  <c r="I1042" i="1"/>
  <c r="E1042" i="1"/>
  <c r="I1041" i="1"/>
  <c r="I1040" i="1"/>
  <c r="I1039" i="1"/>
  <c r="E1039" i="1"/>
  <c r="I1038" i="1"/>
  <c r="I1037" i="1"/>
  <c r="G1037" i="1"/>
  <c r="E1037" i="1"/>
  <c r="I1036" i="1"/>
  <c r="I1035" i="1"/>
  <c r="G1035" i="1"/>
  <c r="E1035" i="1"/>
  <c r="I1034" i="1"/>
  <c r="G1034" i="1"/>
  <c r="E1027" i="1"/>
  <c r="E1026" i="1"/>
  <c r="E1025" i="1"/>
  <c r="J1021" i="1"/>
  <c r="E1019" i="1"/>
  <c r="E1018" i="1"/>
  <c r="G1017" i="1"/>
  <c r="E1017" i="1"/>
  <c r="J1016" i="1"/>
  <c r="I1016" i="1"/>
  <c r="J1012" i="1"/>
  <c r="G1010" i="1"/>
  <c r="E1010" i="1"/>
  <c r="G1009" i="1"/>
  <c r="E1009" i="1"/>
  <c r="E1008" i="1"/>
  <c r="J1004" i="1"/>
  <c r="E1002" i="1"/>
  <c r="E1001" i="1"/>
  <c r="I1000" i="1"/>
  <c r="G1000" i="1"/>
  <c r="I999" i="1"/>
  <c r="E999" i="1"/>
  <c r="J998" i="1"/>
  <c r="I998" i="1"/>
  <c r="G998" i="1"/>
  <c r="J997" i="1"/>
  <c r="I997" i="1"/>
  <c r="I996" i="1"/>
  <c r="E996" i="1"/>
  <c r="I995" i="1"/>
  <c r="G995" i="1"/>
  <c r="E995" i="1"/>
  <c r="I994" i="1"/>
  <c r="J993" i="1"/>
  <c r="I993" i="1"/>
  <c r="G993" i="1"/>
  <c r="E993" i="1"/>
  <c r="I992" i="1"/>
  <c r="G992" i="1"/>
  <c r="J991" i="1"/>
  <c r="I991" i="1"/>
  <c r="G991" i="1"/>
  <c r="E991" i="1"/>
  <c r="K991" i="1" s="1"/>
  <c r="I990" i="1"/>
  <c r="G990" i="1"/>
  <c r="J985" i="1"/>
  <c r="G983" i="1"/>
  <c r="E983" i="1"/>
  <c r="E982" i="1"/>
  <c r="I981" i="1"/>
  <c r="G981" i="1"/>
  <c r="I980" i="1"/>
  <c r="E980" i="1"/>
  <c r="I979" i="1"/>
  <c r="I978" i="1"/>
  <c r="I977" i="1"/>
  <c r="G977" i="1"/>
  <c r="E977" i="1"/>
  <c r="J973" i="1"/>
  <c r="E971" i="1"/>
  <c r="J970" i="1"/>
  <c r="I970" i="1"/>
  <c r="G970" i="1"/>
  <c r="E970" i="1"/>
  <c r="I969" i="1"/>
  <c r="I968" i="1"/>
  <c r="I967" i="1"/>
  <c r="E967" i="1"/>
  <c r="I966" i="1"/>
  <c r="J965" i="1"/>
  <c r="I965" i="1"/>
  <c r="G965" i="1"/>
  <c r="E965" i="1"/>
  <c r="K965" i="1" s="1"/>
  <c r="J964" i="1"/>
  <c r="I964" i="1"/>
  <c r="E964" i="1"/>
  <c r="I963" i="1"/>
  <c r="G963" i="1"/>
  <c r="E963" i="1"/>
  <c r="I962" i="1"/>
  <c r="G962" i="1"/>
  <c r="E962" i="1"/>
  <c r="J957" i="1"/>
  <c r="E955" i="1"/>
  <c r="I954" i="1"/>
  <c r="E954" i="1"/>
  <c r="J953" i="1"/>
  <c r="I953" i="1"/>
  <c r="E953" i="1"/>
  <c r="I952" i="1"/>
  <c r="E952" i="1"/>
  <c r="J948" i="1"/>
  <c r="E946" i="1"/>
  <c r="G945" i="1"/>
  <c r="E945" i="1"/>
  <c r="J944" i="1"/>
  <c r="I944" i="1"/>
  <c r="I943" i="1"/>
  <c r="E943" i="1"/>
  <c r="J942" i="1"/>
  <c r="I942" i="1"/>
  <c r="I941" i="1"/>
  <c r="J940" i="1"/>
  <c r="I940" i="1"/>
  <c r="G940" i="1"/>
  <c r="E940" i="1"/>
  <c r="K940" i="1" s="1"/>
  <c r="J936" i="1"/>
  <c r="E934" i="1"/>
  <c r="E933" i="1"/>
  <c r="J932" i="1"/>
  <c r="I932" i="1"/>
  <c r="E932" i="1"/>
  <c r="K932" i="1" s="1"/>
  <c r="I931" i="1"/>
  <c r="G931" i="1"/>
  <c r="I930" i="1"/>
  <c r="J929" i="1"/>
  <c r="K929" i="1" s="1"/>
  <c r="I929" i="1"/>
  <c r="E929" i="1"/>
  <c r="I928" i="1"/>
  <c r="I927" i="1"/>
  <c r="G927" i="1"/>
  <c r="E927" i="1"/>
  <c r="J923" i="1"/>
  <c r="E921" i="1"/>
  <c r="E920" i="1"/>
  <c r="I919" i="1"/>
  <c r="E919" i="1"/>
  <c r="I918" i="1"/>
  <c r="I917" i="1"/>
  <c r="I916" i="1"/>
  <c r="E916" i="1"/>
  <c r="I915" i="1"/>
  <c r="J914" i="1"/>
  <c r="I914" i="1"/>
  <c r="G914" i="1"/>
  <c r="E914" i="1"/>
  <c r="K914" i="1" s="1"/>
  <c r="J910" i="1"/>
  <c r="E908" i="1"/>
  <c r="E907" i="1"/>
  <c r="I906" i="1"/>
  <c r="K905" i="1"/>
  <c r="J905" i="1"/>
  <c r="I905" i="1"/>
  <c r="E905" i="1"/>
  <c r="I904" i="1"/>
  <c r="E904" i="1"/>
  <c r="J900" i="1"/>
  <c r="E897" i="1"/>
  <c r="E896" i="1"/>
  <c r="I895" i="1"/>
  <c r="I894" i="1"/>
  <c r="E894" i="1"/>
  <c r="I893" i="1"/>
  <c r="G893" i="1"/>
  <c r="E893" i="1"/>
  <c r="I892" i="1"/>
  <c r="E892" i="1"/>
  <c r="J891" i="1"/>
  <c r="I891" i="1"/>
  <c r="E891" i="1"/>
  <c r="J890" i="1"/>
  <c r="I890" i="1"/>
  <c r="G890" i="1"/>
  <c r="K880" i="1"/>
  <c r="I880" i="1"/>
  <c r="I881" i="1" s="1"/>
  <c r="R868" i="1"/>
  <c r="I1073" i="1" s="1"/>
  <c r="K1073" i="1" s="1"/>
  <c r="R866" i="1"/>
  <c r="R865" i="1"/>
  <c r="S864" i="1"/>
  <c r="J1403" i="1" s="1"/>
  <c r="S863" i="1"/>
  <c r="S862" i="1"/>
  <c r="J895" i="1" s="1"/>
  <c r="P862" i="1"/>
  <c r="E944" i="1" s="1"/>
  <c r="K944" i="1" s="1"/>
  <c r="S861" i="1"/>
  <c r="J1147" i="1" s="1"/>
  <c r="P861" i="1"/>
  <c r="E1147" i="1" s="1"/>
  <c r="S860" i="1"/>
  <c r="J1146" i="1" s="1"/>
  <c r="P860" i="1"/>
  <c r="S859" i="1"/>
  <c r="J954" i="1" s="1"/>
  <c r="K859" i="1"/>
  <c r="K860" i="1" s="1"/>
  <c r="I859" i="1"/>
  <c r="S858" i="1"/>
  <c r="P858" i="1"/>
  <c r="E1072" i="1" s="1"/>
  <c r="K858" i="1"/>
  <c r="I858" i="1"/>
  <c r="S857" i="1"/>
  <c r="J1225" i="1" s="1"/>
  <c r="P857" i="1"/>
  <c r="E1040" i="1" s="1"/>
  <c r="S856" i="1"/>
  <c r="J1125" i="1" s="1"/>
  <c r="P856" i="1"/>
  <c r="E1125" i="1" s="1"/>
  <c r="S855" i="1"/>
  <c r="P855" i="1"/>
  <c r="S854" i="1"/>
  <c r="P854" i="1"/>
  <c r="E1259" i="1" s="1"/>
  <c r="S853" i="1"/>
  <c r="J1164" i="1" s="1"/>
  <c r="P853" i="1"/>
  <c r="E915" i="1" s="1"/>
  <c r="S852" i="1"/>
  <c r="J1395" i="1" s="1"/>
  <c r="P852" i="1"/>
  <c r="E1395" i="1" s="1"/>
  <c r="K1395" i="1" s="1"/>
  <c r="I852" i="1"/>
  <c r="G852" i="1"/>
  <c r="S851" i="1"/>
  <c r="J1168" i="1" s="1"/>
  <c r="S850" i="1"/>
  <c r="P850" i="1"/>
  <c r="S849" i="1"/>
  <c r="J1215" i="1" s="1"/>
  <c r="P849" i="1"/>
  <c r="E1314" i="1" s="1"/>
  <c r="S848" i="1"/>
  <c r="J904" i="1" s="1"/>
  <c r="K904" i="1" s="1"/>
  <c r="P848" i="1"/>
  <c r="E1016" i="1" s="1"/>
  <c r="K1016" i="1" s="1"/>
  <c r="S847" i="1"/>
  <c r="I847" i="1"/>
  <c r="K847" i="1" s="1"/>
  <c r="K848" i="1" s="1"/>
  <c r="S846" i="1"/>
  <c r="J1396" i="1" s="1"/>
  <c r="K840" i="1"/>
  <c r="I840" i="1"/>
  <c r="K839" i="1"/>
  <c r="I839" i="1"/>
  <c r="I841" i="1" s="1"/>
  <c r="K841" i="1" s="1"/>
  <c r="K842" i="1" s="1"/>
  <c r="K843" i="1" s="1"/>
  <c r="K838" i="1"/>
  <c r="I838" i="1"/>
  <c r="J834" i="1"/>
  <c r="K829" i="1"/>
  <c r="G829" i="1"/>
  <c r="E829" i="1"/>
  <c r="G828" i="1"/>
  <c r="K828" i="1" s="1"/>
  <c r="K827" i="1"/>
  <c r="G827" i="1"/>
  <c r="G826" i="1"/>
  <c r="K826" i="1" s="1"/>
  <c r="E826" i="1"/>
  <c r="G825" i="1"/>
  <c r="K825" i="1" s="1"/>
  <c r="E825" i="1"/>
  <c r="G824" i="1"/>
  <c r="K824" i="1" s="1"/>
  <c r="E824" i="1"/>
  <c r="J820" i="1"/>
  <c r="K815" i="1"/>
  <c r="E815" i="1"/>
  <c r="K814" i="1"/>
  <c r="K816" i="1" s="1"/>
  <c r="K819" i="1" s="1"/>
  <c r="K820" i="1" s="1"/>
  <c r="E814" i="1"/>
  <c r="K810" i="1"/>
  <c r="K809" i="1"/>
  <c r="K803" i="1"/>
  <c r="I803" i="1"/>
  <c r="I802" i="1"/>
  <c r="K802" i="1" s="1"/>
  <c r="K797" i="1"/>
  <c r="K798" i="1" s="1"/>
  <c r="I797" i="1"/>
  <c r="I809" i="1" s="1"/>
  <c r="K793" i="1"/>
  <c r="K792" i="1"/>
  <c r="I792" i="1"/>
  <c r="K787" i="1"/>
  <c r="K788" i="1" s="1"/>
  <c r="I787" i="1"/>
  <c r="K782" i="1"/>
  <c r="K783" i="1" s="1"/>
  <c r="I782" i="1"/>
  <c r="K777" i="1"/>
  <c r="K778" i="1" s="1"/>
  <c r="I777" i="1"/>
  <c r="K773" i="1"/>
  <c r="K772" i="1"/>
  <c r="I772" i="1"/>
  <c r="K767" i="1"/>
  <c r="K768" i="1" s="1"/>
  <c r="I767" i="1"/>
  <c r="K762" i="1"/>
  <c r="K763" i="1" s="1"/>
  <c r="K758" i="1"/>
  <c r="K757" i="1"/>
  <c r="K753" i="1"/>
  <c r="K752" i="1"/>
  <c r="J752" i="1"/>
  <c r="J751" i="1"/>
  <c r="E747" i="1"/>
  <c r="K747" i="1" s="1"/>
  <c r="K748" i="1" s="1"/>
  <c r="K751" i="1" s="1"/>
  <c r="K746" i="1"/>
  <c r="E746" i="1"/>
  <c r="K742" i="1"/>
  <c r="J738" i="1"/>
  <c r="K738" i="1" s="1"/>
  <c r="J734" i="1"/>
  <c r="G729" i="1"/>
  <c r="E729" i="1"/>
  <c r="K729" i="1" s="1"/>
  <c r="G728" i="1"/>
  <c r="E728" i="1"/>
  <c r="K728" i="1" s="1"/>
  <c r="E727" i="1"/>
  <c r="K727" i="1" s="1"/>
  <c r="E726" i="1"/>
  <c r="K726" i="1" s="1"/>
  <c r="K730" i="1" s="1"/>
  <c r="K733" i="1" s="1"/>
  <c r="K734" i="1" s="1"/>
  <c r="K721" i="1"/>
  <c r="J721" i="1"/>
  <c r="J720" i="1"/>
  <c r="K720" i="1" s="1"/>
  <c r="K722" i="1" s="1"/>
  <c r="K719" i="1"/>
  <c r="J719" i="1"/>
  <c r="J714" i="1"/>
  <c r="K709" i="1"/>
  <c r="K713" i="1" s="1"/>
  <c r="K714" i="1" s="1"/>
  <c r="K715" i="1" s="1"/>
  <c r="J705" i="1"/>
  <c r="G700" i="1"/>
  <c r="K700" i="1" s="1"/>
  <c r="K704" i="1" s="1"/>
  <c r="E700" i="1"/>
  <c r="J696" i="1"/>
  <c r="G692" i="1"/>
  <c r="E692" i="1"/>
  <c r="K692" i="1" s="1"/>
  <c r="K695" i="1" s="1"/>
  <c r="K696" i="1" s="1"/>
  <c r="J687" i="1"/>
  <c r="K683" i="1"/>
  <c r="K686" i="1" s="1"/>
  <c r="K687" i="1" s="1"/>
  <c r="K688" i="1" s="1"/>
  <c r="E683" i="1"/>
  <c r="K677" i="1"/>
  <c r="K678" i="1" s="1"/>
  <c r="I677" i="1"/>
  <c r="K671" i="1"/>
  <c r="K672" i="1" s="1"/>
  <c r="I671" i="1"/>
  <c r="K665" i="1"/>
  <c r="I665" i="1"/>
  <c r="K664" i="1"/>
  <c r="K666" i="1" s="1"/>
  <c r="I664" i="1"/>
  <c r="I659" i="1"/>
  <c r="K659" i="1" s="1"/>
  <c r="I658" i="1"/>
  <c r="K658" i="1" s="1"/>
  <c r="I657" i="1"/>
  <c r="K657" i="1" s="1"/>
  <c r="I656" i="1"/>
  <c r="K656" i="1" s="1"/>
  <c r="I651" i="1"/>
  <c r="K651" i="1" s="1"/>
  <c r="K652" i="1" s="1"/>
  <c r="J636" i="1"/>
  <c r="E630" i="1"/>
  <c r="K630" i="1" s="1"/>
  <c r="E629" i="1"/>
  <c r="K629" i="1" s="1"/>
  <c r="K628" i="1"/>
  <c r="K627" i="1"/>
  <c r="K632" i="1" s="1"/>
  <c r="K635" i="1" s="1"/>
  <c r="K636" i="1" s="1"/>
  <c r="K637" i="1" s="1"/>
  <c r="E622" i="1"/>
  <c r="I620" i="1"/>
  <c r="K620" i="1" s="1"/>
  <c r="K619" i="1"/>
  <c r="K621" i="1" s="1"/>
  <c r="K622" i="1" s="1"/>
  <c r="K623" i="1" s="1"/>
  <c r="I619" i="1"/>
  <c r="I618" i="1"/>
  <c r="K618" i="1" s="1"/>
  <c r="J613" i="1"/>
  <c r="K608" i="1"/>
  <c r="E608" i="1"/>
  <c r="K607" i="1"/>
  <c r="E606" i="1"/>
  <c r="K606" i="1" s="1"/>
  <c r="E605" i="1"/>
  <c r="K605" i="1" s="1"/>
  <c r="K604" i="1"/>
  <c r="J599" i="1"/>
  <c r="K595" i="1"/>
  <c r="K598" i="1" s="1"/>
  <c r="K599" i="1" s="1"/>
  <c r="K600" i="1" s="1"/>
  <c r="K594" i="1"/>
  <c r="K593" i="1"/>
  <c r="E593" i="1"/>
  <c r="K592" i="1"/>
  <c r="K591" i="1"/>
  <c r="K587" i="1"/>
  <c r="I576" i="1"/>
  <c r="K576" i="1" s="1"/>
  <c r="K570" i="1"/>
  <c r="K572" i="1" s="1"/>
  <c r="K569" i="1"/>
  <c r="J569" i="1"/>
  <c r="G569" i="1"/>
  <c r="K565" i="1"/>
  <c r="K563" i="1"/>
  <c r="K564" i="1" s="1"/>
  <c r="K557" i="1"/>
  <c r="K559" i="1" s="1"/>
  <c r="J552" i="1"/>
  <c r="K548" i="1"/>
  <c r="K551" i="1" s="1"/>
  <c r="K552" i="1" s="1"/>
  <c r="K553" i="1" s="1"/>
  <c r="K542" i="1"/>
  <c r="K541" i="1"/>
  <c r="I536" i="1"/>
  <c r="K536" i="1" s="1"/>
  <c r="K537" i="1" s="1"/>
  <c r="I527" i="1"/>
  <c r="I528" i="1" s="1"/>
  <c r="I529" i="1" s="1"/>
  <c r="K529" i="1" s="1"/>
  <c r="K526" i="1"/>
  <c r="K525" i="1"/>
  <c r="I525" i="1"/>
  <c r="I526" i="1" s="1"/>
  <c r="K521" i="1"/>
  <c r="B521" i="1"/>
  <c r="K517" i="1"/>
  <c r="K513" i="1"/>
  <c r="K509" i="1"/>
  <c r="K505" i="1"/>
  <c r="K501" i="1"/>
  <c r="J487" i="1"/>
  <c r="K482" i="1"/>
  <c r="K481" i="1"/>
  <c r="K483" i="1" s="1"/>
  <c r="K486" i="1" s="1"/>
  <c r="K487" i="1" s="1"/>
  <c r="K488" i="1" s="1"/>
  <c r="G481" i="1"/>
  <c r="K480" i="1"/>
  <c r="K476" i="1"/>
  <c r="I475" i="1"/>
  <c r="K475" i="1" s="1"/>
  <c r="K471" i="1"/>
  <c r="K470" i="1"/>
  <c r="I470" i="1"/>
  <c r="K464" i="1"/>
  <c r="K465" i="1" s="1"/>
  <c r="K466" i="1" s="1"/>
  <c r="I464" i="1"/>
  <c r="K463" i="1"/>
  <c r="I463" i="1"/>
  <c r="J449" i="1"/>
  <c r="K444" i="1"/>
  <c r="K445" i="1" s="1"/>
  <c r="K448" i="1" s="1"/>
  <c r="K449" i="1" s="1"/>
  <c r="K450" i="1" s="1"/>
  <c r="K443" i="1"/>
  <c r="J438" i="1"/>
  <c r="K433" i="1"/>
  <c r="K432" i="1"/>
  <c r="K427" i="1"/>
  <c r="K428" i="1" s="1"/>
  <c r="I427" i="1"/>
  <c r="J422" i="1"/>
  <c r="K421" i="1"/>
  <c r="K422" i="1" s="1"/>
  <c r="K423" i="1" s="1"/>
  <c r="K418" i="1"/>
  <c r="K417" i="1"/>
  <c r="K416" i="1"/>
  <c r="E411" i="1"/>
  <c r="I410" i="1"/>
  <c r="K410" i="1" s="1"/>
  <c r="I409" i="1"/>
  <c r="K409" i="1" s="1"/>
  <c r="K408" i="1"/>
  <c r="I408" i="1"/>
  <c r="J404" i="1"/>
  <c r="I403" i="1"/>
  <c r="G403" i="1"/>
  <c r="K403" i="1" s="1"/>
  <c r="K404" i="1" s="1"/>
  <c r="K399" i="1"/>
  <c r="K398" i="1"/>
  <c r="K393" i="1"/>
  <c r="K394" i="1" s="1"/>
  <c r="K387" i="1"/>
  <c r="I387" i="1"/>
  <c r="K386" i="1"/>
  <c r="K388" i="1" s="1"/>
  <c r="K389" i="1" s="1"/>
  <c r="I386" i="1"/>
  <c r="K382" i="1"/>
  <c r="K381" i="1"/>
  <c r="K377" i="1"/>
  <c r="K376" i="1"/>
  <c r="J371" i="1"/>
  <c r="K370" i="1"/>
  <c r="K371" i="1" s="1"/>
  <c r="K372" i="1" s="1"/>
  <c r="K367" i="1"/>
  <c r="E367" i="1"/>
  <c r="K363" i="1"/>
  <c r="K362" i="1"/>
  <c r="K355" i="1"/>
  <c r="K354" i="1"/>
  <c r="K353" i="1"/>
  <c r="K352" i="1"/>
  <c r="K351" i="1"/>
  <c r="G345" i="1"/>
  <c r="G344" i="1"/>
  <c r="I343" i="1"/>
  <c r="I344" i="1" s="1"/>
  <c r="I345" i="1" s="1"/>
  <c r="K345" i="1" s="1"/>
  <c r="K342" i="1"/>
  <c r="I342" i="1"/>
  <c r="I334" i="1"/>
  <c r="K334" i="1" s="1"/>
  <c r="G334" i="1"/>
  <c r="J329" i="1"/>
  <c r="K329" i="1" s="1"/>
  <c r="K330" i="1" s="1"/>
  <c r="K328" i="1"/>
  <c r="K325" i="1"/>
  <c r="K321" i="1"/>
  <c r="K320" i="1"/>
  <c r="J316" i="1"/>
  <c r="K312" i="1"/>
  <c r="E312" i="1"/>
  <c r="K311" i="1"/>
  <c r="E309" i="1"/>
  <c r="K309" i="1" s="1"/>
  <c r="K308" i="1"/>
  <c r="K310" i="1" s="1"/>
  <c r="K315" i="1" s="1"/>
  <c r="K316" i="1" s="1"/>
  <c r="E308" i="1"/>
  <c r="I303" i="1"/>
  <c r="K303" i="1" s="1"/>
  <c r="K304" i="1" s="1"/>
  <c r="K299" i="1"/>
  <c r="K298" i="1"/>
  <c r="K292" i="1"/>
  <c r="K291" i="1"/>
  <c r="K290" i="1"/>
  <c r="K289" i="1"/>
  <c r="K288" i="1"/>
  <c r="K287" i="1"/>
  <c r="K293" i="1" s="1"/>
  <c r="K294" i="1" s="1"/>
  <c r="K281" i="1"/>
  <c r="K280" i="1"/>
  <c r="K282" i="1" s="1"/>
  <c r="K283" i="1" s="1"/>
  <c r="K279" i="1"/>
  <c r="K278" i="1"/>
  <c r="K277" i="1"/>
  <c r="K276" i="1"/>
  <c r="K275" i="1"/>
  <c r="K270" i="1"/>
  <c r="K271" i="1" s="1"/>
  <c r="K269" i="1"/>
  <c r="K268" i="1"/>
  <c r="K267" i="1"/>
  <c r="K266" i="1"/>
  <c r="K265" i="1"/>
  <c r="K259" i="1"/>
  <c r="K258" i="1"/>
  <c r="K257" i="1"/>
  <c r="K256" i="1"/>
  <c r="K255" i="1"/>
  <c r="K254" i="1"/>
  <c r="K253" i="1"/>
  <c r="K260" i="1" s="1"/>
  <c r="K261" i="1" s="1"/>
  <c r="K247" i="1"/>
  <c r="K246" i="1"/>
  <c r="K245" i="1"/>
  <c r="K244" i="1"/>
  <c r="K243" i="1"/>
  <c r="K242" i="1"/>
  <c r="K241" i="1"/>
  <c r="K240" i="1"/>
  <c r="K239" i="1"/>
  <c r="K248" i="1" s="1"/>
  <c r="K249" i="1" s="1"/>
  <c r="K233" i="1"/>
  <c r="K232" i="1"/>
  <c r="K234" i="1" s="1"/>
  <c r="K235" i="1" s="1"/>
  <c r="K231" i="1"/>
  <c r="K230" i="1"/>
  <c r="K229" i="1"/>
  <c r="K228" i="1"/>
  <c r="K222" i="1"/>
  <c r="K223" i="1" s="1"/>
  <c r="K224" i="1" s="1"/>
  <c r="K221" i="1"/>
  <c r="K220" i="1"/>
  <c r="K219" i="1"/>
  <c r="K218" i="1"/>
  <c r="K217" i="1"/>
  <c r="K216" i="1"/>
  <c r="K215" i="1"/>
  <c r="K214" i="1"/>
  <c r="K213" i="1"/>
  <c r="K207" i="1"/>
  <c r="K208" i="1" s="1"/>
  <c r="K209" i="1" s="1"/>
  <c r="K206" i="1"/>
  <c r="K205" i="1"/>
  <c r="K204" i="1"/>
  <c r="K203" i="1"/>
  <c r="K202" i="1"/>
  <c r="K201" i="1"/>
  <c r="K200" i="1"/>
  <c r="K199" i="1"/>
  <c r="K193" i="1"/>
  <c r="K192" i="1"/>
  <c r="K191" i="1"/>
  <c r="K190" i="1"/>
  <c r="K194" i="1" s="1"/>
  <c r="K195" i="1" s="1"/>
  <c r="K183" i="1"/>
  <c r="K182" i="1"/>
  <c r="K181" i="1"/>
  <c r="K180" i="1"/>
  <c r="K179" i="1"/>
  <c r="K178" i="1"/>
  <c r="K177" i="1"/>
  <c r="K176" i="1"/>
  <c r="K175" i="1"/>
  <c r="K174" i="1"/>
  <c r="K173" i="1"/>
  <c r="K184" i="1" s="1"/>
  <c r="K186" i="1" s="1"/>
  <c r="K168" i="1"/>
  <c r="K169" i="1" s="1"/>
  <c r="K167" i="1"/>
  <c r="K152" i="1"/>
  <c r="K153" i="1" s="1"/>
  <c r="I124" i="1"/>
  <c r="I127" i="1" s="1"/>
  <c r="K127" i="1" s="1"/>
  <c r="I118" i="1"/>
  <c r="K118" i="1" s="1"/>
  <c r="K117" i="1"/>
  <c r="I117" i="1"/>
  <c r="K116" i="1"/>
  <c r="I116" i="1"/>
  <c r="K115" i="1"/>
  <c r="I115" i="1"/>
  <c r="I101" i="1"/>
  <c r="I103" i="1" s="1"/>
  <c r="K103" i="1" s="1"/>
  <c r="I86" i="1"/>
  <c r="I90" i="1" s="1"/>
  <c r="K90" i="1" s="1"/>
  <c r="G76" i="1"/>
  <c r="I73" i="1"/>
  <c r="I75" i="1" s="1"/>
  <c r="K75" i="1" s="1"/>
  <c r="I70" i="1"/>
  <c r="I71" i="1" s="1"/>
  <c r="K71" i="1" s="1"/>
  <c r="G64" i="1"/>
  <c r="I63" i="1"/>
  <c r="K63" i="1" s="1"/>
  <c r="I59" i="1"/>
  <c r="I62" i="1" s="1"/>
  <c r="K62" i="1" s="1"/>
  <c r="I49" i="1"/>
  <c r="I52" i="1" s="1"/>
  <c r="K52" i="1" s="1"/>
  <c r="I43" i="1"/>
  <c r="K43" i="1" s="1"/>
  <c r="I39" i="1"/>
  <c r="I41" i="1" s="1"/>
  <c r="K41" i="1" s="1"/>
  <c r="I33" i="1"/>
  <c r="K33" i="1" s="1"/>
  <c r="G33" i="1"/>
  <c r="I32" i="1"/>
  <c r="K32" i="1" s="1"/>
  <c r="I31" i="1"/>
  <c r="K31" i="1" s="1"/>
  <c r="I26" i="1"/>
  <c r="K26" i="1" s="1"/>
  <c r="K28" i="1" s="1"/>
  <c r="K25" i="1"/>
  <c r="K27" i="1" s="1"/>
  <c r="K29" i="1" s="1"/>
  <c r="I25" i="1"/>
  <c r="I30" i="1" s="1"/>
  <c r="K30" i="1" s="1"/>
  <c r="G19" i="1"/>
  <c r="I17" i="1"/>
  <c r="K17" i="1" s="1"/>
  <c r="K16" i="1"/>
  <c r="I16" i="1"/>
  <c r="I15" i="1"/>
  <c r="K15" i="1" s="1"/>
  <c r="I9" i="1"/>
  <c r="I19" i="1" s="1"/>
  <c r="K19" i="1" s="1"/>
  <c r="G9" i="1"/>
  <c r="K9" i="1" s="1"/>
  <c r="K12" i="1" s="1"/>
  <c r="K8" i="1"/>
  <c r="K11" i="1" s="1"/>
  <c r="I8" i="1"/>
  <c r="I18" i="1" s="1"/>
  <c r="K18" i="1" s="1"/>
  <c r="E4032" i="1" l="1"/>
  <c r="K4032" i="1" s="1"/>
  <c r="E2270" i="1"/>
  <c r="K2270" i="1" s="1"/>
  <c r="K2271" i="1" s="1"/>
  <c r="E2260" i="1"/>
  <c r="K2260" i="1" s="1"/>
  <c r="K119" i="1"/>
  <c r="K120" i="1" s="1"/>
  <c r="K830" i="1"/>
  <c r="K833" i="1" s="1"/>
  <c r="K834" i="1" s="1"/>
  <c r="K34" i="1"/>
  <c r="K35" i="1" s="1"/>
  <c r="J1221" i="1"/>
  <c r="J1338" i="1"/>
  <c r="J1289" i="1"/>
  <c r="J1169" i="1"/>
  <c r="J1356" i="1"/>
  <c r="J1318" i="1"/>
  <c r="J1145" i="1"/>
  <c r="J1052" i="1"/>
  <c r="J1122" i="1"/>
  <c r="J994" i="1"/>
  <c r="J1259" i="1"/>
  <c r="K1259" i="1" s="1"/>
  <c r="J1089" i="1"/>
  <c r="E1353" i="1"/>
  <c r="K1353" i="1" s="1"/>
  <c r="E1375" i="1"/>
  <c r="E1306" i="1"/>
  <c r="K1306" i="1" s="1"/>
  <c r="E1287" i="1"/>
  <c r="K1287" i="1" s="1"/>
  <c r="E1423" i="1"/>
  <c r="E1317" i="1"/>
  <c r="E1218" i="1"/>
  <c r="K1218" i="1" s="1"/>
  <c r="E1298" i="1"/>
  <c r="E1096" i="1"/>
  <c r="E1305" i="1"/>
  <c r="K1305" i="1" s="1"/>
  <c r="E1050" i="1"/>
  <c r="K1050" i="1" s="1"/>
  <c r="E1176" i="1"/>
  <c r="E1152" i="1"/>
  <c r="E1276" i="1"/>
  <c r="E1142" i="1"/>
  <c r="E1059" i="1"/>
  <c r="K1059" i="1" s="1"/>
  <c r="E1068" i="1"/>
  <c r="E992" i="1"/>
  <c r="E1129" i="1"/>
  <c r="E1074" i="1"/>
  <c r="K1074" i="1" s="1"/>
  <c r="E1337" i="1"/>
  <c r="K1337" i="1" s="1"/>
  <c r="K1037" i="1"/>
  <c r="I74" i="1"/>
  <c r="K74" i="1" s="1"/>
  <c r="K86" i="1"/>
  <c r="K88" i="1" s="1"/>
  <c r="K527" i="1"/>
  <c r="J1176" i="1"/>
  <c r="J1375" i="1"/>
  <c r="J1423" i="1"/>
  <c r="J1317" i="1"/>
  <c r="J1306" i="1"/>
  <c r="J1166" i="1"/>
  <c r="J1086" i="1"/>
  <c r="J1152" i="1"/>
  <c r="J1142" i="1"/>
  <c r="J1059" i="1"/>
  <c r="J1276" i="1"/>
  <c r="J1068" i="1"/>
  <c r="J992" i="1"/>
  <c r="J1129" i="1"/>
  <c r="J1074" i="1"/>
  <c r="J1337" i="1"/>
  <c r="J1298" i="1"/>
  <c r="J1218" i="1"/>
  <c r="J1353" i="1"/>
  <c r="J1256" i="1"/>
  <c r="J1034" i="1"/>
  <c r="J1096" i="1"/>
  <c r="J1336" i="1"/>
  <c r="J1165" i="1"/>
  <c r="J1352" i="1"/>
  <c r="J1316" i="1"/>
  <c r="J1217" i="1"/>
  <c r="J1203" i="1"/>
  <c r="J1255" i="1"/>
  <c r="J1120" i="1"/>
  <c r="J1085" i="1"/>
  <c r="J979" i="1"/>
  <c r="J1399" i="1"/>
  <c r="J1286" i="1"/>
  <c r="J952" i="1"/>
  <c r="K952" i="1" s="1"/>
  <c r="J1190" i="1"/>
  <c r="J941" i="1"/>
  <c r="J1237" i="1"/>
  <c r="J1141" i="1"/>
  <c r="J892" i="1"/>
  <c r="J967" i="1"/>
  <c r="J916" i="1"/>
  <c r="K916" i="1" s="1"/>
  <c r="I882" i="1"/>
  <c r="K881" i="1"/>
  <c r="K892" i="1"/>
  <c r="K1201" i="1"/>
  <c r="K1288" i="1"/>
  <c r="K1554" i="1"/>
  <c r="K1557" i="1" s="1"/>
  <c r="K1558" i="1" s="1"/>
  <c r="K1559" i="1" s="1"/>
  <c r="K1560" i="1" s="1"/>
  <c r="K73" i="1"/>
  <c r="I1342" i="1"/>
  <c r="K1342" i="1" s="1"/>
  <c r="I1175" i="1"/>
  <c r="K1175" i="1" s="1"/>
  <c r="I1095" i="1"/>
  <c r="I1362" i="1"/>
  <c r="K1362" i="1" s="1"/>
  <c r="I1058" i="1"/>
  <c r="K1058" i="1" s="1"/>
  <c r="I1227" i="1"/>
  <c r="K1227" i="1" s="1"/>
  <c r="I1322" i="1"/>
  <c r="K1322" i="1" s="1"/>
  <c r="I1151" i="1"/>
  <c r="K1151" i="1" s="1"/>
  <c r="I1265" i="1"/>
  <c r="K1265" i="1" s="1"/>
  <c r="I1293" i="1"/>
  <c r="I1128" i="1"/>
  <c r="I10" i="1"/>
  <c r="K10" i="1" s="1"/>
  <c r="K13" i="1" s="1"/>
  <c r="K14" i="1" s="1"/>
  <c r="K20" i="1" s="1"/>
  <c r="K21" i="1" s="1"/>
  <c r="I64" i="1"/>
  <c r="K64" i="1" s="1"/>
  <c r="I87" i="1"/>
  <c r="K87" i="1" s="1"/>
  <c r="K344" i="1"/>
  <c r="K528" i="1"/>
  <c r="J1355" i="1"/>
  <c r="J1220" i="1"/>
  <c r="J1354" i="1"/>
  <c r="J1258" i="1"/>
  <c r="J1121" i="1"/>
  <c r="K1121" i="1" s="1"/>
  <c r="J1288" i="1"/>
  <c r="J1143" i="1"/>
  <c r="J1088" i="1"/>
  <c r="K1088" i="1" s="1"/>
  <c r="J1219" i="1"/>
  <c r="J1035" i="1"/>
  <c r="J963" i="1"/>
  <c r="K963" i="1" s="1"/>
  <c r="J1257" i="1"/>
  <c r="K1257" i="1" s="1"/>
  <c r="J1167" i="1"/>
  <c r="K1167" i="1" s="1"/>
  <c r="J1087" i="1"/>
  <c r="K1087" i="1" s="1"/>
  <c r="J1144" i="1"/>
  <c r="K1144" i="1" s="1"/>
  <c r="J1051" i="1"/>
  <c r="K1051" i="1" s="1"/>
  <c r="K1125" i="1"/>
  <c r="K953" i="1"/>
  <c r="K1220" i="1"/>
  <c r="K1264" i="1"/>
  <c r="K1086" i="1"/>
  <c r="I530" i="1"/>
  <c r="K980" i="1"/>
  <c r="K1170" i="1"/>
  <c r="K1315" i="1"/>
  <c r="E1356" i="1"/>
  <c r="K1356" i="1" s="1"/>
  <c r="K999" i="1"/>
  <c r="K1343" i="1"/>
  <c r="K39" i="1"/>
  <c r="K49" i="1"/>
  <c r="K59" i="1"/>
  <c r="K101" i="1"/>
  <c r="K124" i="1"/>
  <c r="K128" i="1" s="1"/>
  <c r="K129" i="1" s="1"/>
  <c r="I335" i="1"/>
  <c r="K705" i="1"/>
  <c r="I853" i="1"/>
  <c r="K853" i="1" s="1"/>
  <c r="K852" i="1"/>
  <c r="K854" i="1" s="1"/>
  <c r="K1147" i="1"/>
  <c r="K964" i="1"/>
  <c r="K970" i="1"/>
  <c r="E1034" i="1"/>
  <c r="K1128" i="1"/>
  <c r="E1166" i="1"/>
  <c r="K1166" i="1" s="1"/>
  <c r="I40" i="1"/>
  <c r="I50" i="1"/>
  <c r="I60" i="1"/>
  <c r="K60" i="1" s="1"/>
  <c r="I89" i="1"/>
  <c r="I102" i="1"/>
  <c r="I125" i="1"/>
  <c r="K125" i="1" s="1"/>
  <c r="K411" i="1"/>
  <c r="K412" i="1" s="1"/>
  <c r="K609" i="1"/>
  <c r="K612" i="1" s="1"/>
  <c r="K613" i="1" s="1"/>
  <c r="K614" i="1" s="1"/>
  <c r="K660" i="1"/>
  <c r="K805" i="1"/>
  <c r="K804" i="1"/>
  <c r="K954" i="1"/>
  <c r="J1069" i="1"/>
  <c r="K343" i="1"/>
  <c r="K1192" i="1"/>
  <c r="K1217" i="1"/>
  <c r="K1258" i="1"/>
  <c r="I76" i="1"/>
  <c r="K76" i="1" s="1"/>
  <c r="K77" i="1" s="1"/>
  <c r="K78" i="1" s="1"/>
  <c r="E82" i="1" s="1"/>
  <c r="K82" i="1" s="1"/>
  <c r="I61" i="1"/>
  <c r="K61" i="1" s="1"/>
  <c r="K70" i="1"/>
  <c r="K72" i="1" s="1"/>
  <c r="I126" i="1"/>
  <c r="K126" i="1" s="1"/>
  <c r="K993" i="1"/>
  <c r="K1035" i="1"/>
  <c r="K1326" i="1"/>
  <c r="I577" i="1"/>
  <c r="K967" i="1"/>
  <c r="K356" i="1"/>
  <c r="K358" i="1" s="1"/>
  <c r="K1072" i="1"/>
  <c r="K1042" i="1"/>
  <c r="K1095" i="1"/>
  <c r="J1036" i="1"/>
  <c r="K543" i="1"/>
  <c r="K544" i="1" s="1"/>
  <c r="J1341" i="1"/>
  <c r="J1292" i="1"/>
  <c r="J1264" i="1"/>
  <c r="J1400" i="1"/>
  <c r="J1127" i="1"/>
  <c r="J1174" i="1"/>
  <c r="J1072" i="1"/>
  <c r="J1094" i="1"/>
  <c r="J1361" i="1"/>
  <c r="J1239" i="1"/>
  <c r="J1041" i="1"/>
  <c r="J969" i="1"/>
  <c r="J918" i="1"/>
  <c r="J1226" i="1"/>
  <c r="J931" i="1"/>
  <c r="J981" i="1"/>
  <c r="J1321" i="1"/>
  <c r="J1205" i="1"/>
  <c r="J1192" i="1"/>
  <c r="J906" i="1"/>
  <c r="J1150" i="1"/>
  <c r="K1150" i="1" s="1"/>
  <c r="J1057" i="1"/>
  <c r="K1057" i="1" s="1"/>
  <c r="J999" i="1"/>
  <c r="J943" i="1"/>
  <c r="K943" i="1" s="1"/>
  <c r="J894" i="1"/>
  <c r="K894" i="1" s="1"/>
  <c r="K1293" i="1"/>
  <c r="I1240" i="1"/>
  <c r="K1240" i="1" s="1"/>
  <c r="I1401" i="1"/>
  <c r="K1401" i="1" s="1"/>
  <c r="I1343" i="1"/>
  <c r="I1025" i="1"/>
  <c r="K1025" i="1" s="1"/>
  <c r="K434" i="1"/>
  <c r="K437" i="1" s="1"/>
  <c r="K438" i="1" s="1"/>
  <c r="K439" i="1" s="1"/>
  <c r="E1318" i="1"/>
  <c r="K1318" i="1" s="1"/>
  <c r="E1338" i="1"/>
  <c r="K1338" i="1" s="1"/>
  <c r="E1122" i="1"/>
  <c r="K1122" i="1" s="1"/>
  <c r="E1169" i="1"/>
  <c r="K1169" i="1" s="1"/>
  <c r="E1089" i="1"/>
  <c r="K1089" i="1" s="1"/>
  <c r="E1036" i="1"/>
  <c r="K1036" i="1" s="1"/>
  <c r="E1069" i="1"/>
  <c r="K1069" i="1" s="1"/>
  <c r="E1145" i="1"/>
  <c r="E1052" i="1"/>
  <c r="K1052" i="1" s="1"/>
  <c r="E1289" i="1"/>
  <c r="E1221" i="1"/>
  <c r="E994" i="1"/>
  <c r="I1402" i="1"/>
  <c r="K1402" i="1" s="1"/>
  <c r="I1241" i="1"/>
  <c r="K1241" i="1" s="1"/>
  <c r="R870" i="1"/>
  <c r="I1008" i="1" s="1"/>
  <c r="K1008" i="1" s="1"/>
  <c r="R869" i="1"/>
  <c r="R867" i="1"/>
  <c r="K891" i="1"/>
  <c r="E1256" i="1"/>
  <c r="K1256" i="1" s="1"/>
  <c r="K1866" i="1"/>
  <c r="K1869" i="1" s="1"/>
  <c r="K1870" i="1" s="1"/>
  <c r="E1399" i="1"/>
  <c r="E1237" i="1"/>
  <c r="K1237" i="1" s="1"/>
  <c r="E1336" i="1"/>
  <c r="K1336" i="1" s="1"/>
  <c r="E1352" i="1"/>
  <c r="K1352" i="1" s="1"/>
  <c r="E1190" i="1"/>
  <c r="E1286" i="1"/>
  <c r="E1141" i="1"/>
  <c r="K1141" i="1" s="1"/>
  <c r="E906" i="1"/>
  <c r="K906" i="1" s="1"/>
  <c r="J919" i="1"/>
  <c r="K919" i="1" s="1"/>
  <c r="E930" i="1"/>
  <c r="K930" i="1" s="1"/>
  <c r="J977" i="1"/>
  <c r="K977" i="1" s="1"/>
  <c r="J980" i="1"/>
  <c r="J996" i="1"/>
  <c r="K996" i="1" s="1"/>
  <c r="J1039" i="1"/>
  <c r="K1039" i="1" s="1"/>
  <c r="E1054" i="1"/>
  <c r="K1054" i="1" s="1"/>
  <c r="E1083" i="1"/>
  <c r="J1140" i="1"/>
  <c r="K1140" i="1" s="1"/>
  <c r="E1174" i="1"/>
  <c r="J1204" i="1"/>
  <c r="J1236" i="1"/>
  <c r="J1297" i="1"/>
  <c r="K2120" i="1"/>
  <c r="K2123" i="1" s="1"/>
  <c r="K2124" i="1" s="1"/>
  <c r="K2125" i="1" s="1"/>
  <c r="K2126" i="1" s="1"/>
  <c r="E1071" i="1"/>
  <c r="E1154" i="1"/>
  <c r="K1154" i="1" s="1"/>
  <c r="E1163" i="1"/>
  <c r="E1225" i="1"/>
  <c r="K1225" i="1" s="1"/>
  <c r="E1316" i="1"/>
  <c r="K1575" i="1"/>
  <c r="J1575" i="1"/>
  <c r="K1578" i="1" s="1"/>
  <c r="K1579" i="1" s="1"/>
  <c r="K1580" i="1" s="1"/>
  <c r="E1339" i="1"/>
  <c r="K1339" i="1" s="1"/>
  <c r="E1290" i="1"/>
  <c r="E1262" i="1"/>
  <c r="E1070" i="1"/>
  <c r="K1070" i="1" s="1"/>
  <c r="E1319" i="1"/>
  <c r="K1319" i="1" s="1"/>
  <c r="E1092" i="1"/>
  <c r="K1092" i="1" s="1"/>
  <c r="E1260" i="1"/>
  <c r="E1357" i="1"/>
  <c r="E895" i="1"/>
  <c r="K895" i="1" s="1"/>
  <c r="E917" i="1"/>
  <c r="K917" i="1" s="1"/>
  <c r="J927" i="1"/>
  <c r="K927" i="1" s="1"/>
  <c r="J930" i="1"/>
  <c r="J962" i="1"/>
  <c r="K962" i="1" s="1"/>
  <c r="E968" i="1"/>
  <c r="E978" i="1"/>
  <c r="K978" i="1" s="1"/>
  <c r="E981" i="1"/>
  <c r="K981" i="1" s="1"/>
  <c r="E997" i="1"/>
  <c r="K997" i="1" s="1"/>
  <c r="J1054" i="1"/>
  <c r="J1093" i="1"/>
  <c r="K1093" i="1" s="1"/>
  <c r="E1097" i="1"/>
  <c r="E1119" i="1"/>
  <c r="K1119" i="1" s="1"/>
  <c r="J1178" i="1"/>
  <c r="K1178" i="1" s="1"/>
  <c r="E1189" i="1"/>
  <c r="K1189" i="1" s="1"/>
  <c r="J1201" i="1"/>
  <c r="E1215" i="1"/>
  <c r="K1215" i="1" s="1"/>
  <c r="J1326" i="1"/>
  <c r="K1403" i="1"/>
  <c r="K2261" i="1"/>
  <c r="K2262" i="1" s="1"/>
  <c r="E2275" i="1" s="1"/>
  <c r="K2275" i="1" s="1"/>
  <c r="J1246" i="1"/>
  <c r="K1246" i="1" s="1"/>
  <c r="J1394" i="1"/>
  <c r="K1394" i="1" s="1"/>
  <c r="J1365" i="1"/>
  <c r="K1365" i="1" s="1"/>
  <c r="J1325" i="1"/>
  <c r="K1325" i="1" s="1"/>
  <c r="J1180" i="1"/>
  <c r="K1180" i="1" s="1"/>
  <c r="J1224" i="1"/>
  <c r="K1224" i="1" s="1"/>
  <c r="J1290" i="1"/>
  <c r="J1262" i="1"/>
  <c r="J1172" i="1"/>
  <c r="J1070" i="1"/>
  <c r="J1359" i="1"/>
  <c r="J1055" i="1"/>
  <c r="J1170" i="1"/>
  <c r="J1357" i="1"/>
  <c r="J1222" i="1"/>
  <c r="J1260" i="1"/>
  <c r="E941" i="1"/>
  <c r="K941" i="1" s="1"/>
  <c r="E1000" i="1"/>
  <c r="K1000" i="1" s="1"/>
  <c r="J1083" i="1"/>
  <c r="J1090" i="1"/>
  <c r="K1090" i="1" s="1"/>
  <c r="J1154" i="1"/>
  <c r="E1222" i="1"/>
  <c r="J1229" i="1"/>
  <c r="K1384" i="1"/>
  <c r="K1396" i="1"/>
  <c r="E1320" i="1"/>
  <c r="K1320" i="1" s="1"/>
  <c r="E1360" i="1"/>
  <c r="K1360" i="1" s="1"/>
  <c r="E1204" i="1"/>
  <c r="K1204" i="1" s="1"/>
  <c r="E1340" i="1"/>
  <c r="K1340" i="1" s="1"/>
  <c r="E1238" i="1"/>
  <c r="E1149" i="1"/>
  <c r="K1149" i="1" s="1"/>
  <c r="E1358" i="1"/>
  <c r="K1358" i="1" s="1"/>
  <c r="E1223" i="1"/>
  <c r="E1124" i="1"/>
  <c r="K1124" i="1" s="1"/>
  <c r="E890" i="1"/>
  <c r="K890" i="1" s="1"/>
  <c r="J917" i="1"/>
  <c r="E928" i="1"/>
  <c r="E931" i="1"/>
  <c r="K931" i="1" s="1"/>
  <c r="J968" i="1"/>
  <c r="J978" i="1"/>
  <c r="J1037" i="1"/>
  <c r="J1040" i="1"/>
  <c r="K1040" i="1" s="1"/>
  <c r="E1055" i="1"/>
  <c r="K1055" i="1" s="1"/>
  <c r="J1071" i="1"/>
  <c r="E1094" i="1"/>
  <c r="K1094" i="1" s="1"/>
  <c r="J1119" i="1"/>
  <c r="E1126" i="1"/>
  <c r="E1164" i="1"/>
  <c r="K1164" i="1" s="1"/>
  <c r="E1202" i="1"/>
  <c r="K1202" i="1" s="1"/>
  <c r="J1242" i="1"/>
  <c r="K1242" i="1" s="1"/>
  <c r="E1261" i="1"/>
  <c r="J1285" i="1"/>
  <c r="E1334" i="1"/>
  <c r="K1334" i="1" s="1"/>
  <c r="E1359" i="1"/>
  <c r="K1359" i="1" s="1"/>
  <c r="K1511" i="1"/>
  <c r="K1514" i="1" s="1"/>
  <c r="K1515" i="1" s="1"/>
  <c r="K1516" i="1" s="1"/>
  <c r="K1517" i="1" s="1"/>
  <c r="K1708" i="1"/>
  <c r="K1711" i="1" s="1"/>
  <c r="K1712" i="1" s="1"/>
  <c r="J1191" i="1"/>
  <c r="J1173" i="1"/>
  <c r="K1173" i="1" s="1"/>
  <c r="J1320" i="1"/>
  <c r="J1360" i="1"/>
  <c r="J1291" i="1"/>
  <c r="J1263" i="1"/>
  <c r="J1358" i="1"/>
  <c r="J1261" i="1"/>
  <c r="J1171" i="1"/>
  <c r="E990" i="1"/>
  <c r="E1091" i="1"/>
  <c r="K1091" i="1" s="1"/>
  <c r="E1123" i="1"/>
  <c r="E1148" i="1"/>
  <c r="E1171" i="1"/>
  <c r="K1219" i="1"/>
  <c r="E1304" i="1"/>
  <c r="K1304" i="1" s="1"/>
  <c r="E918" i="1"/>
  <c r="J928" i="1"/>
  <c r="E966" i="1"/>
  <c r="K966" i="1" s="1"/>
  <c r="E969" i="1"/>
  <c r="K969" i="1" s="1"/>
  <c r="E979" i="1"/>
  <c r="E998" i="1"/>
  <c r="K998" i="1" s="1"/>
  <c r="J1000" i="1"/>
  <c r="E1038" i="1"/>
  <c r="E1041" i="1"/>
  <c r="K1041" i="1" s="1"/>
  <c r="E1056" i="1"/>
  <c r="K1056" i="1" s="1"/>
  <c r="E1085" i="1"/>
  <c r="K1085" i="1" s="1"/>
  <c r="E1120" i="1"/>
  <c r="K1120" i="1" s="1"/>
  <c r="J1126" i="1"/>
  <c r="J1238" i="1"/>
  <c r="E1291" i="1"/>
  <c r="J1339" i="1"/>
  <c r="K1354" i="1"/>
  <c r="K1616" i="1"/>
  <c r="K1619" i="1" s="1"/>
  <c r="K1620" i="1" s="1"/>
  <c r="E1414" i="1"/>
  <c r="K1414" i="1" s="1"/>
  <c r="E1424" i="1"/>
  <c r="K1424" i="1" s="1"/>
  <c r="E1350" i="1"/>
  <c r="E1413" i="1"/>
  <c r="K1413" i="1" s="1"/>
  <c r="E1404" i="1"/>
  <c r="K1404" i="1" s="1"/>
  <c r="E1284" i="1"/>
  <c r="K1284" i="1" s="1"/>
  <c r="E1229" i="1"/>
  <c r="K1229" i="1" s="1"/>
  <c r="E1139" i="1"/>
  <c r="E1275" i="1"/>
  <c r="E1253" i="1"/>
  <c r="K1253" i="1" s="1"/>
  <c r="E1130" i="1"/>
  <c r="K1130" i="1" s="1"/>
  <c r="E1206" i="1"/>
  <c r="E1285" i="1"/>
  <c r="K1285" i="1" s="1"/>
  <c r="E1254" i="1"/>
  <c r="K1254" i="1" s="1"/>
  <c r="E1398" i="1"/>
  <c r="E1236" i="1"/>
  <c r="K1236" i="1" s="1"/>
  <c r="E1335" i="1"/>
  <c r="E1084" i="1"/>
  <c r="E942" i="1"/>
  <c r="K942" i="1" s="1"/>
  <c r="E1053" i="1"/>
  <c r="K1053" i="1" s="1"/>
  <c r="J1091" i="1"/>
  <c r="J1148" i="1"/>
  <c r="E1172" i="1"/>
  <c r="E1203" i="1"/>
  <c r="K1203" i="1" s="1"/>
  <c r="E1216" i="1"/>
  <c r="K1216" i="1" s="1"/>
  <c r="E1235" i="1"/>
  <c r="K1235" i="1" s="1"/>
  <c r="E1244" i="1"/>
  <c r="K1355" i="1"/>
  <c r="K2208" i="1"/>
  <c r="K2211" i="1" s="1"/>
  <c r="K2212" i="1" s="1"/>
  <c r="J1350" i="1"/>
  <c r="J1304" i="1"/>
  <c r="J1188" i="1"/>
  <c r="K1188" i="1" s="1"/>
  <c r="J1413" i="1"/>
  <c r="J1284" i="1"/>
  <c r="J1404" i="1"/>
  <c r="J1253" i="1"/>
  <c r="J1275" i="1"/>
  <c r="J1206" i="1"/>
  <c r="J1334" i="1"/>
  <c r="J1244" i="1"/>
  <c r="J1097" i="1"/>
  <c r="J1414" i="1"/>
  <c r="J1163" i="1"/>
  <c r="J1118" i="1"/>
  <c r="K1118" i="1" s="1"/>
  <c r="J1315" i="1"/>
  <c r="J1216" i="1"/>
  <c r="J1202" i="1"/>
  <c r="J1254" i="1"/>
  <c r="J1398" i="1"/>
  <c r="J1084" i="1"/>
  <c r="J1351" i="1"/>
  <c r="J1189" i="1"/>
  <c r="E1321" i="1"/>
  <c r="K1321" i="1" s="1"/>
  <c r="E1361" i="1"/>
  <c r="K1361" i="1" s="1"/>
  <c r="E1205" i="1"/>
  <c r="K1205" i="1" s="1"/>
  <c r="E1341" i="1"/>
  <c r="E1239" i="1"/>
  <c r="K1239" i="1" s="1"/>
  <c r="E1226" i="1"/>
  <c r="K1226" i="1" s="1"/>
  <c r="E1400" i="1"/>
  <c r="E1127" i="1"/>
  <c r="J893" i="1"/>
  <c r="K893" i="1" s="1"/>
  <c r="J915" i="1"/>
  <c r="K915" i="1" s="1"/>
  <c r="J966" i="1"/>
  <c r="J990" i="1"/>
  <c r="J995" i="1"/>
  <c r="K995" i="1" s="1"/>
  <c r="J1038" i="1"/>
  <c r="J1056" i="1"/>
  <c r="J1123" i="1"/>
  <c r="J1130" i="1"/>
  <c r="J1139" i="1"/>
  <c r="J1156" i="1"/>
  <c r="K1156" i="1" s="1"/>
  <c r="E1165" i="1"/>
  <c r="K1168" i="1"/>
  <c r="E1191" i="1"/>
  <c r="K1191" i="1" s="1"/>
  <c r="J1223" i="1"/>
  <c r="E1263" i="1"/>
  <c r="E1292" i="1"/>
  <c r="K1292" i="1" s="1"/>
  <c r="J1296" i="1"/>
  <c r="K1296" i="1" s="1"/>
  <c r="E1351" i="1"/>
  <c r="K1387" i="1"/>
  <c r="K1838" i="1"/>
  <c r="K1841" i="1" s="1"/>
  <c r="K1842" i="1" s="1"/>
  <c r="K1924" i="1"/>
  <c r="K1927" i="1" s="1"/>
  <c r="K1928" i="1" s="1"/>
  <c r="K2013" i="1"/>
  <c r="K2016" i="1" s="1"/>
  <c r="K2017" i="1" s="1"/>
  <c r="K2018" i="1" s="1"/>
  <c r="K1143" i="1"/>
  <c r="K1146" i="1"/>
  <c r="K1255" i="1"/>
  <c r="E1297" i="1"/>
  <c r="J1314" i="1"/>
  <c r="K1314" i="1" s="1"/>
  <c r="J1335" i="1"/>
  <c r="J1340" i="1"/>
  <c r="K1388" i="1"/>
  <c r="K1492" i="1"/>
  <c r="K1495" i="1" s="1"/>
  <c r="K1496" i="1" s="1"/>
  <c r="K2340" i="1"/>
  <c r="K2341" i="1" s="1"/>
  <c r="K2089" i="1"/>
  <c r="K2092" i="1" s="1"/>
  <c r="K2093" i="1" s="1"/>
  <c r="K2094" i="1" s="1"/>
  <c r="K2095" i="1" s="1"/>
  <c r="K2172" i="1"/>
  <c r="K2175" i="1" s="1"/>
  <c r="K2176" i="1" s="1"/>
  <c r="K3665" i="1"/>
  <c r="K3666" i="1" s="1"/>
  <c r="K3667" i="1" s="1"/>
  <c r="K3664" i="1"/>
  <c r="K2064" i="1"/>
  <c r="K2065" i="1" s="1"/>
  <c r="K2349" i="1"/>
  <c r="K2348" i="1"/>
  <c r="K3007" i="1"/>
  <c r="K3008" i="1" s="1"/>
  <c r="K3009" i="1" s="1"/>
  <c r="K3010" i="1" s="1"/>
  <c r="K2141" i="1"/>
  <c r="K2144" i="1" s="1"/>
  <c r="K2145" i="1" s="1"/>
  <c r="K2947" i="1"/>
  <c r="K2950" i="1" s="1"/>
  <c r="K2951" i="1" s="1"/>
  <c r="K1385" i="1"/>
  <c r="K2191" i="1"/>
  <c r="K2194" i="1" s="1"/>
  <c r="K2195" i="1" s="1"/>
  <c r="K2227" i="1"/>
  <c r="K2230" i="1" s="1"/>
  <c r="K2231" i="1" s="1"/>
  <c r="K2232" i="1" s="1"/>
  <c r="K2233" i="1" s="1"/>
  <c r="K3190" i="1"/>
  <c r="K3193" i="1" s="1"/>
  <c r="K3194" i="1" s="1"/>
  <c r="K3195" i="1" s="1"/>
  <c r="K3559" i="1"/>
  <c r="I3559" i="1"/>
  <c r="E3560" i="1"/>
  <c r="K1849" i="1"/>
  <c r="K1852" i="1" s="1"/>
  <c r="K1853" i="1" s="1"/>
  <c r="K1854" i="1" s="1"/>
  <c r="K1855" i="1" s="1"/>
  <c r="K2050" i="1"/>
  <c r="K2053" i="1" s="1"/>
  <c r="K2054" i="1" s="1"/>
  <c r="K2055" i="1" s="1"/>
  <c r="K2056" i="1" s="1"/>
  <c r="I2081" i="1"/>
  <c r="K2081" i="1" s="1"/>
  <c r="K2425" i="1"/>
  <c r="K2428" i="1" s="1"/>
  <c r="K2429" i="1" s="1"/>
  <c r="K2430" i="1" s="1"/>
  <c r="K2566" i="1"/>
  <c r="K2567" i="1" s="1"/>
  <c r="K2568" i="1" s="1"/>
  <c r="K3334" i="1"/>
  <c r="K3337" i="1" s="1"/>
  <c r="K3338" i="1" s="1"/>
  <c r="K3339" i="1" s="1"/>
  <c r="K3340" i="1" s="1"/>
  <c r="K3444" i="1"/>
  <c r="I1386" i="1"/>
  <c r="K1386" i="1" s="1"/>
  <c r="K1389" i="1" s="1"/>
  <c r="K1390" i="1" s="1"/>
  <c r="K1894" i="1"/>
  <c r="K1897" i="1" s="1"/>
  <c r="K1898" i="1" s="1"/>
  <c r="K2385" i="1"/>
  <c r="K2386" i="1" s="1"/>
  <c r="K2503" i="1"/>
  <c r="K2504" i="1" s="1"/>
  <c r="K3037" i="1"/>
  <c r="K3040" i="1" s="1"/>
  <c r="K3041" i="1" s="1"/>
  <c r="I3929" i="1"/>
  <c r="K3929" i="1" s="1"/>
  <c r="K3928" i="1"/>
  <c r="I3934" i="1"/>
  <c r="K3934" i="1" s="1"/>
  <c r="I3933" i="1"/>
  <c r="I3940" i="1"/>
  <c r="I3930" i="1"/>
  <c r="K3930" i="1" s="1"/>
  <c r="K2074" i="1"/>
  <c r="K1906" i="1"/>
  <c r="K1909" i="1" s="1"/>
  <c r="K1910" i="1" s="1"/>
  <c r="K1911" i="1" s="1"/>
  <c r="K1912" i="1" s="1"/>
  <c r="K2390" i="1"/>
  <c r="K2392" i="1" s="1"/>
  <c r="K2393" i="1" s="1"/>
  <c r="K3206" i="1"/>
  <c r="K3209" i="1" s="1"/>
  <c r="K3210" i="1" s="1"/>
  <c r="K3211" i="1" s="1"/>
  <c r="K3212" i="1" s="1"/>
  <c r="K2253" i="1"/>
  <c r="K2254" i="1" s="1"/>
  <c r="K2741" i="1"/>
  <c r="K2742" i="1" s="1"/>
  <c r="K2743" i="1" s="1"/>
  <c r="G1953" i="1"/>
  <c r="K1953" i="1" s="1"/>
  <c r="K1955" i="1" s="1"/>
  <c r="K1956" i="1" s="1"/>
  <c r="I2502" i="1"/>
  <c r="K2502" i="1" s="1"/>
  <c r="K2798" i="1"/>
  <c r="K2801" i="1" s="1"/>
  <c r="K2802" i="1" s="1"/>
  <c r="K2803" i="1" s="1"/>
  <c r="K2804" i="1" s="1"/>
  <c r="K3188" i="1"/>
  <c r="K3694" i="1"/>
  <c r="K3695" i="1" s="1"/>
  <c r="K3696" i="1" s="1"/>
  <c r="K3804" i="1"/>
  <c r="K3807" i="1" s="1"/>
  <c r="K3808" i="1" s="1"/>
  <c r="K4181" i="1"/>
  <c r="I4279" i="1"/>
  <c r="K4279" i="1" s="1"/>
  <c r="K4278" i="1"/>
  <c r="K4282" i="1" s="1"/>
  <c r="I4281" i="1"/>
  <c r="K4281" i="1" s="1"/>
  <c r="I4280" i="1"/>
  <c r="K4280" i="1" s="1"/>
  <c r="K3117" i="1"/>
  <c r="K3120" i="1" s="1"/>
  <c r="K3121" i="1" s="1"/>
  <c r="E3083" i="1" s="1"/>
  <c r="K3083" i="1" s="1"/>
  <c r="K3266" i="1"/>
  <c r="K3269" i="1" s="1"/>
  <c r="K3270" i="1" s="1"/>
  <c r="K3271" i="1" s="1"/>
  <c r="K3272" i="1" s="1"/>
  <c r="K3735" i="1"/>
  <c r="K3766" i="1"/>
  <c r="K3767" i="1" s="1"/>
  <c r="K3634" i="1"/>
  <c r="K3639" i="1" s="1"/>
  <c r="K3642" i="1" s="1"/>
  <c r="K3643" i="1" s="1"/>
  <c r="K3969" i="1"/>
  <c r="K3970" i="1" s="1"/>
  <c r="K3971" i="1" s="1"/>
  <c r="K4387" i="1"/>
  <c r="K4390" i="1" s="1"/>
  <c r="K4391" i="1" s="1"/>
  <c r="G1954" i="1"/>
  <c r="K1954" i="1" s="1"/>
  <c r="K3841" i="1"/>
  <c r="K4228" i="1"/>
  <c r="K4322" i="1"/>
  <c r="K4323" i="1" s="1"/>
  <c r="K4324" i="1" s="1"/>
  <c r="K3224" i="1"/>
  <c r="K3227" i="1" s="1"/>
  <c r="K3228" i="1" s="1"/>
  <c r="K3540" i="1"/>
  <c r="K3543" i="1" s="1"/>
  <c r="K3544" i="1" s="1"/>
  <c r="K3545" i="1" s="1"/>
  <c r="K3546" i="1" s="1"/>
  <c r="K4034" i="1"/>
  <c r="K4037" i="1" s="1"/>
  <c r="K4038" i="1" s="1"/>
  <c r="K4039" i="1" s="1"/>
  <c r="K4040" i="1" s="1"/>
  <c r="I4261" i="1"/>
  <c r="I4260" i="1"/>
  <c r="I4262" i="1"/>
  <c r="K4262" i="1" s="1"/>
  <c r="K2871" i="1"/>
  <c r="K2874" i="1" s="1"/>
  <c r="K2875" i="1" s="1"/>
  <c r="K2876" i="1" s="1"/>
  <c r="K2877" i="1" s="1"/>
  <c r="K3172" i="1"/>
  <c r="K3175" i="1" s="1"/>
  <c r="K3176" i="1" s="1"/>
  <c r="K3554" i="1"/>
  <c r="K3814" i="1"/>
  <c r="K3815" i="1" s="1"/>
  <c r="K3978" i="1"/>
  <c r="K3979" i="1" s="1"/>
  <c r="K4163" i="1"/>
  <c r="K3709" i="1"/>
  <c r="K3721" i="1" s="1"/>
  <c r="K3722" i="1" s="1"/>
  <c r="K3725" i="1" s="1"/>
  <c r="K3302" i="1"/>
  <c r="K3304" i="1" s="1"/>
  <c r="K3307" i="1" s="1"/>
  <c r="K3308" i="1" s="1"/>
  <c r="K3309" i="1" s="1"/>
  <c r="K3310" i="1" s="1"/>
  <c r="K3410" i="1"/>
  <c r="K3413" i="1" s="1"/>
  <c r="K3414" i="1" s="1"/>
  <c r="K3415" i="1" s="1"/>
  <c r="K3416" i="1" s="1"/>
  <c r="I3828" i="1"/>
  <c r="K3828" i="1" s="1"/>
  <c r="K3826" i="1"/>
  <c r="I3830" i="1"/>
  <c r="K3830" i="1" s="1"/>
  <c r="I3829" i="1"/>
  <c r="K3829" i="1" s="1"/>
  <c r="K4066" i="1"/>
  <c r="K4067" i="1" s="1"/>
  <c r="K4238" i="1"/>
  <c r="K3092" i="1"/>
  <c r="K3095" i="1" s="1"/>
  <c r="K3096" i="1" s="1"/>
  <c r="K3278" i="1"/>
  <c r="K3281" i="1" s="1"/>
  <c r="K3282" i="1" s="1"/>
  <c r="I3827" i="1"/>
  <c r="K3827" i="1" s="1"/>
  <c r="K4169" i="1"/>
  <c r="K4171" i="1" s="1"/>
  <c r="K4172" i="1" s="1"/>
  <c r="K4304" i="1"/>
  <c r="I3774" i="1"/>
  <c r="K3774" i="1" s="1"/>
  <c r="J3843" i="1"/>
  <c r="K3844" i="1" s="1"/>
  <c r="K3845" i="1" s="1"/>
  <c r="K3846" i="1" s="1"/>
  <c r="K4151" i="1"/>
  <c r="K4154" i="1" s="1"/>
  <c r="K4155" i="1" s="1"/>
  <c r="I4161" i="1"/>
  <c r="K4161" i="1" s="1"/>
  <c r="I4225" i="1"/>
  <c r="K4225" i="1" s="1"/>
  <c r="I3775" i="1"/>
  <c r="K3775" i="1" s="1"/>
  <c r="K3819" i="1"/>
  <c r="K3821" i="1" s="1"/>
  <c r="K3822" i="1" s="1"/>
  <c r="K3880" i="1"/>
  <c r="K3883" i="1" s="1"/>
  <c r="K3884" i="1" s="1"/>
  <c r="K4208" i="1"/>
  <c r="K4210" i="1" s="1"/>
  <c r="K4271" i="1"/>
  <c r="K4273" i="1" s="1"/>
  <c r="K4404" i="1"/>
  <c r="K4408" i="1" s="1"/>
  <c r="K4409" i="1" s="1"/>
  <c r="K4427" i="1"/>
  <c r="K4428" i="1" s="1"/>
  <c r="K4433" i="1" s="1"/>
  <c r="K4434" i="1" s="1"/>
  <c r="K4548" i="1"/>
  <c r="I3881" i="1"/>
  <c r="K3881" i="1" s="1"/>
  <c r="K3993" i="1"/>
  <c r="K3995" i="1" s="1"/>
  <c r="K3998" i="1" s="1"/>
  <c r="K3999" i="1" s="1"/>
  <c r="K4000" i="1" s="1"/>
  <c r="K4001" i="1" s="1"/>
  <c r="I4396" i="1"/>
  <c r="K4396" i="1" s="1"/>
  <c r="K4399" i="1" s="1"/>
  <c r="K4400" i="1" s="1"/>
  <c r="K4438" i="1"/>
  <c r="K4440" i="1" s="1"/>
  <c r="K4446" i="1" s="1"/>
  <c r="K4447" i="1" s="1"/>
  <c r="I4445" i="1"/>
  <c r="K4445" i="1" s="1"/>
  <c r="I4228" i="1"/>
  <c r="K4258" i="1"/>
  <c r="K4346" i="1"/>
  <c r="I4406" i="1"/>
  <c r="K4406" i="1" s="1"/>
  <c r="I4222" i="1"/>
  <c r="K4222" i="1" s="1"/>
  <c r="K4226" i="1" s="1"/>
  <c r="I4347" i="1"/>
  <c r="K4347" i="1" s="1"/>
  <c r="I3772" i="1"/>
  <c r="K3772" i="1" s="1"/>
  <c r="I4216" i="1"/>
  <c r="I4223" i="1"/>
  <c r="K4223" i="1" s="1"/>
  <c r="K3777" i="1" l="1"/>
  <c r="K972" i="1"/>
  <c r="K973" i="1" s="1"/>
  <c r="K1308" i="1"/>
  <c r="K1309" i="1" s="1"/>
  <c r="K335" i="1"/>
  <c r="I336" i="1"/>
  <c r="K336" i="1" s="1"/>
  <c r="K3776" i="1"/>
  <c r="K1165" i="1"/>
  <c r="K1127" i="1"/>
  <c r="K1206" i="1"/>
  <c r="K928" i="1"/>
  <c r="K935" i="1" s="1"/>
  <c r="K936" i="1" s="1"/>
  <c r="K1397" i="1"/>
  <c r="K994" i="1"/>
  <c r="I883" i="1"/>
  <c r="K882" i="1"/>
  <c r="K1096" i="1"/>
  <c r="K1247" i="1"/>
  <c r="K1248" i="1" s="1"/>
  <c r="I3941" i="1"/>
  <c r="K3941" i="1" s="1"/>
  <c r="K3940" i="1"/>
  <c r="K3944" i="1" s="1"/>
  <c r="I3943" i="1"/>
  <c r="K3943" i="1" s="1"/>
  <c r="I3942" i="1"/>
  <c r="K3942" i="1" s="1"/>
  <c r="K1400" i="1"/>
  <c r="K1172" i="1"/>
  <c r="K1038" i="1"/>
  <c r="K1171" i="1"/>
  <c r="K1097" i="1"/>
  <c r="K1357" i="1"/>
  <c r="K1316" i="1"/>
  <c r="K1327" i="1" s="1"/>
  <c r="K1328" i="1" s="1"/>
  <c r="K1221" i="1"/>
  <c r="K65" i="1"/>
  <c r="K66" i="1" s="1"/>
  <c r="K1298" i="1"/>
  <c r="K1126" i="1"/>
  <c r="K1260" i="1"/>
  <c r="K1269" i="1" s="1"/>
  <c r="K1270" i="1" s="1"/>
  <c r="K1174" i="1"/>
  <c r="K1289" i="1"/>
  <c r="K1034" i="1"/>
  <c r="K1044" i="1" s="1"/>
  <c r="K1045" i="1" s="1"/>
  <c r="K1129" i="1"/>
  <c r="I3936" i="1"/>
  <c r="K3936" i="1" s="1"/>
  <c r="I3935" i="1"/>
  <c r="K3935" i="1" s="1"/>
  <c r="K3933" i="1"/>
  <c r="K3938" i="1" s="1"/>
  <c r="I3937" i="1"/>
  <c r="K3937" i="1" s="1"/>
  <c r="E1685" i="1"/>
  <c r="K1685" i="1" s="1"/>
  <c r="E1629" i="1"/>
  <c r="K1629" i="1" s="1"/>
  <c r="K1630" i="1" s="1"/>
  <c r="K3831" i="1"/>
  <c r="K3832" i="1" s="1"/>
  <c r="K1275" i="1"/>
  <c r="K1148" i="1"/>
  <c r="K1222" i="1"/>
  <c r="K1286" i="1"/>
  <c r="K1299" i="1" s="1"/>
  <c r="K1300" i="1" s="1"/>
  <c r="I104" i="1"/>
  <c r="K102" i="1"/>
  <c r="K992" i="1"/>
  <c r="K1317" i="1"/>
  <c r="I578" i="1"/>
  <c r="K577" i="1"/>
  <c r="I4217" i="1"/>
  <c r="K4217" i="1" s="1"/>
  <c r="K4216" i="1"/>
  <c r="I4219" i="1"/>
  <c r="K4219" i="1" s="1"/>
  <c r="I4218" i="1"/>
  <c r="K4218" i="1" s="1"/>
  <c r="K4260" i="1"/>
  <c r="K4266" i="1" s="1"/>
  <c r="I4263" i="1"/>
  <c r="K4263" i="1" s="1"/>
  <c r="K3931" i="1"/>
  <c r="K1351" i="1"/>
  <c r="K1341" i="1"/>
  <c r="K1139" i="1"/>
  <c r="K1291" i="1"/>
  <c r="K979" i="1"/>
  <c r="K1123" i="1"/>
  <c r="K1133" i="1" s="1"/>
  <c r="K1134" i="1" s="1"/>
  <c r="K1223" i="1"/>
  <c r="K1083" i="1"/>
  <c r="K1190" i="1"/>
  <c r="K1195" i="1" s="1"/>
  <c r="K1196" i="1" s="1"/>
  <c r="K1145" i="1"/>
  <c r="K346" i="1"/>
  <c r="K347" i="1" s="1"/>
  <c r="I91" i="1"/>
  <c r="K91" i="1" s="1"/>
  <c r="K92" i="1" s="1"/>
  <c r="K93" i="1" s="1"/>
  <c r="K89" i="1"/>
  <c r="K1068" i="1"/>
  <c r="K1423" i="1"/>
  <c r="K4261" i="1"/>
  <c r="I4264" i="1"/>
  <c r="K4264" i="1" s="1"/>
  <c r="E4486" i="1"/>
  <c r="K4486" i="1" s="1"/>
  <c r="E4478" i="1"/>
  <c r="K4478" i="1" s="1"/>
  <c r="E4474" i="1"/>
  <c r="K4474" i="1" s="1"/>
  <c r="E4482" i="1"/>
  <c r="K4482" i="1" s="1"/>
  <c r="K3560" i="1"/>
  <c r="K3565" i="1" s="1"/>
  <c r="K3568" i="1" s="1"/>
  <c r="K3569" i="1" s="1"/>
  <c r="I3560" i="1"/>
  <c r="K1084" i="1"/>
  <c r="K990" i="1"/>
  <c r="K1262" i="1"/>
  <c r="K1163" i="1"/>
  <c r="I51" i="1"/>
  <c r="K51" i="1" s="1"/>
  <c r="I53" i="1"/>
  <c r="K53" i="1" s="1"/>
  <c r="K50" i="1"/>
  <c r="K54" i="1" s="1"/>
  <c r="K55" i="1" s="1"/>
  <c r="E133" i="1" s="1"/>
  <c r="K133" i="1" s="1"/>
  <c r="K1142" i="1"/>
  <c r="K1335" i="1"/>
  <c r="K1344" i="1"/>
  <c r="K1345" i="1" s="1"/>
  <c r="K1238" i="1"/>
  <c r="K968" i="1"/>
  <c r="K1290" i="1"/>
  <c r="I1307" i="1"/>
  <c r="K1307" i="1" s="1"/>
  <c r="I1243" i="1"/>
  <c r="K1243" i="1" s="1"/>
  <c r="I1416" i="1"/>
  <c r="K1416" i="1" s="1"/>
  <c r="I1415" i="1"/>
  <c r="K1415" i="1" s="1"/>
  <c r="I1363" i="1"/>
  <c r="K1363" i="1" s="1"/>
  <c r="I1425" i="1"/>
  <c r="K1425" i="1" s="1"/>
  <c r="I1110" i="1"/>
  <c r="K1110" i="1" s="1"/>
  <c r="K1112" i="1" s="1"/>
  <c r="K1113" i="1" s="1"/>
  <c r="I1177" i="1"/>
  <c r="K1177" i="1" s="1"/>
  <c r="I1075" i="1"/>
  <c r="K1075" i="1" s="1"/>
  <c r="I1001" i="1"/>
  <c r="K1001" i="1" s="1"/>
  <c r="I1376" i="1"/>
  <c r="K1376" i="1" s="1"/>
  <c r="I1277" i="1"/>
  <c r="K1277" i="1" s="1"/>
  <c r="I1207" i="1"/>
  <c r="K1207" i="1" s="1"/>
  <c r="I1406" i="1"/>
  <c r="K1406" i="1" s="1"/>
  <c r="I1323" i="1"/>
  <c r="K1323" i="1" s="1"/>
  <c r="I1098" i="1"/>
  <c r="K1098" i="1" s="1"/>
  <c r="I896" i="1"/>
  <c r="K896" i="1" s="1"/>
  <c r="K898" i="1" s="1"/>
  <c r="K899" i="1" s="1"/>
  <c r="K900" i="1" s="1"/>
  <c r="I955" i="1"/>
  <c r="K955" i="1" s="1"/>
  <c r="K956" i="1" s="1"/>
  <c r="K957" i="1" s="1"/>
  <c r="I1193" i="1"/>
  <c r="K1193" i="1" s="1"/>
  <c r="I907" i="1"/>
  <c r="K907" i="1" s="1"/>
  <c r="K909" i="1" s="1"/>
  <c r="K910" i="1" s="1"/>
  <c r="I1266" i="1"/>
  <c r="K1266" i="1" s="1"/>
  <c r="I1026" i="1"/>
  <c r="K1026" i="1" s="1"/>
  <c r="K1028" i="1" s="1"/>
  <c r="K1029" i="1" s="1"/>
  <c r="I1018" i="1"/>
  <c r="K1018" i="1" s="1"/>
  <c r="I971" i="1"/>
  <c r="K971" i="1" s="1"/>
  <c r="I920" i="1"/>
  <c r="K920" i="1" s="1"/>
  <c r="I1294" i="1"/>
  <c r="K1294" i="1" s="1"/>
  <c r="I1043" i="1"/>
  <c r="K1043" i="1" s="1"/>
  <c r="I933" i="1"/>
  <c r="K933" i="1" s="1"/>
  <c r="I1017" i="1"/>
  <c r="K1017" i="1" s="1"/>
  <c r="I983" i="1"/>
  <c r="K983" i="1" s="1"/>
  <c r="K984" i="1" s="1"/>
  <c r="K985" i="1" s="1"/>
  <c r="I1131" i="1"/>
  <c r="K1131" i="1" s="1"/>
  <c r="I1060" i="1"/>
  <c r="K1060" i="1" s="1"/>
  <c r="K1062" i="1" s="1"/>
  <c r="K1063" i="1" s="1"/>
  <c r="I1009" i="1"/>
  <c r="K1009" i="1" s="1"/>
  <c r="K1011" i="1" s="1"/>
  <c r="K1012" i="1" s="1"/>
  <c r="I945" i="1"/>
  <c r="K945" i="1" s="1"/>
  <c r="I1153" i="1"/>
  <c r="K1153" i="1" s="1"/>
  <c r="I42" i="1"/>
  <c r="K42" i="1" s="1"/>
  <c r="K40" i="1"/>
  <c r="K44" i="1" s="1"/>
  <c r="K45" i="1" s="1"/>
  <c r="I531" i="1"/>
  <c r="K531" i="1" s="1"/>
  <c r="K530" i="1"/>
  <c r="K532" i="1" s="1"/>
  <c r="K1276" i="1"/>
  <c r="K1375" i="1"/>
  <c r="K1297" i="1"/>
  <c r="K918" i="1"/>
  <c r="K922" i="1" s="1"/>
  <c r="K923" i="1" s="1"/>
  <c r="K1230" i="1"/>
  <c r="K1231" i="1" s="1"/>
  <c r="K1071" i="1"/>
  <c r="K1399" i="1"/>
  <c r="I1208" i="1"/>
  <c r="K1208" i="1" s="1"/>
  <c r="I1194" i="1"/>
  <c r="K1194" i="1" s="1"/>
  <c r="I1405" i="1"/>
  <c r="K1405" i="1" s="1"/>
  <c r="I1324" i="1"/>
  <c r="K1324" i="1" s="1"/>
  <c r="I1179" i="1"/>
  <c r="K1179" i="1" s="1"/>
  <c r="I1364" i="1"/>
  <c r="K1364" i="1" s="1"/>
  <c r="I1426" i="1"/>
  <c r="K1426" i="1" s="1"/>
  <c r="I1245" i="1"/>
  <c r="K1245" i="1" s="1"/>
  <c r="I1076" i="1"/>
  <c r="K1076" i="1" s="1"/>
  <c r="I1377" i="1"/>
  <c r="K1377" i="1" s="1"/>
  <c r="I1295" i="1"/>
  <c r="K1295" i="1" s="1"/>
  <c r="I1267" i="1"/>
  <c r="K1267" i="1" s="1"/>
  <c r="I1228" i="1"/>
  <c r="K1228" i="1" s="1"/>
  <c r="I1155" i="1"/>
  <c r="K1155" i="1" s="1"/>
  <c r="I982" i="1"/>
  <c r="K982" i="1" s="1"/>
  <c r="I908" i="1"/>
  <c r="K908" i="1" s="1"/>
  <c r="I1027" i="1"/>
  <c r="K1027" i="1" s="1"/>
  <c r="I1019" i="1"/>
  <c r="K1019" i="1" s="1"/>
  <c r="I1111" i="1"/>
  <c r="K1111" i="1" s="1"/>
  <c r="I921" i="1"/>
  <c r="K921" i="1" s="1"/>
  <c r="I934" i="1"/>
  <c r="K934" i="1" s="1"/>
  <c r="I1417" i="1"/>
  <c r="K1417" i="1" s="1"/>
  <c r="K1418" i="1" s="1"/>
  <c r="K1419" i="1" s="1"/>
  <c r="I1274" i="1"/>
  <c r="K1274" i="1" s="1"/>
  <c r="I1132" i="1"/>
  <c r="K1132" i="1" s="1"/>
  <c r="I1010" i="1"/>
  <c r="K1010" i="1" s="1"/>
  <c r="I1061" i="1"/>
  <c r="K1061" i="1" s="1"/>
  <c r="I1002" i="1"/>
  <c r="K1002" i="1" s="1"/>
  <c r="I946" i="1"/>
  <c r="K946" i="1" s="1"/>
  <c r="K947" i="1" s="1"/>
  <c r="K948" i="1" s="1"/>
  <c r="I1099" i="1"/>
  <c r="K1099" i="1" s="1"/>
  <c r="I897" i="1"/>
  <c r="K897" i="1" s="1"/>
  <c r="K1209" i="1"/>
  <c r="K1210" i="1" s="1"/>
  <c r="K1152" i="1"/>
  <c r="K1263" i="1"/>
  <c r="K4348" i="1"/>
  <c r="K4350" i="1" s="1"/>
  <c r="K4351" i="1" s="1"/>
  <c r="K1244" i="1"/>
  <c r="K1398" i="1"/>
  <c r="K1350" i="1"/>
  <c r="K1261" i="1"/>
  <c r="K1176" i="1"/>
  <c r="K885" i="1" l="1"/>
  <c r="K886" i="1" s="1"/>
  <c r="K1020" i="1"/>
  <c r="K1021" i="1" s="1"/>
  <c r="K1181" i="1"/>
  <c r="K1182" i="1" s="1"/>
  <c r="K1183" i="1" s="1"/>
  <c r="K578" i="1"/>
  <c r="I579" i="1"/>
  <c r="K1407" i="1"/>
  <c r="K1408" i="1" s="1"/>
  <c r="K1409" i="1" s="1"/>
  <c r="K1366" i="1"/>
  <c r="K1367" i="1" s="1"/>
  <c r="K1003" i="1"/>
  <c r="K1004" i="1" s="1"/>
  <c r="K1427" i="1"/>
  <c r="K1428" i="1" s="1"/>
  <c r="K1157" i="1"/>
  <c r="K1158" i="1" s="1"/>
  <c r="K4220" i="1"/>
  <c r="K4227" i="1" s="1"/>
  <c r="K4231" i="1" s="1"/>
  <c r="K1077" i="1"/>
  <c r="K1078" i="1" s="1"/>
  <c r="K1378" i="1"/>
  <c r="K1379" i="1" s="1"/>
  <c r="K1278" i="1"/>
  <c r="K1279" i="1" s="1"/>
  <c r="E111" i="1"/>
  <c r="K111" i="1" s="1"/>
  <c r="E97" i="1"/>
  <c r="K97" i="1" s="1"/>
  <c r="K3946" i="1"/>
  <c r="K104" i="1"/>
  <c r="I105" i="1"/>
  <c r="K105" i="1" s="1"/>
  <c r="K337" i="1"/>
  <c r="K338" i="1" s="1"/>
  <c r="K1100" i="1"/>
  <c r="K1101" i="1" s="1"/>
  <c r="I884" i="1"/>
  <c r="K884" i="1" s="1"/>
  <c r="K883" i="1"/>
  <c r="K581" i="1" l="1"/>
  <c r="K582" i="1" s="1"/>
  <c r="I580" i="1"/>
  <c r="K580" i="1" s="1"/>
  <c r="K579" i="1"/>
  <c r="K106" i="1"/>
  <c r="K10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D80D44CC-71F8-4472-B191-D247ED7DBAE0}">
      <text>
        <r>
          <rPr>
            <b/>
            <sz val="9"/>
            <color indexed="81"/>
            <rFont val="Tahoma"/>
            <family val="2"/>
          </rPr>
          <t>In accordance with FAR 28.102, all government construction projects over $150,000 are subject
to the Miller Act which requires performance and payment bonds.</t>
        </r>
      </text>
    </comment>
    <comment ref="P3" authorId="0" shapeId="0" xr:uid="{432E5BE8-48DA-4250-B10D-85EFC03AA9BE}">
      <text>
        <r>
          <rPr>
            <b/>
            <sz val="9"/>
            <color indexed="81"/>
            <rFont val="Tahoma"/>
            <family val="2"/>
          </rPr>
          <t>Generally effects MILCON (&gt;$750k) projects)</t>
        </r>
      </text>
    </comment>
  </commentList>
</comments>
</file>

<file path=xl/sharedStrings.xml><?xml version="1.0" encoding="utf-8"?>
<sst xmlns="http://schemas.openxmlformats.org/spreadsheetml/2006/main" count="17295" uniqueCount="2962">
  <si>
    <t xml:space="preserve">FY2023 Plant Replacement Value (PRV) Unit Cost (PUC) Supporting Documentation  </t>
  </si>
  <si>
    <t>Notes:  PRV Unit Costs (PUC) are not size adjusted.  If available, reference size from source pricing guide is republished for end-user calculation.</t>
  </si>
  <si>
    <t xml:space="preserve">              PUCs are calculated or adjusted to 1 October 2022.</t>
  </si>
  <si>
    <t xml:space="preserve">              PUC inflation is calculated using UFC 3-701-01, 2 March 2023, Table 4-2.</t>
  </si>
  <si>
    <t xml:space="preserve">FAC </t>
  </si>
  <si>
    <t>Fixed-Wing Runway, Surfaced</t>
  </si>
  <si>
    <t>RPAD Average Size</t>
  </si>
  <si>
    <t xml:space="preserve">UM = </t>
  </si>
  <si>
    <t>SY</t>
  </si>
  <si>
    <t>Source</t>
  </si>
  <si>
    <t>USACE PAX Newsletter 3.2.2, 31 March 2023</t>
  </si>
  <si>
    <t>CATCODE</t>
  </si>
  <si>
    <t>Description</t>
  </si>
  <si>
    <t>Unit Cost</t>
  </si>
  <si>
    <t>Units</t>
  </si>
  <si>
    <t>Conversion</t>
  </si>
  <si>
    <t>Inflation Adjustment by MILCON Index</t>
  </si>
  <si>
    <t>Adjusted Cost</t>
  </si>
  <si>
    <t>Slip form cement concrete pavement, airports, 4500 psi, unreinforced, 12' pass, 16" thick, includes joints, finishing, and curing</t>
  </si>
  <si>
    <t>UFC Conversion for Heavy RW</t>
  </si>
  <si>
    <t>Slip form cement concrete pavement, airports, 4500 psi, unreinforced, 12' pass, 12" thick, includes joints, finishing, and curing</t>
  </si>
  <si>
    <t>UFC Conversion for Medium RW</t>
  </si>
  <si>
    <t>Slip form cement concrete pavement, airports, 4500 psi, unreinforced, 12' pass, 10" thick, includes joints, finishing, and curing</t>
  </si>
  <si>
    <t>RPAD % of Inventory</t>
  </si>
  <si>
    <t>Light</t>
  </si>
  <si>
    <t>Medium</t>
  </si>
  <si>
    <t>Heavy</t>
  </si>
  <si>
    <t>Weighted Average</t>
  </si>
  <si>
    <t>Cycle hauling, excavated or borrow, loose cubic yards, 10 min wait/load/unload, 8 C.Y. truck, cycle 4 miles</t>
  </si>
  <si>
    <t>CY</t>
  </si>
  <si>
    <t>CY to SY</t>
  </si>
  <si>
    <t>Backfill, 12" layers, compaction in layers, roller compaction with operator walking, add to above</t>
  </si>
  <si>
    <t>Fine grading, finish grading granular subbase for highway paving, +/- 1", Compaction , 3 passes, 6" lifts</t>
  </si>
  <si>
    <t>ADD for REINFORCING, Plain cement concrete pavement, airports, reinforcing steel bar, 18 lbs per SY, A185</t>
  </si>
  <si>
    <t>Thermoplastic pavement markings, with glass beads, airport pavement, SF, runway, 24 lbs beads per 100 S.F.</t>
  </si>
  <si>
    <t>SF</t>
  </si>
  <si>
    <t>6% of RW Painted</t>
  </si>
  <si>
    <t>2022 RPAD inventory segregated into airfield type according to UFC 3-260-02.  Final PUC is a weighted average of Light, Medium, and Heavy runways based on inventory.</t>
  </si>
  <si>
    <t>Sum</t>
  </si>
  <si>
    <t>PUC</t>
  </si>
  <si>
    <t>Rotary-Wing Landing Area, Surfaced</t>
  </si>
  <si>
    <t>Plant-mix asphalt paving, for highways and large paved areas, wearing course, 3" thick, excludes hauling</t>
  </si>
  <si>
    <t>UFC Conversion for RW RW</t>
  </si>
  <si>
    <t>Concrete</t>
  </si>
  <si>
    <t>Asphalt</t>
  </si>
  <si>
    <t> UFC 3-260-01, 04 Feb 2019, with Change 1, 05 May 2020; UFC 3-260-02, 30 June 2001</t>
  </si>
  <si>
    <t>Runway Overrun Area, Surfaced</t>
  </si>
  <si>
    <t>UFC 3-260-02</t>
  </si>
  <si>
    <t>Runway, Unsurfaced</t>
  </si>
  <si>
    <t>Soil preparation, structural soil mixing, spread conditioned topsoil, 4" deep,</t>
  </si>
  <si>
    <t>Surface Treatment, tack coat, emulsion, 0.15 gallons per SY</t>
  </si>
  <si>
    <t>Conversion for soil stab</t>
  </si>
  <si>
    <t>Unmanned Aerial Vehicle (UAV) Runway and Launch/Recovery Site</t>
  </si>
  <si>
    <t>UFC Conversion for UAV RW</t>
  </si>
  <si>
    <t>Aggregate base course for roadways and large paved areas, compacted, crushed 1-1/2" stone base, to 6" deep,</t>
  </si>
  <si>
    <t>Taxiway, Surfaced</t>
  </si>
  <si>
    <t>Average</t>
  </si>
  <si>
    <t>Rotary-Wing Taxiway</t>
  </si>
  <si>
    <t>Set Equal to FAC 1121</t>
  </si>
  <si>
    <t>Area Adjustment</t>
  </si>
  <si>
    <t>Inflation Adjustment</t>
  </si>
  <si>
    <t xml:space="preserve">Taxiway, Surfaced	</t>
  </si>
  <si>
    <t>Aircraft Apron, Surfaced</t>
  </si>
  <si>
    <t>Plain cement concrete pavement, airports, 4500 psi, fixed form, unreinforced, 12' pass, 12" thick, includes joints, finishing, and curing</t>
  </si>
  <si>
    <t>Plain cement concrete pavement, airports, 4500 psi, fixed form, unreinforced, 12' pass, 14" thick, includes joints, finishing, and curing</t>
  </si>
  <si>
    <t>Compass Calibration Pad, Surfaced</t>
  </si>
  <si>
    <t>Set Equal to FAC 1131</t>
  </si>
  <si>
    <t>Missile Launching Pad, Surfaced</t>
  </si>
  <si>
    <t>Plain cement concrete pavement, airports, 4500 psi, fixed form, unreinforced, 12' pass, 16" thick, includes joints, finishing, and curing</t>
  </si>
  <si>
    <t>Aircraft Washing Pad, Surfaced</t>
  </si>
  <si>
    <t xml:space="preserve">Miscellaneous Airfield Pavement, Surfaced </t>
  </si>
  <si>
    <t>Plain cement concrete pavement, airports, 4500 psi, fixed form, unreinforced, 12' pass, 12" thick, includes</t>
  </si>
  <si>
    <t>Aircraft Pavement Shoulder</t>
  </si>
  <si>
    <t>Miscellaneous Airfield Pavement, Unsurfaced</t>
  </si>
  <si>
    <t>Set Equal to FAC 1114</t>
  </si>
  <si>
    <t>Aircraft Rinse Facility</t>
  </si>
  <si>
    <t>PACES 1.4</t>
  </si>
  <si>
    <t>Assembly</t>
  </si>
  <si>
    <t>Quantity</t>
  </si>
  <si>
    <t>UM</t>
  </si>
  <si>
    <t>Material</t>
  </si>
  <si>
    <t>Labor</t>
  </si>
  <si>
    <t>Equipment</t>
  </si>
  <si>
    <t>SubBid</t>
  </si>
  <si>
    <t>Total with O&amp;P</t>
  </si>
  <si>
    <t> </t>
  </si>
  <si>
    <t>D2010050501</t>
  </si>
  <si>
    <t>Freeze Proof Multi-Nozzle</t>
  </si>
  <si>
    <t>EA</t>
  </si>
  <si>
    <t>D2020030132</t>
  </si>
  <si>
    <t>Pump, 18.65 kW(25 HP), Turbine, 1514.2 - 2271.2  L/min(400-600 GPM), 152.4 mm(6") Dischg, 45.72 m(150</t>
  </si>
  <si>
    <t>D2090030308</t>
  </si>
  <si>
    <t>Oil/Water Separator</t>
  </si>
  <si>
    <t>D3060010178</t>
  </si>
  <si>
    <t>Chilled Water System &amp; Pump Controls</t>
  </si>
  <si>
    <t>D4020010107</t>
  </si>
  <si>
    <t>Diesel Driven Fire Pump - 9463.53 L/min (2500 GPM), Fire  Prot Water Sup</t>
  </si>
  <si>
    <t>G1030050510</t>
  </si>
  <si>
    <t>Dry Roll Gravel, Steel Roller</t>
  </si>
  <si>
    <t>G2010010102</t>
  </si>
  <si>
    <t>Gravel, Delivered &amp; Dumped</t>
  </si>
  <si>
    <t>G2010030310</t>
  </si>
  <si>
    <t>Prime Coat</t>
  </si>
  <si>
    <t>G2060010101</t>
  </si>
  <si>
    <t>Jointed Concrete, Place &amp; Finish, 101.60mm - 304.80mm  (4" - 12")</t>
  </si>
  <si>
    <t>G2060020501</t>
  </si>
  <si>
    <t>Plastic Grooving (Transverse)</t>
  </si>
  <si>
    <t>G2060020801</t>
  </si>
  <si>
    <t>Field Mix Concrete</t>
  </si>
  <si>
    <t>G2060020803</t>
  </si>
  <si>
    <t>Haul Concrete To Paver</t>
  </si>
  <si>
    <t>G2060030701</t>
  </si>
  <si>
    <t>Construction Joint, 254.00mm (10")</t>
  </si>
  <si>
    <t>LF</t>
  </si>
  <si>
    <t>G2060030702</t>
  </si>
  <si>
    <t>Contraction Joint, 254.00mm (10")</t>
  </si>
  <si>
    <t>G2060030703</t>
  </si>
  <si>
    <t>Expansion Joint, 254.00mm (10")</t>
  </si>
  <si>
    <t>PACES Input Parameters:
Area Cost Factor (ACF) = 1.00
Midpoint of Construction: 1 October 2022
SIOH =  0 %  / Contingency = 0 % / Planning and Design = 0 %</t>
  </si>
  <si>
    <t>Total</t>
  </si>
  <si>
    <t>Aircraft Direct Fueling Facility</t>
  </si>
  <si>
    <t>OL</t>
  </si>
  <si>
    <t>Study Average  Size</t>
  </si>
  <si>
    <t>PACES 1.4; 
DLA/DESC Fuels Facilities Study, March 2009</t>
  </si>
  <si>
    <t>D3060011111</t>
  </si>
  <si>
    <t>Controls, Gas Flow Meter</t>
  </si>
  <si>
    <t>G3060024018</t>
  </si>
  <si>
    <t>6" Stainless Steel Pipe, SCH 40, 304L, SW</t>
  </si>
  <si>
    <t>G3060024216</t>
  </si>
  <si>
    <t>Pipe Cathodic Protection</t>
  </si>
  <si>
    <t>G3060024301</t>
  </si>
  <si>
    <t>Isolation Valve</t>
  </si>
  <si>
    <t>G3060024401</t>
  </si>
  <si>
    <t>Below Ground Pipe Seismic Reinforcing</t>
  </si>
  <si>
    <t>G3060045001</t>
  </si>
  <si>
    <t>Demo Concrete Paving</t>
  </si>
  <si>
    <t>G3060045101</t>
  </si>
  <si>
    <t>Replace Concrete Paving</t>
  </si>
  <si>
    <t>G3060046101</t>
  </si>
  <si>
    <t>Fuel Hydrant, 4" Valve</t>
  </si>
  <si>
    <t>G3060054117</t>
  </si>
  <si>
    <t>Earthwork/Concrete, 6" Pipe</t>
  </si>
  <si>
    <t>G3094070519</t>
  </si>
  <si>
    <t>Utility vaults, meter pit, precast concrete, 6-FT x 6-FT, 15-FT deep, excludes excavation and backfill</t>
  </si>
  <si>
    <t>PACES Input Parameters:
Area Cost Factor (ACF) = 1.00
Midpoint of Construction: 1 October 2022
SIOH =  0 %
Contingency = 0 %
Planning and Design = 0 %</t>
  </si>
  <si>
    <t>Total System Cost</t>
  </si>
  <si>
    <t>Per OL</t>
  </si>
  <si>
    <t>Marine Fueling Facility</t>
  </si>
  <si>
    <t>Design Size</t>
  </si>
  <si>
    <t>G3060046102</t>
  </si>
  <si>
    <t>Arm, Marine Loading</t>
  </si>
  <si>
    <t>G3060047202</t>
  </si>
  <si>
    <t>Dispenser/Piping, JP8, Wheeled Vhcle</t>
  </si>
  <si>
    <t>Earthwork/Conc, 6" Pipe</t>
  </si>
  <si>
    <t xml:space="preserve">Utility vaults, meter pit, precast concrete, 6' x 6', 15' </t>
  </si>
  <si>
    <t>Vehicle Fueling Facility</t>
  </si>
  <si>
    <t>G3060047001</t>
  </si>
  <si>
    <t>Fnd, Wheeled Vhcle, 152M (6") Conc</t>
  </si>
  <si>
    <t>G3060047302</t>
  </si>
  <si>
    <t>Electrical, JP8, Wheeled Vhcle</t>
  </si>
  <si>
    <t>G3060047401</t>
  </si>
  <si>
    <t>Compressor W/Pre Eng Bldg, Whled Vhcle</t>
  </si>
  <si>
    <t>Aircraft Operating Fuel Storage</t>
  </si>
  <si>
    <t>GA</t>
  </si>
  <si>
    <t>G3060032001</t>
  </si>
  <si>
    <t>Earthwork, Vertical Abv Grd Tank</t>
  </si>
  <si>
    <t>G3060032101</t>
  </si>
  <si>
    <t>Concrete, Vertical Abv Grd Tank</t>
  </si>
  <si>
    <t>G3060032201</t>
  </si>
  <si>
    <t>Pipes And Fittings, Vertical Abv Grd Tank</t>
  </si>
  <si>
    <t>G3060032301</t>
  </si>
  <si>
    <t>Electrical, Vertical Abv Grd Tank</t>
  </si>
  <si>
    <t>G3060032401</t>
  </si>
  <si>
    <t>Controls, Vertical Abv Grd Tank</t>
  </si>
  <si>
    <t>G3060032503</t>
  </si>
  <si>
    <t>Tank, 1192400 L (10000 bbl), Vertical Abv Grd Tank</t>
  </si>
  <si>
    <t>G3060032701</t>
  </si>
  <si>
    <t>Concrete Covered Berm</t>
  </si>
  <si>
    <t>G3060032703</t>
  </si>
  <si>
    <t>Concrete Covered Basin</t>
  </si>
  <si>
    <t>G3060032902</t>
  </si>
  <si>
    <t>Tank Reinforcing</t>
  </si>
  <si>
    <t>TON</t>
  </si>
  <si>
    <t>Marine Operating Fuel Storage</t>
  </si>
  <si>
    <t>G3060032501</t>
  </si>
  <si>
    <t>Tank, 298100 L (2500 bbl), Vertical Abv Grd Tank</t>
  </si>
  <si>
    <t>G3060047201</t>
  </si>
  <si>
    <t>Dispenser/Piping, Mogas,</t>
  </si>
  <si>
    <t>Tot</t>
  </si>
  <si>
    <t>Vehicle Operating Fuel Storage</t>
  </si>
  <si>
    <t>G3060032006</t>
  </si>
  <si>
    <t>Earthwork, Steel Double Wall Und Grd Tank</t>
  </si>
  <si>
    <t>G3060032106</t>
  </si>
  <si>
    <t>Concrete, Steel Double Wall Und Grd Tank</t>
  </si>
  <si>
    <t>G3060032206</t>
  </si>
  <si>
    <t>Pipes And Fittings, Steel Double Wall Und Grd Tank</t>
  </si>
  <si>
    <t>G3060032306</t>
  </si>
  <si>
    <t>Electrical, Steel Double Wall Und Grd Tank</t>
  </si>
  <si>
    <t>G3060032406</t>
  </si>
  <si>
    <t>Controls, Steel Double Wall Und Grd Tank</t>
  </si>
  <si>
    <t>G3060032567</t>
  </si>
  <si>
    <t>Tank, 37900 L (10000 gal), Undgrd, Steel, Dbl Wall</t>
  </si>
  <si>
    <t>Other Operating Fuel Storage</t>
  </si>
  <si>
    <t>G3060032002</t>
  </si>
  <si>
    <t>Earthwork, Horiz. Single Wall Steel Tank</t>
  </si>
  <si>
    <t>G3060032102</t>
  </si>
  <si>
    <t>Concrete, Horiz. Single Wall Steel Tank</t>
  </si>
  <si>
    <t>G3060032202</t>
  </si>
  <si>
    <t>Pipes And Fittings, Horiz. Single Wall Steel Tank</t>
  </si>
  <si>
    <t>G3060032302</t>
  </si>
  <si>
    <t>Electrical, Horiz. Single Wall Steel Tank</t>
  </si>
  <si>
    <t>G3060032402</t>
  </si>
  <si>
    <t>Controls, Horiz. Single Wall Steel Tank</t>
  </si>
  <si>
    <t>G3060032521</t>
  </si>
  <si>
    <t>Tank, 56800 L (15000 gal)), Horiz., Steel, Single  Wall</t>
  </si>
  <si>
    <t>G3060032704</t>
  </si>
  <si>
    <t>Stone Covered Liner Basin</t>
  </si>
  <si>
    <t>G3060032707</t>
  </si>
  <si>
    <t>Stone Covered .915M (3') Berm</t>
  </si>
  <si>
    <t>G3060032901</t>
  </si>
  <si>
    <t>Teflon Tank Coating</t>
  </si>
  <si>
    <t>POL Pipeline</t>
  </si>
  <si>
    <t>Sub Bid</t>
  </si>
  <si>
    <t>G3060024011</t>
  </si>
  <si>
    <t>16" Carbon Steel Pipe, SCH 40 C&amp;B427W</t>
  </si>
  <si>
    <t>G3060024402</t>
  </si>
  <si>
    <t>Above Ground Pipe Seismic Reinforcing</t>
  </si>
  <si>
    <t>G3060054116</t>
  </si>
  <si>
    <t>Above Grnd Pipe Support, Stl And Reinforced Concrete</t>
  </si>
  <si>
    <t>G3060054123</t>
  </si>
  <si>
    <t>High Point Drain</t>
  </si>
  <si>
    <t>G3060054124</t>
  </si>
  <si>
    <t>Low Point Drain</t>
  </si>
  <si>
    <t>POL Piping</t>
  </si>
  <si>
    <t>G3060024012</t>
  </si>
  <si>
    <t>6" Carbon Steel Pipe, SCH 40</t>
  </si>
  <si>
    <t>Liquid 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</si>
  <si>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</si>
  <si>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</si>
  <si>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</si>
  <si>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</si>
  <si>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</si>
  <si>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</si>
  <si>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</si>
  <si>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</si>
  <si>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</si>
  <si>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</si>
  <si>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</si>
  <si>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</si>
  <si>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</si>
  <si>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</si>
  <si>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POL Pump Station</t>
  </si>
  <si>
    <t>GM</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</si>
  <si>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</si>
  <si>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</si>
  <si>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</si>
  <si>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</si>
  <si>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</si>
  <si>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</si>
  <si>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</si>
  <si>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</si>
  <si>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</si>
  <si>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</si>
  <si>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</si>
  <si>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HHT Check Out</t>
  </si>
  <si>
    <t>Communications Building</t>
  </si>
  <si>
    <t>Table 2, UFC 3-701-1, 2 March 2023</t>
  </si>
  <si>
    <t>Reference Size</t>
  </si>
  <si>
    <t>GUC</t>
  </si>
  <si>
    <t>Communications Facility</t>
  </si>
  <si>
    <t>NA;  GUCs are as of October 2022</t>
  </si>
  <si>
    <t>Satellite Communications Building</t>
  </si>
  <si>
    <t>USACE PAX Newsletter 3.2.2, 16 May 2016</t>
  </si>
  <si>
    <t>Inflation Adjustment  by MILCON Index</t>
  </si>
  <si>
    <t>Satellite Terminal Communications Facility</t>
  </si>
  <si>
    <t>Note 1 of the USACE PAX Newsletter 3.2.2, 25 Mar 2023:  "Insufficient recent cost data."</t>
  </si>
  <si>
    <t>Marshall and Swift Valuation, October 2022</t>
  </si>
  <si>
    <t>Section</t>
  </si>
  <si>
    <t>Current Cost Multiplier</t>
  </si>
  <si>
    <t>67/6</t>
  </si>
  <si>
    <t>Self Supporting Tower, 75 ft</t>
  </si>
  <si>
    <t>Triangular Guyed Tower, 24" Radio. VHF, UHF 66' high</t>
  </si>
  <si>
    <t>54/1</t>
  </si>
  <si>
    <t>Service Entrance, Single Phase, 120/240 V  60 Amp</t>
  </si>
  <si>
    <t>Savety Swith, Sused, Single throw, 3=pole, 600-v, 60 Amp; add 20% for weatherproofing</t>
  </si>
  <si>
    <t>Normalizing for Location</t>
  </si>
  <si>
    <t>Marshall and Swift Local Multiplier for Arlington, VA</t>
  </si>
  <si>
    <t>Divided by 2023 DoD ACF for Arlington, VA</t>
  </si>
  <si>
    <t>PUC with Military Cost Premium</t>
  </si>
  <si>
    <t>Aircraft Navigation Building</t>
  </si>
  <si>
    <t>Aircraft Ops Facility wo Tower</t>
  </si>
  <si>
    <t>Aircraft Navigation Facility</t>
  </si>
  <si>
    <t>Marshall and Swift Valuation, October 2021</t>
  </si>
  <si>
    <t>TASK</t>
  </si>
  <si>
    <t>14/22</t>
  </si>
  <si>
    <t xml:space="preserve">Armory, Class C, Average (similar in construction to utility building) </t>
  </si>
  <si>
    <t>SF to EA</t>
  </si>
  <si>
    <t>Multiple Category Codes; Assume 10 FT x 10 FT</t>
  </si>
  <si>
    <t>Divided by 2022 DoD ACF for Arlington, VA</t>
  </si>
  <si>
    <t>Inflated from FY22 to FY23</t>
  </si>
  <si>
    <t>FAC</t>
  </si>
  <si>
    <t>Communications Lines</t>
  </si>
  <si>
    <t>MI</t>
  </si>
  <si>
    <t>12 Strand Fiber Optic Cable with 1/4" PVC inner duct run in ductbank  x 2 for average installation</t>
  </si>
  <si>
    <t>FT to MI</t>
  </si>
  <si>
    <t>24-strand Fiber Optic Splice Box, including box and 36 cable splices</t>
  </si>
  <si>
    <t>EA per MI</t>
  </si>
  <si>
    <t>24 Strand Fiber Optic Termination Box, includes box with three splice trays and 36 cable connections</t>
  </si>
  <si>
    <t>Airfield Pavement Lighting</t>
  </si>
  <si>
    <t>Runway centerline light, bidirectional, semi-flush, w/shallow insert base, 200 W</t>
  </si>
  <si>
    <t>EA to LF</t>
  </si>
  <si>
    <t>Runway edge light, bidirectional, for base housing, 2-115 W</t>
  </si>
  <si>
    <t>Runway threshold light, bidirectional, 200 W.  200' wide runway + 40' on both sides</t>
  </si>
  <si>
    <t>Touchdown zone light, unidirectional, w/shallow insert base, 200 W  60 rows total, 6 lights per row</t>
  </si>
  <si>
    <t>Per UFC 3-535-01:
Centerline lights are spaced 50' apart.
Edge lights are max 200' apart
Threshold Lights are 5' apart</t>
  </si>
  <si>
    <t>Airfield Lighting</t>
  </si>
  <si>
    <t>G2060042610</t>
  </si>
  <si>
    <t>Runway Approach Lighting</t>
  </si>
  <si>
    <t>G2060042611</t>
  </si>
  <si>
    <t>End Of Runway Lighting</t>
  </si>
  <si>
    <t>G2060042620</t>
  </si>
  <si>
    <t>Taxiway Edge Lights</t>
  </si>
  <si>
    <t>KLF</t>
  </si>
  <si>
    <t>G2060042621</t>
  </si>
  <si>
    <t>Taxiway Centerline Lights</t>
  </si>
  <si>
    <t>G2060042630</t>
  </si>
  <si>
    <t>Aircraft Parking Area Perimeter Lighting</t>
  </si>
  <si>
    <t>PACES Input Parameters:
Area Cost Factor (ACF) = 1.00
Midpoint of Construction: 1 October 2022
SIOH =  0 %, Contingency = 0 %, Planning and Design = 0 %
Per UFC 3-535-01 Taxiway Edge Lights are 100' apart, Centerline Lights are 50' apart</t>
  </si>
  <si>
    <t>Ave</t>
  </si>
  <si>
    <t>UFC 3-535-01, with Change 4, 25 April 2023</t>
  </si>
  <si>
    <t>Ship Navigation Building</t>
  </si>
  <si>
    <t>Ship Navigation Facility</t>
  </si>
  <si>
    <t>Self-Supporting Tower, 50 FT</t>
  </si>
  <si>
    <t>Air Defense Operations Building</t>
  </si>
  <si>
    <t>Aircraft Operations Facility Without Tower</t>
  </si>
  <si>
    <t>Missile Operations Building</t>
  </si>
  <si>
    <t>Emergency Operations Center / Restricted Area</t>
  </si>
  <si>
    <t>Emergency Operations Center (EOC)</t>
  </si>
  <si>
    <t>Sensitive Compartmented Info Fac (SCIF)</t>
  </si>
  <si>
    <t>Airfield Fire And Rescue Station</t>
  </si>
  <si>
    <t>Aviation Operations Building</t>
  </si>
  <si>
    <t>Air Control Tower</t>
  </si>
  <si>
    <t>Control Tower (Stand Alone)</t>
  </si>
  <si>
    <t>VF/SF</t>
  </si>
  <si>
    <t>Facility is measured in SF; however, the GUC is calculated per Vertical Foot (VF) of Tower; see Note in Table 2, UFC 3-701-01.  Reference Size is the average height of the assets in the current RPAD.</t>
  </si>
  <si>
    <t>Helium Production/Storage Building</t>
  </si>
  <si>
    <t>Gen. Purpose Magazine w/o Crane</t>
  </si>
  <si>
    <t>General Purpose (GP) Warehouse - Small (&lt; 15,000 SF), Low-Bay (Stack Height &lt; 16-FT )</t>
  </si>
  <si>
    <t>POL Storage Bldg - TEMF</t>
  </si>
  <si>
    <t>Helium Storage Facility</t>
  </si>
  <si>
    <t>61/8</t>
  </si>
  <si>
    <t>Welded Steel Pressure Tank, 9,000 GA</t>
  </si>
  <si>
    <t>Welded Steel Pressure Tank, 15,000 GA</t>
  </si>
  <si>
    <t>Ship Operations Building</t>
  </si>
  <si>
    <t>HQ/Operations Building, Company Level</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</si>
  <si>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</si>
  <si>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</si>
  <si>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</si>
  <si>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</si>
  <si>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</si>
  <si>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</si>
  <si>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</si>
  <si>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</si>
  <si>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</si>
  <si>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</si>
  <si>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</si>
  <si>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</si>
  <si>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</si>
  <si>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</si>
  <si>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Building construction material</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</si>
  <si>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</si>
  <si>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Facility size</t>
  </si>
  <si>
    <t xml:space="preserve">The average area of this FAC is 8,236 SF.
The International Building Code Occupancy Group assigned is B, Business.
</t>
  </si>
  <si>
    <t>Fire suppression system type, quality, and coverage</t>
  </si>
  <si>
    <t xml:space="preserve">International Building Code (IBC) Group B.
A sprinkler is incorporated, applying the Fire Sprinkler Business Rule
</t>
  </si>
  <si>
    <t>Inclusion of a loading dock or similar ancillary feature</t>
  </si>
  <si>
    <t xml:space="preserve">No UFC requirement exists for the incorporation of a loading dock
The average number of floors above ground is 1.21; applying the Elevator Business Rule, no elevator is incorporated. 
</t>
  </si>
  <si>
    <t>Inclusion and capacity of overhead cranes</t>
  </si>
  <si>
    <t xml:space="preserve">No overhead cranes applying the Overhead Crane Business Rule.  </t>
  </si>
  <si>
    <t xml:space="preserve">Established standard for components or materials </t>
  </si>
  <si>
    <t>No UFC criteria exist for component material, other than those consistent with fire safety noted above in building construction material.</t>
  </si>
  <si>
    <t>Applicable Business Rules</t>
  </si>
  <si>
    <t xml:space="preserve">• M&amp;S Selection Business Rule
• Elevator Business Rule
• Fire Sprinkler Business Rule
• Overhead Crane Business Rule
• MILCON Cost Premium Business Rule
</t>
  </si>
  <si>
    <t>Operations Supply Building</t>
  </si>
  <si>
    <t>Operations/Storage Bld - Small</t>
  </si>
  <si>
    <t>Storage Building, Unheated</t>
  </si>
  <si>
    <t>AVE</t>
  </si>
  <si>
    <t>Miscellaneous Operations Support Building</t>
  </si>
  <si>
    <t>Headquarters / Operations Buildings:  Company Level (Lowest Level)</t>
  </si>
  <si>
    <t>Working Animal Support Building</t>
  </si>
  <si>
    <t>USACE PAX Newsletter 3.2.2, 30 May 2019</t>
  </si>
  <si>
    <t>Kennel Facilities</t>
  </si>
  <si>
    <t>Security Force Building</t>
  </si>
  <si>
    <t>15/33</t>
  </si>
  <si>
    <t>Police Station, Class B, Average</t>
  </si>
  <si>
    <t>15/36</t>
  </si>
  <si>
    <t>Elevator, Passenger, Base Cost, 2-3 story, Average</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</si>
  <si>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</si>
  <si>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</si>
  <si>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</si>
  <si>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</si>
  <si>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The average area for this FAC is 11,713 SF.
The Occupancy Group assigned is B, Business.
</t>
  </si>
  <si>
    <t xml:space="preserve">International Building Code Occupancy Group B.
A fire sprinkler has been incorporated, applying the Fire Sprinkler Business Rule.
</t>
  </si>
  <si>
    <t xml:space="preserve">No UFC requirement exists for the incorporation of a loading dock.
The average number of floors is 1.35.  One (1) elevator has been included in the estimated cost in consonance with the Elevator Business Rule.
</t>
  </si>
  <si>
    <t>No overhead crane is provided, applying the Overhead Crane Business Rule.</t>
  </si>
  <si>
    <t>No UFC criteria exist for component material.</t>
  </si>
  <si>
    <t>Strategic Missile Launch Facility</t>
  </si>
  <si>
    <t>UM=</t>
  </si>
  <si>
    <t>AFCESA, Cost Handbook 2003</t>
  </si>
  <si>
    <t>FY2022 PUC</t>
  </si>
  <si>
    <t>Missile Guidance Facility</t>
  </si>
  <si>
    <t>AFCESA Cost Handbook FY1999</t>
  </si>
  <si>
    <t>Missile Access Shaft</t>
  </si>
  <si>
    <t>AFCESA Data, FY 2000</t>
  </si>
  <si>
    <t>Missile Access Tunnel</t>
  </si>
  <si>
    <t>Missile Defense Facility</t>
  </si>
  <si>
    <t>141173 
141912</t>
  </si>
  <si>
    <t>Ballistic Missile Control Facility</t>
  </si>
  <si>
    <t>Set Equal to FAC 1452</t>
  </si>
  <si>
    <t>FAC 1452</t>
  </si>
  <si>
    <t>Mechanical Security Barricade</t>
  </si>
  <si>
    <t>USACE PAX Newsletter 3.2.2, 25 May 2022</t>
  </si>
  <si>
    <t>Crash Barrier, 12' Wide, Portable Wedge Crash, including LME for complete installation</t>
  </si>
  <si>
    <t>Crash Barrier, 20' Wide Sliding Roller,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</si>
  <si>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</si>
  <si>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</si>
  <si>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</si>
  <si>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</si>
  <si>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</si>
  <si>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</si>
  <si>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 xml:space="preserve">Overhead Protection/Canopy - General </t>
  </si>
  <si>
    <t>Aircraft Arresting System</t>
  </si>
  <si>
    <t>G2060902721</t>
  </si>
  <si>
    <t>Arresting System - Bak12/Bak14 B/G (Below Ground)</t>
  </si>
  <si>
    <t>G2060902723</t>
  </si>
  <si>
    <t>Arresting System - Bak12/61QS2 B/G (Below Ground)</t>
  </si>
  <si>
    <t>PACES Input Parameters:
Area Cost Factor (ACF) = 1.00
Midpoint of Construction: 1 October 2022
SIOH =  0 %, Contingency = 0 %, Planning and Design = 0 %</t>
  </si>
  <si>
    <t>Aircraft Firing-In Butt</t>
  </si>
  <si>
    <t>66/9</t>
  </si>
  <si>
    <t>Shooting Range, w/bullet traps, high range, 10 positions</t>
  </si>
  <si>
    <t>Aircraft Blast Deflector</t>
  </si>
  <si>
    <t>G2060902710</t>
  </si>
  <si>
    <t>Blast Deflector</t>
  </si>
  <si>
    <t>Aircraft Shelter, Hardened</t>
  </si>
  <si>
    <t>AF Military Construction Program</t>
  </si>
  <si>
    <t>FY2020 PUC</t>
  </si>
  <si>
    <t>MILCON Projects</t>
  </si>
  <si>
    <t>Hardened AC Shelter Funded Construction</t>
  </si>
  <si>
    <t>SM</t>
  </si>
  <si>
    <t>SM to SF</t>
  </si>
  <si>
    <t>Kunsan Air Base, ROK, 2017  DD 1391 for 18 EA 3rd Gen HAS Shelters</t>
  </si>
  <si>
    <t>Aircraft Shelter</t>
  </si>
  <si>
    <t>F-35A Aircraft Shelter, Category Code 141-181</t>
  </si>
  <si>
    <t>Military Cost Premium not added because cost taken from military construction document</t>
  </si>
  <si>
    <t>This unit price based upon two Air Force MILCON DD Forms 1391 Project Data Sheets submitted to Congress for the FY17 program (Projects # FTQW170112 and FTQW183001) for construction of two 16-bay aircraft  weather shelters at Eielson AFB.  Area Cost Factor derived from USACE PAX Newsletter 3.2.1, Area Cost Factors, 28 March 2017.</t>
  </si>
  <si>
    <t>Aircraft Support Facility</t>
  </si>
  <si>
    <t>Weighted Cost</t>
  </si>
  <si>
    <t>2-WAY-6" DIA PVC, ENCASED BURIAL, INCL EXCAV, CIP CONC &amp; BACKFILL</t>
  </si>
  <si>
    <t>UG Electric Lines #4/0 - 3/C, 600 Volt SEU Copper Conductor</t>
  </si>
  <si>
    <t>CABLE TERMINATION, 15 kV, 2/0 solid to 350 kcmil stranded</t>
  </si>
  <si>
    <t>UGND HAND HOLES, 4' x 4' x 4' DEEP, PRECAST CONC w/ COVER, EXCL EXCAV, CIP CONC &amp; BACKFILL</t>
  </si>
  <si>
    <t>Airfield Runway, 12" Thick Fixed Form, 4500 PSI w/Rebar</t>
  </si>
  <si>
    <t xml:space="preserve">There are 38 assets listed in the 2022 RPAD for FAC 1467.  All are Navy, and predominantly CCN 14915/Fixed Point Utilities System.  Majority of these systems provide Electric Power (FLEDS - Flight Line Electric Distribution System) for aircraft, usually for start up. MEPPS (Mobile Electric Power Plants) are not included as these are generally not Real Property.  </t>
  </si>
  <si>
    <t>Propulsion Support Facility</t>
  </si>
  <si>
    <t>Assumed Size</t>
  </si>
  <si>
    <t>5,000 SF</t>
  </si>
  <si>
    <t xml:space="preserve">Navy Reported Replacement Value - FY2000 </t>
  </si>
  <si>
    <t>Weapons Support Facility</t>
  </si>
  <si>
    <t xml:space="preserve">14/15 </t>
  </si>
  <si>
    <t>Industrials, Heavy (Process) Manufacturing, Class A, Average, including elevator and craneway. Deduct $2.51 for no elevator.</t>
  </si>
  <si>
    <t>58/6</t>
  </si>
  <si>
    <t>Bridge Crane, 20 FT span, 5 Ton</t>
  </si>
  <si>
    <t>Craneway electrical conductor</t>
  </si>
  <si>
    <t>LF to EA</t>
  </si>
  <si>
    <t>Sprinkler, 5000 SF, Dry System, Average</t>
  </si>
  <si>
    <t>There is no inventory in 2022 RPAD for this FAC; assumed dimensions are 50' x 100'</t>
  </si>
  <si>
    <t>Explosives Railway Holding Yard</t>
  </si>
  <si>
    <t>17/29</t>
  </si>
  <si>
    <t>Arch-rib (Quonset) Farm Implement Building, Class D, Average  (Assume 4 EA)</t>
  </si>
  <si>
    <t>SF Total</t>
  </si>
  <si>
    <t>66/3</t>
  </si>
  <si>
    <t>Rail Spur, 130# rail, assume 1,000 LF</t>
  </si>
  <si>
    <t>LF Total</t>
  </si>
  <si>
    <t>Add for Rail Turnout, Assume 2</t>
  </si>
  <si>
    <t>51/3</t>
  </si>
  <si>
    <t>Reinforced Concrete foundation walls for Quonset Building, 12 IN;  4 EA x 150 LF X 10 FT high = 6,000 SF wall</t>
  </si>
  <si>
    <t>51/2</t>
  </si>
  <si>
    <t xml:space="preserve">Berm, bulk excavation, medium earth, placed around each Quonset building (parabolic section (2/3 B*H) 60 FT long, 10 FT high, 8 EA = 3,216 CF) </t>
  </si>
  <si>
    <t>CF</t>
  </si>
  <si>
    <t>Explosives Holding/Transfer Facility</t>
  </si>
  <si>
    <t>Inflation Adjustment
by MILCON Index</t>
  </si>
  <si>
    <t>Backfill and Compaction, Dozer Backfill, Sheepsfoot Roller Compaction in 12" Layers</t>
  </si>
  <si>
    <t>CY/SY</t>
  </si>
  <si>
    <t>Base Course, 1-1/2" Crushed Stone, 4" Deep, Compacted, including Material &amp; Transportation, excluding Earthwork</t>
  </si>
  <si>
    <t>Unreinforced Conc Pavement, 4500 psi, fixed form, unreinforced, 6" thick</t>
  </si>
  <si>
    <t>Average Facility Size derived from 2022 RPAD (225 Asset Allocations):  [100 FT x 69 FT] /767 SY</t>
  </si>
  <si>
    <t>Note: Lightning protection and fence calculated separately as stand alone assets</t>
  </si>
  <si>
    <t>Revetment</t>
  </si>
  <si>
    <t>Earth Work: 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</si>
  <si>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</si>
  <si>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</si>
  <si>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</si>
  <si>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</si>
  <si>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</si>
  <si>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</si>
  <si>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</si>
  <si>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</si>
  <si>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The average size for this FAC in the 2020 RPAD is 7.7 EA (each); 2,010 records)</t>
  </si>
  <si>
    <t xml:space="preserve">UFC 3-600-01, "Fire Protection Engineering for Facilities," contains no requirement for fire suppression. </t>
  </si>
  <si>
    <t>No UFC requirement exists for the incorporation of a loading dock.</t>
  </si>
  <si>
    <t xml:space="preserve">No UFC requirement exists for the incorporation of overhead cranes.  </t>
  </si>
  <si>
    <t>No UFC criteria exist for component material .</t>
  </si>
  <si>
    <t xml:space="preserve">Documentation for proposed business rules reflecting DoD established practices for components or materials  </t>
  </si>
  <si>
    <t>Footnotes</t>
  </si>
  <si>
    <t>UFC 3-201-01, "Civil Engineering," 01 April 2018, with Change 5, 01 April 2021
UFC 3-220-10, "Soil Mechanics," 01 February 2022
UFC 3-220-01, "Geotechnical Engineering," 1 November 2012, with Change 1, 03 November 2021
UFC 3-600-01, "Fire Protection Engineering for Facilities," 08 August 2016 with Change 6, 6 May 2021</t>
  </si>
  <si>
    <t>Tactical Vehicle Wash Facility</t>
  </si>
  <si>
    <t>Central Wash Facility, 16 Stations</t>
  </si>
  <si>
    <t>1 EA</t>
  </si>
  <si>
    <t>SF/EA</t>
  </si>
  <si>
    <t>UFC 4-214-03, 17 March 2018</t>
  </si>
  <si>
    <t>Security Support Building</t>
  </si>
  <si>
    <t>Search Office/ Sentry Building</t>
  </si>
  <si>
    <t>Gatehouse</t>
  </si>
  <si>
    <t>Guard booth (Guardhouse)</t>
  </si>
  <si>
    <t>Visitor Control Center</t>
  </si>
  <si>
    <t>Miscellaneous Operations Support Facility</t>
  </si>
  <si>
    <t>USACE PAX Newsletter 3.2.2, Multiple Editions</t>
  </si>
  <si>
    <t>Category Code</t>
  </si>
  <si>
    <t>Underground Administrative Facility (USACE PAX Newsletter,
20 Mar 2009)</t>
  </si>
  <si>
    <t>Control/Observation Tower (USACE Pax 3.2.2, 25 May 2022)</t>
  </si>
  <si>
    <t>Weighted Average PUC</t>
  </si>
  <si>
    <t xml:space="preserve">In the 2022 RPAD, FAC 1499 (2,610 total assets) is comprised primarily of two asset categories (bunkers/safety shelters [871] and towers [1,490]) with 2,361 assets (90.5%) in those categories in the following CATCodes:
• Air Force 149411, Bunker (144 assets); Army 14181, Safety Shelter (662 assets); and Army 14925, Fighting Position (65 assets)
• Army 14940, Tower (1,076 assets); WHS 149400 (1 asset); Air Force 149965, RADAR Tower (43 assets); Air Force 149968, Special Tower (263 assets); Air Force 872845, Security Guard Tower (107 assets) 
</t>
  </si>
  <si>
    <t>Pier</t>
  </si>
  <si>
    <t>FY09 Study for CNIC</t>
  </si>
  <si>
    <t>Unit Price</t>
  </si>
  <si>
    <t>Military Cost Premium not added because reference cost taken from military construction documents</t>
  </si>
  <si>
    <t>PUC is based upon a study conducted for Commander, Navy Installations Command (CNIC) in FY2009, which appears below in full.   In the 2022 RPAD, there are 296 assets in FAC 1511, with an average size of 5,473 SY.</t>
  </si>
  <si>
    <t>Wharf</t>
  </si>
  <si>
    <t>Set Equal to FAC 1511, Pier</t>
  </si>
  <si>
    <t>PUC is based upon a study conducted for Commander, Navy Installations Command (CNIC) in FY2009, which appears below in full.  Under the direction of CNIC, the replacement unit cost for FAC 1512 is set equal to FAC 1511.   In the 2022 RPAD, there are 361 assets in FAC 1512, with an average size of 4,983 SY.</t>
  </si>
  <si>
    <t>Pier/Wharf Access Trestle</t>
  </si>
  <si>
    <t>Ship &amp; Boat Dock, Heavy Construction, Heavy wood girders, 4"  or heavier decking, Heavy Piling;  includes railing, utilities, fenders; exclusive of buildings</t>
  </si>
  <si>
    <t>SF to SY</t>
  </si>
  <si>
    <t>Shore Erosion Prevention Facility</t>
  </si>
  <si>
    <t>51/4</t>
  </si>
  <si>
    <t>Seawall, concrete, precast, 5” - 6”, including ties or piling  Large Commercial Project, wet conditions</t>
  </si>
  <si>
    <t>Large Reduction &amp; Wet Increase</t>
  </si>
  <si>
    <t>Small Craft Berthing</t>
  </si>
  <si>
    <t>FB</t>
  </si>
  <si>
    <t>Ship and boat docks, heavy, 4" decking, Average piling, including fenders, railings, utilities; exclusive of buildings</t>
  </si>
  <si>
    <t>SF/FB</t>
  </si>
  <si>
    <t>Convert SF to FB:  Width of pier or wharf = 40.  Assume 1/2 pier, 1/2 wharf.  Average of ((40 SF/2 FB) + (40 SF/1 FB))/2 = 30 SF/FB</t>
  </si>
  <si>
    <t>FB = LF of Berthing</t>
  </si>
  <si>
    <t>Small Craft Building</t>
  </si>
  <si>
    <t>17/18</t>
  </si>
  <si>
    <t>Boat Storage Building, Class S, Average, Metal siding on steel frame; boat racks &amp; minimum electrical/water service</t>
  </si>
  <si>
    <t>Magnetic Silencing Range</t>
  </si>
  <si>
    <t>Service Reported Construction Cost</t>
  </si>
  <si>
    <t>Project</t>
  </si>
  <si>
    <t>Replacement of MS Range at Kings Bay Georgia FY20</t>
  </si>
  <si>
    <t>NAVSUBASE New London Degaussing Range FY20</t>
  </si>
  <si>
    <t>NAVBASE Guam UEMMS Installation FY22</t>
  </si>
  <si>
    <t>Source:  DD 1391s for Magnetic Silencing/Sensing Ranges at three locations
ACFs Determined using March 2022 USACE Area Cost Factors</t>
  </si>
  <si>
    <t>PUC Average</t>
  </si>
  <si>
    <t>Water Launch Ramp</t>
  </si>
  <si>
    <t>Slab on Grade, 12", Reinforced</t>
  </si>
  <si>
    <t>Concrete Waterproofing, Silicone Spray, 2 coats</t>
  </si>
  <si>
    <t>Piling, Steel Pipe, Concrete filled, 10",12' deep, 8 Each with Setup Cost</t>
  </si>
  <si>
    <t>EA to SY</t>
  </si>
  <si>
    <t>Sheeting, bulkheads, steel, 27# average 10' high 20' total; 200 SF</t>
  </si>
  <si>
    <t>Harbor Control Facility</t>
  </si>
  <si>
    <t xml:space="preserve">Service Reported PRV </t>
  </si>
  <si>
    <t>Offshore Mooring Facility</t>
  </si>
  <si>
    <t>MTMC Stony Point Data FY 2000</t>
  </si>
  <si>
    <t>Harbor Marine Improvements</t>
  </si>
  <si>
    <t>Marshall and Swift Valuation, October 2020</t>
  </si>
  <si>
    <t>Seawall Concrete, Precast, 5” - 6” including ties or piling</t>
  </si>
  <si>
    <t>Commercial Reduction</t>
  </si>
  <si>
    <t>Riprap, 6' Wide x 8' Tall, shore protection</t>
  </si>
  <si>
    <t>SY to LF</t>
  </si>
  <si>
    <t>Divided by 2021 DoD ACF for Arlington, VA</t>
  </si>
  <si>
    <t>Inflated from FY21 to FY22</t>
  </si>
  <si>
    <t>General Purpose Instruction Building</t>
  </si>
  <si>
    <t>Academic Instruction Building: General Instruction (Lecture Classroom)</t>
  </si>
  <si>
    <t>Applied Instruction Building</t>
  </si>
  <si>
    <t>Academic Instruction Building: Applied Instructions (Hands-on Training) - Small (&lt;35,000 SF)</t>
  </si>
  <si>
    <t>Band Training Facility</t>
  </si>
  <si>
    <t>Academic Instruction Building: Applied Instructions (Hands-on Training) - Large (&gt;35,000 SF)</t>
  </si>
  <si>
    <t>Reserve Training Facility</t>
  </si>
  <si>
    <t>Armed Forces Reserve Center</t>
  </si>
  <si>
    <t>Physical Education Building</t>
  </si>
  <si>
    <t>Physical Fitness Training Center</t>
  </si>
  <si>
    <t>Organizational Classroom</t>
  </si>
  <si>
    <t>Academic Instruction Buildings: General Instruction (Lecture/Classroom)</t>
  </si>
  <si>
    <t>Indoor Firing Range and Supporting Facility</t>
  </si>
  <si>
    <t>Indoor Firing Range</t>
  </si>
  <si>
    <t>Flight Simulator Facility</t>
  </si>
  <si>
    <t>Academic Instruction Buildings: High Bay w/ Simulation Training -Small (&lt;18,000 SF)</t>
  </si>
  <si>
    <t>Physiological Training Facility</t>
  </si>
  <si>
    <t>Academic Instruction Buildings: High Bay w/ Simulation Training - Small (&lt;18,000 SF)</t>
  </si>
  <si>
    <t>Gas Training Facility</t>
  </si>
  <si>
    <t>Range Classroom Building (USACE PAX Newsletter 3.2.2, 31 March 2023)</t>
  </si>
  <si>
    <t>After-Action Review (AAR) Building - Large  (USACE PAX Newsletter 3.2.2, 20 March 2020)</t>
  </si>
  <si>
    <t>General Purpose Simulator Facility</t>
  </si>
  <si>
    <t xml:space="preserve"> </t>
  </si>
  <si>
    <t>Training Pool and Tank</t>
  </si>
  <si>
    <t>66/6</t>
  </si>
  <si>
    <t>Gunnite Pool, 25 M x 50 M = 13,455 SF Surface Area</t>
  </si>
  <si>
    <t>Add for automatic sanitation system, chlorinator</t>
  </si>
  <si>
    <t>1 SM = 10.764 SF</t>
  </si>
  <si>
    <t>Enclosed Fire Fighter Trainer Facility</t>
  </si>
  <si>
    <t>15/29</t>
  </si>
  <si>
    <t>Fire Training Tower, Average, Add 45% for insulated tiles</t>
  </si>
  <si>
    <t>CF to SF</t>
  </si>
  <si>
    <t xml:space="preserve">66/11 </t>
  </si>
  <si>
    <t>Polyethylene chamber water detention system, complete, 5,000 GA</t>
  </si>
  <si>
    <t>GA to SF</t>
  </si>
  <si>
    <t>66/7</t>
  </si>
  <si>
    <t>Poured Concrete Pond, over 2,000 to 4,000 SF, 3,000 SF Total Pond</t>
  </si>
  <si>
    <t>Pond SF to FFT SF</t>
  </si>
  <si>
    <t>Welded Steel Pressure Tank, 4 EA, 9,000 GA EA</t>
  </si>
  <si>
    <t>EA to SF</t>
  </si>
  <si>
    <t>62/1</t>
  </si>
  <si>
    <t>Industrial Pump, 4 EA, 2.5" Suction, 7.5 HP 3,550 RPM</t>
  </si>
  <si>
    <t>62/2</t>
  </si>
  <si>
    <t>Black Steel Threaded Pipe, 2" non-buried, 1,800 LF</t>
  </si>
  <si>
    <t>LF to SF</t>
  </si>
  <si>
    <t>Range Support Building</t>
  </si>
  <si>
    <t xml:space="preserve">USACE PAX Newsletter 3.2.2, Multiple Editions                                        </t>
  </si>
  <si>
    <t>Ammunition Breakdown Building, PAX 3.2.2  25 May 2022</t>
  </si>
  <si>
    <t>Operations/Storage Building, Small, PAX 3.2.2 31 March 2023</t>
  </si>
  <si>
    <t>Range Classroom Building PAX 3.2.2  25 May 2022</t>
  </si>
  <si>
    <t>Covered Mess - Range (Small)  PAX 3.2.2  31 March 2023</t>
  </si>
  <si>
    <t>Range Components Price List - Marshall and Swift Valuation, October 2022
and USACE PAX Newsletter 3.2.2, 31 May 2023</t>
  </si>
  <si>
    <t>Reference</t>
  </si>
  <si>
    <t>End Item</t>
  </si>
  <si>
    <t xml:space="preserve">Component Price </t>
  </si>
  <si>
    <t>Area Adjustment
M&amp;S/DoD ACF</t>
  </si>
  <si>
    <t>Training Aids Support Building</t>
  </si>
  <si>
    <t xml:space="preserve">USACE PAX Newsletter 3.2.2, 25 May 2022                                                       </t>
  </si>
  <si>
    <t>Structure, Reinforced concrete (Armory, Class CDS) 12 EA, 1,800 SF</t>
  </si>
  <si>
    <t>Training Aid Support Center for Range Complex</t>
  </si>
  <si>
    <t>17/31</t>
  </si>
  <si>
    <t>Urban Cluster (Bank Barn, 2-Story, Class D, Low Cost)  (Use Class C Current Cost Multiplier for consistency)</t>
  </si>
  <si>
    <t>66/1</t>
  </si>
  <si>
    <t>Target Bunker (Catch Basin,  4' deep)</t>
  </si>
  <si>
    <t>66/2</t>
  </si>
  <si>
    <t xml:space="preserve">SIT  / WSIT Emplacement or Vehicle Firing Point (62, 94, or 128 SF concrete x 8" thick with bar reinforcing) </t>
  </si>
  <si>
    <t>Training Support Structure</t>
  </si>
  <si>
    <t xml:space="preserve">USACE PAX Newsletter 3.2.2, 31 March 2023                                             </t>
  </si>
  <si>
    <t xml:space="preserve">SAT Emplacement or VBP Defilade (468 or 481 SF concrete x 12" thick w/Rebar) </t>
  </si>
  <si>
    <t>MIT / MAT Emplacement (12" concrete wall or concrete bunker 12" concrete, reinforced)</t>
  </si>
  <si>
    <t>Covered Bleacher - Range  (Bleacher Enclosure), EA</t>
  </si>
  <si>
    <t>EA/SF</t>
  </si>
  <si>
    <t>Slab on Grade, 6" reinforced</t>
  </si>
  <si>
    <t>Covered Mess - Range (Small)</t>
  </si>
  <si>
    <t>Service Switchgear, 100 Amps, Light Commercial</t>
  </si>
  <si>
    <t>Service Switchgear, 200 Amps, Light Commercial</t>
  </si>
  <si>
    <t>Circuit Breaker, 240-480 Volts, 20-60 Amps</t>
  </si>
  <si>
    <t>Observation &amp; Training  Tower/Bunker</t>
  </si>
  <si>
    <t xml:space="preserve">USACE PAX Newsletter 3.2.2, Multiple Editions                                               </t>
  </si>
  <si>
    <t>Circuit Breaker, 240-480 Volts, 125-250 Amps</t>
  </si>
  <si>
    <t>54/3</t>
  </si>
  <si>
    <t>Outlet, Rigid Conduit, Average, with Ground Fault Interrupter, 4 per SIT</t>
  </si>
  <si>
    <t>Underground Administrative Facility (USACE PAX Newsletter, 20 March 2009)</t>
  </si>
  <si>
    <t>54/2</t>
  </si>
  <si>
    <t>Underground Wiring, 2", plastic duct, plus excavation and backfill</t>
  </si>
  <si>
    <t>Control Tower - Standard Small Arms ((USACE PAX Newsletter, 31 March 2023)</t>
  </si>
  <si>
    <t>Rigid Conduit and Wiring, 1", includes tees, ells, junction boxes, hangers and fittings</t>
  </si>
  <si>
    <t>Trolleyway, 1 Ton, 50 FT / MIT</t>
  </si>
  <si>
    <t>Trolley, Motorized, 0.5 ton, 1 per MIT</t>
  </si>
  <si>
    <t xml:space="preserve">Maneuver/Training Land, Light Forces </t>
  </si>
  <si>
    <t>AC</t>
  </si>
  <si>
    <t>No Replacement Cost Defined</t>
  </si>
  <si>
    <t>Foxhole with Drain (36" reinforced Concrete Storm Drainage, 4' deep)</t>
  </si>
  <si>
    <t xml:space="preserve">Target Boots / 4 per FP; Concrete perimeter footing, 12" below grade </t>
  </si>
  <si>
    <t>N/A</t>
  </si>
  <si>
    <t>Utility tunnel, 3"-5" wall thickness, reinforced concrete, medium soil, 5'x7' cross-section, 504 LF</t>
  </si>
  <si>
    <t>Road, Plant Mix Asphalt Concrete surface, 3" thick, 1,500 SY</t>
  </si>
  <si>
    <t xml:space="preserve">Maneuver/Training Land, Heavy Forces </t>
  </si>
  <si>
    <t>8" Thick Reinforced Concrete Pavement,  4,500 PSI, 12' pass</t>
  </si>
  <si>
    <t>Berm, 522 M x 2 M x 5 M = 6,828 CY / Backfill &amp; Dozer  compaction</t>
  </si>
  <si>
    <t>Fine Grading for Roadways, Base or Levelling Course, Large Areas &gt; 6,000 SY;  11,525 SY</t>
  </si>
  <si>
    <t>Bank run gravel, Spread with Dozer, 409 CY per berm</t>
  </si>
  <si>
    <t>Weapons Impact Area</t>
  </si>
  <si>
    <t>10" Thick Reinforced Concrete Pavement, 4,500 PSI,  12' pass</t>
  </si>
  <si>
    <t>Parachute Drop Zone</t>
  </si>
  <si>
    <t>Parade and Drill Field</t>
  </si>
  <si>
    <t>Soil preparation, structural soil mixing, spread soil conditioners, fertilizer, 0.2#/S.Y., tractor spreader</t>
  </si>
  <si>
    <t>MSF</t>
  </si>
  <si>
    <t>MSF to AC</t>
  </si>
  <si>
    <t>Fine grading, subbase +/- 1", Compaction , 3 passes, 6" lifts, riding roller</t>
  </si>
  <si>
    <t>SY to AC</t>
  </si>
  <si>
    <t>Seeding athletic fields, seeding fescue, tall, 5.5 lb. per M.S.F., tractor spreader</t>
  </si>
  <si>
    <t>Underground sprinklers irrigation system, for lawns, residential system, custom, 1-1/2" supply</t>
  </si>
  <si>
    <t>SF to AC</t>
  </si>
  <si>
    <t>UG electrical lines, direct burial, #1/0 3/C 600V copper conductor, 3' including backfill 420 LF</t>
  </si>
  <si>
    <t>LF to AC</t>
  </si>
  <si>
    <t>General Purpose Small Arms Range</t>
  </si>
  <si>
    <t>FP</t>
  </si>
  <si>
    <t>TC 25-8 Standard Size</t>
  </si>
  <si>
    <t xml:space="preserve">Marshall &amp; Swift Valuation, October 2022;
USACE PAX Newsletter 3.2.2, 31 March 2023;
TC 25-8 Training Ranges, 2 November 2021;
USACE Range Design Guide
</t>
  </si>
  <si>
    <t>Section/ CATCODE</t>
  </si>
  <si>
    <t xml:space="preserve">SIT Emplacement (62 SF concrete x 8" thick with bar reinforcing), per FP </t>
  </si>
  <si>
    <t>SF per FP</t>
  </si>
  <si>
    <t>EA per FP</t>
  </si>
  <si>
    <t>Underground Wiring, 2", plastic duct, plus excavation and backfill (574 FT Average Distance)</t>
  </si>
  <si>
    <t>LF per FP</t>
  </si>
  <si>
    <t>Foxhole with Drain (36" reinforced Concrete Culvert. 4' deep)</t>
  </si>
  <si>
    <t>Berm, 522 M x 2M x 5M = 6,828 CY; Dozer backfill &amp; Roller compaction</t>
  </si>
  <si>
    <t>CY per FP</t>
  </si>
  <si>
    <t>Bank run gravel, Spread w/ 200 HP Dozer, including load at pit &amp; haul, 2 MI round trip, no compaction (409 CY per berm)</t>
  </si>
  <si>
    <t>The Range Design Guide is a web-based tool that replaced the range design manuals.  Refer to https://www.hnc.usace.army.mil/Missions/Installation-Support-and-Programs-Management/Range-and-Training-Land-Program/Range-Design-Guide/.</t>
  </si>
  <si>
    <t>Zero Range</t>
  </si>
  <si>
    <t>EA to FP</t>
  </si>
  <si>
    <t>Berm, 148 M x 2 M x 5 M = 1,936 CY; backfill &amp; compaction</t>
  </si>
  <si>
    <t>Bank run gravel, Spread, 387 CY per berm</t>
  </si>
  <si>
    <t>Field Fire Range</t>
  </si>
  <si>
    <t>TC 25-8 Standard Size - Automated Field Fire Range</t>
  </si>
  <si>
    <t>SIT Emplacement (62 SF concrete x 8" thick w/Rebar), 3 per FP</t>
  </si>
  <si>
    <t>Berm, 522 M x 2 M x 5 M = 6,828 CY; backfill &amp; compaction</t>
  </si>
  <si>
    <t>Bank run gravel, Spread, 1,044 CY per berm</t>
  </si>
  <si>
    <t>Record Fire Range</t>
  </si>
  <si>
    <t>TC 25-8 Standard Size - Automated Record Fire Range</t>
  </si>
  <si>
    <t>SIT Emplacement (62 SF concrete x 8" thick with Rebar), 7 per FP</t>
  </si>
  <si>
    <t>Underground Wiring, 2", plastic duct, 574 FT Average Distance, plus excavation and backfill</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</si>
  <si>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</si>
  <si>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</si>
  <si>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</si>
  <si>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</si>
  <si>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</si>
  <si>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</si>
  <si>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Bank run gravel, Spread, 409 CY per berm</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</si>
  <si>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</si>
  <si>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</si>
  <si>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</si>
  <si>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</si>
  <si>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</si>
  <si>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</si>
  <si>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</si>
  <si>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</si>
  <si>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</si>
  <si>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</si>
  <si>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</si>
  <si>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</si>
  <si>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</si>
  <si>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</si>
  <si>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</si>
  <si>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</si>
  <si>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</si>
  <si>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</si>
  <si>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</si>
  <si>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</si>
  <si>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</si>
  <si>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</si>
  <si>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</si>
  <si>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</si>
  <si>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</si>
  <si>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</si>
  <si>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</si>
  <si>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</si>
  <si>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</si>
  <si>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</si>
  <si>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</si>
  <si>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</si>
  <si>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</si>
  <si>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</si>
  <si>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</si>
  <si>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</si>
  <si>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</si>
  <si>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</si>
  <si>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</si>
  <si>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</si>
  <si>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LN</t>
  </si>
  <si>
    <t>Vehicle Firing Point (128 SF concrete x 8" thick with Rebar), Price per SY in PAX divided by 9 for SF</t>
  </si>
  <si>
    <t>SF per LN</t>
  </si>
  <si>
    <t>Berm, 20 M x 2 M x 1 M = 52 CY; backfill &amp; compaction</t>
  </si>
  <si>
    <t>CY per LN</t>
  </si>
  <si>
    <t>Bank run gravel, Spread, 20 CY per LN</t>
  </si>
  <si>
    <t>Light Antiarmor Weapon Range (LAWR)</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</si>
  <si>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</si>
  <si>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</si>
  <si>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</si>
  <si>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</si>
  <si>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</si>
  <si>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</si>
  <si>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</si>
  <si>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</si>
  <si>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</si>
  <si>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</si>
  <si>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</si>
  <si>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</si>
  <si>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</si>
  <si>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</si>
  <si>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</si>
  <si>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</si>
  <si>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</si>
  <si>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</si>
  <si>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</si>
  <si>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</si>
  <si>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</si>
  <si>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</si>
  <si>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</si>
  <si>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</si>
  <si>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</si>
  <si>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</si>
  <si>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</si>
  <si>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</si>
  <si>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</si>
  <si>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</si>
  <si>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</si>
  <si>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</si>
  <si>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</si>
  <si>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</si>
  <si>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</si>
  <si>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</si>
  <si>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</si>
  <si>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</si>
  <si>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</si>
  <si>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</si>
  <si>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</si>
  <si>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</si>
  <si>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</si>
  <si>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</si>
  <si>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</si>
  <si>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</si>
  <si>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</si>
  <si>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</si>
  <si>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</si>
  <si>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</si>
  <si>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</si>
  <si>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</si>
  <si>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Indirect Fire Range</t>
  </si>
  <si>
    <t xml:space="preserve">
No Replacement Cost Defined
</t>
  </si>
  <si>
    <t>Scaled Indirect Fire Range</t>
  </si>
  <si>
    <t>Artillery Direct Firing Range (ADFR) = 6 Hasty Firing Positions per Range</t>
  </si>
  <si>
    <t>Scaled Gunnery Range (SGR)</t>
  </si>
  <si>
    <t>TC 25-8 Standard Size -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</si>
  <si>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</si>
  <si>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</si>
  <si>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</si>
  <si>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</si>
  <si>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</si>
  <si>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</si>
  <si>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</si>
  <si>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</si>
  <si>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</si>
  <si>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</si>
  <si>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</si>
  <si>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</si>
  <si>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</si>
  <si>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</si>
  <si>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</si>
  <si>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</si>
  <si>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</si>
  <si>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</si>
  <si>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</si>
  <si>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</si>
  <si>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</si>
  <si>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</si>
  <si>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</si>
  <si>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</si>
  <si>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</si>
  <si>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</si>
  <si>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</si>
  <si>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</si>
  <si>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</si>
  <si>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</si>
  <si>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</si>
  <si>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</si>
  <si>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</si>
  <si>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</si>
  <si>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</si>
  <si>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</si>
  <si>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</si>
  <si>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</si>
  <si>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</si>
  <si>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</si>
  <si>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</si>
  <si>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</si>
  <si>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</si>
  <si>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</si>
  <si>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</si>
  <si>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</si>
  <si>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</si>
  <si>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</si>
  <si>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</si>
  <si>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</si>
  <si>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</si>
  <si>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</si>
  <si>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</si>
  <si>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</si>
  <si>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</si>
  <si>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</si>
  <si>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</si>
  <si>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</si>
  <si>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</si>
  <si>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</si>
  <si>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</si>
  <si>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</si>
  <si>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</si>
  <si>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</si>
  <si>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</si>
  <si>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</si>
  <si>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</si>
  <si>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</si>
  <si>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</si>
  <si>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</si>
  <si>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</si>
  <si>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</si>
  <si>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</si>
  <si>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</si>
  <si>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</si>
  <si>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</si>
  <si>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</si>
  <si>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</si>
  <si>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</si>
  <si>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</si>
  <si>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</si>
  <si>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</si>
  <si>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</si>
  <si>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</si>
  <si>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</si>
  <si>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</si>
  <si>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</si>
  <si>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</si>
  <si>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</si>
  <si>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</si>
  <si>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</si>
  <si>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</si>
  <si>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</si>
  <si>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</si>
  <si>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</si>
  <si>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</si>
  <si>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</si>
  <si>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</si>
  <si>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Outlet, Rigid Conduit, Average, with Ground Fault Interrupter (5 per SAT; 4 per SIT)</t>
  </si>
  <si>
    <t>Urban Cluster / Bank Barn, 2 Story (20' x 20'), Class D, Low Cost x 6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</si>
  <si>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</si>
  <si>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</si>
  <si>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</si>
  <si>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</si>
  <si>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</si>
  <si>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</si>
  <si>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</si>
  <si>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</si>
  <si>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</si>
  <si>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</si>
  <si>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</si>
  <si>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</si>
  <si>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Trail Grading, Fine Grading for Roadways, Base Course 1,913 SY</t>
  </si>
  <si>
    <t>Total Berm, 400 M x 2 M x 1 M = 1,046 CY, Backfill &amp; compaction</t>
  </si>
  <si>
    <t>Bank run gravel, Spread, 628 CY per Range</t>
  </si>
  <si>
    <t>Urban Cluster / Bank Barn, 2 Story (20' x 20'), Class D, Low Cost x 2 Buildings (Use Class C multiplier)</t>
  </si>
  <si>
    <t>Machine gun bunker (144 SF concrete x 8" with rebar), 2 per Range</t>
  </si>
  <si>
    <t>FAC 1790 is a collection of 65 CATCODEs.  Components for this model represent an average of these facilities.</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</si>
  <si>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</si>
  <si>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</si>
  <si>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</si>
  <si>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</si>
  <si>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</si>
  <si>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</si>
  <si>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</si>
  <si>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</si>
  <si>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</si>
  <si>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</si>
  <si>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</si>
  <si>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</si>
  <si>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</si>
  <si>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</si>
  <si>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</si>
  <si>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</si>
  <si>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</si>
  <si>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</si>
  <si>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</si>
  <si>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</si>
  <si>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Aircraft Weapons Range</t>
  </si>
  <si>
    <t>Air Defense Range</t>
  </si>
  <si>
    <t>TC 25-8 Standard Size / Air Defense Firing Range</t>
  </si>
  <si>
    <t>Vehicle Battle Position - Defilade (481 SF concrete x 12" thick with Rebar)</t>
  </si>
  <si>
    <t>Berm, 90 M x 2 M x 3 M = 706 CY, Backfill &amp; compaction</t>
  </si>
  <si>
    <t xml:space="preserve">Unenclosed Fire Fighter Trainer Facility </t>
  </si>
  <si>
    <t>Marshall &amp; Swift Valuation, October 2022;
USACE PAX Newsletter 3.2.2, 31 March 2023;</t>
  </si>
  <si>
    <t>Fire Training Tower (Add 45% for thermal insulated tiles)
(6 floors 10' x 10' / floor)</t>
  </si>
  <si>
    <t>Stormwater drainage pond, 1/8 AC</t>
  </si>
  <si>
    <t>Fire Pumps, electric, 1000 GPM, 100 psi, 86 HP, 3550 RPM, 5" pump, incl. controller, fittings &amp; relief valve</t>
  </si>
  <si>
    <t>Pipe, HDPE, 40' length, 4" diam., includes excavation &amp; backfill, fittings allowance  480' total pipe</t>
  </si>
  <si>
    <t>Aggregate base course for roadways and large paved areas, bank run gravel, spread and compacted, 6" deep 2,500 SY total</t>
  </si>
  <si>
    <t>SY to SF</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</si>
  <si>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</si>
  <si>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</si>
  <si>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</si>
  <si>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</si>
  <si>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</si>
  <si>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</si>
  <si>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</si>
  <si>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</si>
  <si>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</si>
  <si>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</si>
  <si>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Machine gun bunker (144 SF concrete x 8" w/rebar), 4 EA</t>
  </si>
  <si>
    <t>Bank run gravel, Spread, 4,622 CY per Range</t>
  </si>
  <si>
    <t>CY per SF</t>
  </si>
  <si>
    <t>Backfill &amp; compaction, 2,020 CY</t>
  </si>
  <si>
    <t>Hand Grenade Range, Non-Firing</t>
  </si>
  <si>
    <t>TC 25-8 Standard Size / Hand Grenade Qualification Course</t>
  </si>
  <si>
    <t>2-man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</si>
  <si>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</si>
  <si>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</si>
  <si>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</si>
  <si>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</si>
  <si>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</si>
  <si>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</si>
  <si>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</si>
  <si>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</si>
  <si>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</si>
  <si>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</si>
  <si>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</si>
  <si>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</si>
  <si>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</si>
  <si>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</si>
  <si>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medium earth = 17 * 30 YD x 6 YD = 3,060 SY * 2/3 YD average depth = 2,040 CY</t>
  </si>
  <si>
    <t xml:space="preserve">CY </t>
  </si>
  <si>
    <t>66/8</t>
  </si>
  <si>
    <t>Soil preparation, Fine grading running track, Average</t>
  </si>
  <si>
    <t>Stabilize running track, geotextile fabric</t>
  </si>
  <si>
    <t>Mulch, running track, Average</t>
  </si>
  <si>
    <t>51/7</t>
  </si>
  <si>
    <t>18 stations, wood pole frames, 12"- 14", average of 4 EA, 20 FT = 1,440 LF each station</t>
  </si>
  <si>
    <t>18 stations, wood beams and columns, 4"x4", average of 14 each, 10 FT, 2,520 LF each station</t>
  </si>
  <si>
    <t>Note:  Layout of obstacle course from FM 7-22, "Army Physical Readiness Training," October 2020; and AFI 36-2202, "Air Force Obstacle Course Program," 07 August 2007.</t>
  </si>
  <si>
    <t>Aircraft Maintenance Hangar</t>
  </si>
  <si>
    <t>Maintenance Hangars: General Purpose, Low-Mid Bay, Up to 40 FT  High</t>
  </si>
  <si>
    <t>Aircraft Maintenance Shop</t>
  </si>
  <si>
    <t>Aircraft Corrosion Control Hangar</t>
  </si>
  <si>
    <t>Maintenance Hangars: Aircraft Corrosion Control Maintenance</t>
  </si>
  <si>
    <t>Aircraft Engine Test Building</t>
  </si>
  <si>
    <t>USACE PAX Newsletter 3.2.2, 4 January 2011</t>
  </si>
  <si>
    <t>Aircraft Engine Test facility</t>
  </si>
  <si>
    <t>Aircraft Maintenance Hangar, Depot</t>
  </si>
  <si>
    <t xml:space="preserve">Maintenance Hangars: High Bay Maintenance - Large, Over 40 FT High (&gt; 100,000 SF) </t>
  </si>
  <si>
    <t>Aircraft Maintenance Shop, Depot</t>
  </si>
  <si>
    <t>Aircraft Engine Test Facility</t>
  </si>
  <si>
    <t>Average size extracted from 2022 RPAD (212 assets); average length = 117.7 LF; average width = 81.3 LF.</t>
  </si>
  <si>
    <t>Missile Maintenance &amp; Assembly Building</t>
  </si>
  <si>
    <t>Extended Cost</t>
  </si>
  <si>
    <t>14/15</t>
  </si>
  <si>
    <t>Industrial, Heavy (Process) Manufacturing, Class A, Average, including craneway, HVAC and elevator  (Deduct $3.15 / SF for no included elevator)</t>
  </si>
  <si>
    <t>Add 15% for Hazard occupancy sprinkler</t>
  </si>
  <si>
    <t>Add Early Suppression Fast Response (ESFR) sprinkler and pump</t>
  </si>
  <si>
    <t>Bridge Crane, 10 ton, span = 75 ft</t>
  </si>
  <si>
    <t>55/5</t>
  </si>
  <si>
    <t>Overhead door, rollup, 2 doors, 10' X 12' doors (120 SF)</t>
  </si>
  <si>
    <t>SF / door</t>
  </si>
  <si>
    <t>for 2 doors</t>
  </si>
  <si>
    <t>Door electric operation, 2 doors</t>
  </si>
  <si>
    <t>65/12</t>
  </si>
  <si>
    <t>Dock bumpers, 10 LF</t>
  </si>
  <si>
    <t>Dock leveler, hydraulic</t>
  </si>
  <si>
    <t>Dock seal, 10" projection</t>
  </si>
  <si>
    <t>Missile Launcher Maintenance Support Facility</t>
  </si>
  <si>
    <t>Industrial, Heavy (Process) Manufacturing, Class A, Average, including craneway, HVAC and elevator  (Deduct $2.51 / SF for no included elevator)</t>
  </si>
  <si>
    <t>per UM</t>
  </si>
  <si>
    <t>Overhead door, rollup, 2 doors, 9' X 9' door (81 SF)</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</si>
  <si>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</si>
  <si>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</si>
  <si>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</si>
  <si>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</si>
  <si>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</si>
  <si>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</si>
  <si>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</si>
  <si>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</si>
  <si>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11,147 SF in the 2020 RPAD.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</si>
  <si>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</si>
  <si>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</si>
  <si>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 xml:space="preserve">An overhead crane is provided, applying the Overhead Crane Business Rule.  </t>
  </si>
  <si>
    <t xml:space="preserve">No UFC criteria exist for component material. </t>
  </si>
  <si>
    <t>• M&amp;S Selection Business Rule
• Elevator Business Rule
• Fire Sprinkler Business Rule
• Overhead Crane Business Rule
• MILCON Cost Premium Business Rule</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</si>
  <si>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</si>
  <si>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</si>
  <si>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</si>
  <si>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</si>
  <si>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</si>
  <si>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</si>
  <si>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</si>
  <si>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</si>
  <si>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Industrial, Heavy (Process) Manufacturing, Class A, Average, including craneway, HVAC and elevator (Deduct $2.51 for no included elevator)</t>
  </si>
  <si>
    <t>Sprinkler, 30,000 SF, Dry System, Average</t>
  </si>
  <si>
    <t>Bridge Crane, 10 ton, span = 75 ft, 2 EA</t>
  </si>
  <si>
    <t>Overhead door, rollup, 4 doors, 9' X 9' door (81 SF)</t>
  </si>
  <si>
    <t>Door electric operation, 4 doors</t>
  </si>
  <si>
    <t>per door</t>
  </si>
  <si>
    <t>Dock bumpers, 10 LF/door</t>
  </si>
  <si>
    <t>for 4 doors</t>
  </si>
  <si>
    <t>Dock leveler, hydraulic, 4 EA</t>
  </si>
  <si>
    <t>Dock seal, 10" projection, 4 EA</t>
  </si>
  <si>
    <t>Dock shelter, 4 EA</t>
  </si>
  <si>
    <t>Intercontinental Ballistic Missile Processing Facility</t>
  </si>
  <si>
    <t>Industrials, Heavy (Process) Manufacturing, Class A, Average, including craneway, HVAC and elevator (Deduct $2.51 for no included elevator)</t>
  </si>
  <si>
    <t>Bridge Crane, 10 ton, span = 75 ft (2 EA)</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</si>
  <si>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</si>
  <si>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</si>
  <si>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</si>
  <si>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</si>
  <si>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The average area for this FAC is 33,754 SF.
The Occupancy Group assigned is H, High Hazard.
</t>
  </si>
  <si>
    <t xml:space="preserve">International Building Code (IBC)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</si>
  <si>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</si>
  <si>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An overhead crane is provided, applying the Overhead Crane Business Rule.  Two craneways are included in the building's unit cost.</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</si>
  <si>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
IBC, 2021 Edition.</t>
  </si>
  <si>
    <t>Graving Dry-dock</t>
  </si>
  <si>
    <t>FY11 Study for CNIC</t>
  </si>
  <si>
    <t>Ship Maintenance Dry-dock</t>
  </si>
  <si>
    <t>2021 RPCS changed FAC title from Shipping Maintenance Dry-dock to Graving Dry-dock.</t>
  </si>
  <si>
    <t>PUC with Military Cost Premium.</t>
  </si>
  <si>
    <t xml:space="preserve">PUC is based upon a study conducted for Commander, Naval Installations Command (CNIC) in FY 2011, which appears below in full.    </t>
  </si>
  <si>
    <t>Marine Railway</t>
  </si>
  <si>
    <t>Service Reported PRV</t>
  </si>
  <si>
    <t>Marine Maintenance Shop</t>
  </si>
  <si>
    <t>Maintenance Shops: Installation Maintenance, General Purpose</t>
  </si>
  <si>
    <t>Marine Maintenance Support Facility</t>
  </si>
  <si>
    <t>Industrial, Heavy (Process) Manufacturing, Class B, Average, including craneways, no elevator &amp; HVAC system</t>
  </si>
  <si>
    <t>Bridge Crane, 10 Ton, Span = 75 FT</t>
  </si>
  <si>
    <t>14/27</t>
  </si>
  <si>
    <t>Loading dock (Shipping Dock),Structural Steel or concrete piers and frame, good lighting, 2 EA @ 144 SF</t>
  </si>
  <si>
    <t>Total Dock SF</t>
  </si>
  <si>
    <t>Landing Craft Wash Facility</t>
  </si>
  <si>
    <t>Average Size from 2022 RPAD (12 Assets):  112 FT (length) * 53 SF (width) - 5,936 SF</t>
  </si>
  <si>
    <t>Surety Repair Shop</t>
  </si>
  <si>
    <t>Set Equal to FAC 2121</t>
  </si>
  <si>
    <t>FAC 2121 PUC</t>
  </si>
  <si>
    <t>Ship Propulsion Maintenance Facility</t>
  </si>
  <si>
    <t>Fixed Crane Structure</t>
  </si>
  <si>
    <t xml:space="preserve">Service-provided PRV </t>
  </si>
  <si>
    <t xml:space="preserve">FY22 PUC </t>
  </si>
  <si>
    <t>Vehicle Maintenance Shop</t>
  </si>
  <si>
    <t>Maintenance Shops: Military Vehicle Maintenance, Small
(&lt; 21,000 SF)</t>
  </si>
  <si>
    <t>Vehicle Maintenance Shop, Depot</t>
  </si>
  <si>
    <t>Maintenance Shops: Military Vehicle Maintenance, Large
(&gt; 21,000 SF)</t>
  </si>
  <si>
    <t>Vehicle Maintenance Shop, National Guard</t>
  </si>
  <si>
    <t>Vehicle Maintenance Shop, Reserve</t>
  </si>
  <si>
    <t>Vehicle Maintenance Facility</t>
  </si>
  <si>
    <t xml:space="preserve">USACE PAX Newsletter 3.2.2, Multiple Editions                        </t>
  </si>
  <si>
    <t>Wash Platform (PAX Newsletter 25 May 2022)</t>
  </si>
  <si>
    <t>Grease Rack (PAX Newsletter, 4 Jan 2011)</t>
  </si>
  <si>
    <t>Launch Vehicle Test Facility</t>
  </si>
  <si>
    <t xml:space="preserve">Air Force provided data in 2003                                              </t>
  </si>
  <si>
    <t>Vehicle Maintenance Shed</t>
  </si>
  <si>
    <t>POL Storage Bldg. - Tactical Equipment Maintenance Facility (TEMF)</t>
  </si>
  <si>
    <t xml:space="preserve">Hazardous Waste Storage Bldg. - Tactical Equipment Maintenance Facility (TEMF) </t>
  </si>
  <si>
    <t>Weapon Maintenance Shop</t>
  </si>
  <si>
    <t>Weapon Maintenance Shop, Depot</t>
  </si>
  <si>
    <t>General Purpose Maint Shop</t>
  </si>
  <si>
    <t>Special Weapons Maintenance Shop</t>
  </si>
  <si>
    <t>Set equal to FAC 2121</t>
  </si>
  <si>
    <t xml:space="preserve">SF  </t>
  </si>
  <si>
    <t>Weapon Maintenance Facility Depot</t>
  </si>
  <si>
    <t>Industrials, Heavy (Process) Manufacturing Building, Class A, Average, includes craneway, no elevator</t>
  </si>
  <si>
    <t>Bridge Crane, 50' span, 10 Ton capacity, 1 EA</t>
  </si>
  <si>
    <t>SF Conversion</t>
  </si>
  <si>
    <t xml:space="preserve">Hazard occupancy sprinkler (Add 15% of system unit cost) </t>
  </si>
  <si>
    <t>Shipping Dock, Structural steel or concrete piers, heavy-duty floor, steel roof structure, good lighting  2,145 SF</t>
  </si>
  <si>
    <t>Dock SF to SF</t>
  </si>
  <si>
    <t>Ammunition Maintenance Shop</t>
  </si>
  <si>
    <t>Industrials, Heavy (Process) Manufacturing Building, Class A, Average, includes craneway, no included elevator</t>
  </si>
  <si>
    <t>Bridge Crane, 50' span, 5 Ton capacity, 1 EA</t>
  </si>
  <si>
    <t>Shipping dock, structural steel or concrete piers, one 80' x 12' dock (960 SF)</t>
  </si>
  <si>
    <t>SF of dock</t>
  </si>
  <si>
    <t>Sprinkler Early Suppression Fast Response system and pump</t>
  </si>
  <si>
    <t>Ammunition Maintenance Shop, Depot</t>
  </si>
  <si>
    <t>Industrials, Heavy (Process) Manufacturing Building, Class A, Average, includes craneway (Deduct $3.15 / SF for no included elevator)</t>
  </si>
  <si>
    <t>Shipping dock, one 12' x 12' dock, structural steel or concrete piers  (144 SF)</t>
  </si>
  <si>
    <t>SF dock per SF</t>
  </si>
  <si>
    <t>Sprinkler, 5,000 SF, Dry System, Average</t>
  </si>
  <si>
    <t>Ammunition Maintenance Facility,  Depot</t>
  </si>
  <si>
    <t>Industrials, Heavy (Process) Manufacturing Building, Class A, Average, includes craneway (Deduct $2.51 / SF for no included elevator)</t>
  </si>
  <si>
    <t>Bridge Crane, 75' span, 10 Ton capacity, 2 EA</t>
  </si>
  <si>
    <t>2 EA</t>
  </si>
  <si>
    <t>Sprinkler, 50,000 SF, Wet System, Good</t>
  </si>
  <si>
    <t>Electronic and Communication Maintenance Shop</t>
  </si>
  <si>
    <t>USACE PAX Newsletter 3.2.2, 24 July 2014</t>
  </si>
  <si>
    <t>Inflation Adjustment 
by MILCON Index</t>
  </si>
  <si>
    <t>Electronics Maintenance Shop - Depot Level</t>
  </si>
  <si>
    <t>Electronic and Communication Maintenance Shop, Depot</t>
  </si>
  <si>
    <t>Electronic and Communication Maintenance Facility</t>
  </si>
  <si>
    <t>Triangular Guyed Tower, 54" Master TV systems, High Cost</t>
  </si>
  <si>
    <t>FT</t>
  </si>
  <si>
    <t>FT to EA</t>
  </si>
  <si>
    <t>22 of 25 assets in the 2020 RPAD inventory are antenna testing and  collimation testing facilities.</t>
  </si>
  <si>
    <t>Installation Support Vehicle Maintenance Shop</t>
  </si>
  <si>
    <t>Installation Support Equipment Maintenance Shop</t>
  </si>
  <si>
    <t>Railroad Equipment Shop</t>
  </si>
  <si>
    <t>Parachute And Dinghy Maintenance Shop</t>
  </si>
  <si>
    <t>Table 2, UFC 3-701-1, March 2013</t>
  </si>
  <si>
    <t xml:space="preserve">Maintenance Shops: Parachute And Dinghy Maintenance </t>
  </si>
  <si>
    <t>Installation Support Equipment Maintenance Shed</t>
  </si>
  <si>
    <t>Organizational Storage Building</t>
  </si>
  <si>
    <t>Facility Engineer Maintenance Shop</t>
  </si>
  <si>
    <t>Facility Engineer Maintenance Facility</t>
  </si>
  <si>
    <t>Assumed Size: 1500 SF</t>
  </si>
  <si>
    <t>Aircraft Production Plant</t>
  </si>
  <si>
    <t>Sprinkler, 60,000 SF, Dry System, Average</t>
  </si>
  <si>
    <t>Bridge Crane, 10 ton, span = 100 ft, 2 EA</t>
  </si>
  <si>
    <t>Overhead door, roll-up, 10x12 ft, 12 EA</t>
  </si>
  <si>
    <t>Overhead door, electrical operator, 12 EA</t>
  </si>
  <si>
    <t>Dock bumpers, 10 LF per door</t>
  </si>
  <si>
    <t>LF per UM</t>
  </si>
  <si>
    <t xml:space="preserve"> Aircraft Production Structure</t>
  </si>
  <si>
    <t xml:space="preserve">Industrials, Heavy (Process) Manufacturing, Class C Mill, Average </t>
  </si>
  <si>
    <t>Sprinkler, Wet System, 2,500 SF, Average</t>
  </si>
  <si>
    <t>Missile Production Plant</t>
  </si>
  <si>
    <t>Bridge Crane, 10 Ton, 1 EA, Span = 75 ft</t>
  </si>
  <si>
    <t>Overhead door, roll-up, 10x12 ft, 4 EA</t>
  </si>
  <si>
    <t>Overhead door, electrical operator, 4 EA</t>
  </si>
  <si>
    <t>Ship Production Plant</t>
  </si>
  <si>
    <t>Industrials, Heavy (Process) Manufacturing, Class B, Average, including HVAC and craneway (Deduct $2.51 / SF for no included elevator)</t>
  </si>
  <si>
    <t>Bridge Crane, 10 Ton, 2 EA, Span = 100 ft</t>
  </si>
  <si>
    <t>Sprinkler, Dry System, 50,000 SF, Average</t>
  </si>
  <si>
    <t>Note: crane bay dimension assumed aspect ratio 1:2: 115 FT x 230 FT</t>
  </si>
  <si>
    <t>Tank/Automotive Production Plant</t>
  </si>
  <si>
    <t>Industrials, Heavy (Process) Manufacturing, Class B, Average, including HVAC and craneway (Deduct $3.15 / SF for no included elevator)</t>
  </si>
  <si>
    <t>Overhead door, roll-up, 10x12 ft, 8 EA</t>
  </si>
  <si>
    <t>Overhead door, electrical operator, 8 EA</t>
  </si>
  <si>
    <t>Tank/Automotive Production Structure</t>
  </si>
  <si>
    <t>Industrials, Heavy (Process) Manufacturing, Class C Mill, Average (Deduct $2.51 for no included elevator)</t>
  </si>
  <si>
    <t>2021 RPCS changed the FAC Title from Tank/Automotive Production Facility; no assets in the 2020 RPAD</t>
  </si>
  <si>
    <t>Weapon Production Plant</t>
  </si>
  <si>
    <t>Sprinkler, 40,000 SF, Dry System, Average</t>
  </si>
  <si>
    <t>Bridge Crane, 10 Ton, 2 EA, Span = 75 ft</t>
  </si>
  <si>
    <t>Overhead door, roll-up, 10x12 ft,6 EA</t>
  </si>
  <si>
    <t>Overhead door, electrical operator, 6 EA</t>
  </si>
  <si>
    <t>Weapon Production Structure</t>
  </si>
  <si>
    <t>Sprinkler, Wet System, 40,000 SF, Good</t>
  </si>
  <si>
    <t>Ammunition Production Plant</t>
  </si>
  <si>
    <t>Ammunition Production Facility</t>
  </si>
  <si>
    <t>Industrials, Heavy (Process) Manufacturing, Class A, Average, including craneway (Deduct $2.51 for no included elevator)</t>
  </si>
  <si>
    <t>Ammunition Demilitarization Plant</t>
  </si>
  <si>
    <t>USACE PAX Newsletter 3.2.2, 20 March 2009</t>
  </si>
  <si>
    <t>Ammunition Demilitarization Facility</t>
  </si>
  <si>
    <t>Site Clearing &amp; Grading - Fill, dumped material, spread, by dozer, excludes compaction</t>
  </si>
  <si>
    <t>Backfill, 6" to 12" lifts, dozer backfilling, compaction with sheepsfoot roller</t>
  </si>
  <si>
    <t>Fine Grading for Small Irregular Areas, To 15,000 SY</t>
  </si>
  <si>
    <t>Bank Run Gravel, Spread with 200 HP Dozer, no Compaction, 8" lift</t>
  </si>
  <si>
    <t xml:space="preserve">Average size derived from 2022 RPAD (5 Assets):  50 FT * 30 FT =  (1,500  SF)  </t>
  </si>
  <si>
    <t>Electronic and Communication Production Plant</t>
  </si>
  <si>
    <t>14/14</t>
  </si>
  <si>
    <t xml:space="preserve">Industrials, Light Manufacturing, Class B, Average, including elevator; no craneway included (Deduct $2.40 for no included elevator) </t>
  </si>
  <si>
    <t>Sprinkler, Dry System, 60,000 SF, Average</t>
  </si>
  <si>
    <t>Miscellaneous Support Production Plant</t>
  </si>
  <si>
    <t>Bridge Crane, 10 Ton capacity, 50 FT span, 1 EA</t>
  </si>
  <si>
    <t>Craneway, 144 LF x 2 = 288 LF</t>
  </si>
  <si>
    <t>Craneway electrical conductor assembly</t>
  </si>
  <si>
    <t>Sprinkler, Dry System, 10,000 SF, Average</t>
  </si>
  <si>
    <t>Construction Material Production Structure</t>
  </si>
  <si>
    <t>Marshall and Swift Valuation, October 2017</t>
  </si>
  <si>
    <t>Inflation Adjustment - MILCON Index</t>
  </si>
  <si>
    <t>14/41</t>
  </si>
  <si>
    <t>Asphalt Plant, assume 180 tons / hour (TH) production rate (Class Average)</t>
  </si>
  <si>
    <t>TH</t>
  </si>
  <si>
    <t>RDT&amp;E Laboratory</t>
  </si>
  <si>
    <t>Laboratory  Building, Class A/B, Average, with complete HVAC, including elevator</t>
  </si>
  <si>
    <t>HVAC for Labs, Moderate Climate, Average</t>
  </si>
  <si>
    <t>Sprinkler, Dry System, 15,000 SF, Average</t>
  </si>
  <si>
    <t>Medical Research Laboratory</t>
  </si>
  <si>
    <t>Fume hood air &amp; ventilation</t>
  </si>
  <si>
    <t>Sprinkler, Dry System, 40,000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</si>
  <si>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</si>
  <si>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</si>
  <si>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35,389 SF
IBC Group B
</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</si>
  <si>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</si>
  <si>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</si>
  <si>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requirement exists for the incorporation of overhead cranes.
</t>
  </si>
  <si>
    <t xml:space="preserve">No UFC criteria exist for component material, other than those consistent with fire safety noted above in building construction material.
</t>
  </si>
  <si>
    <t xml:space="preserve">UFC 1-200-01, "DoD Building Code," 08 October 2019, with Change 1, 01 October 2020
UFC 3-600-01, "Fire Protection Engineering for Facilities," 08 August 2016, with Change 6, 06 May 2021
IBC, 2021 edition
</t>
  </si>
  <si>
    <t>Biosafety Level 3 Laboratory</t>
  </si>
  <si>
    <t>Laboratory  Building, Class A/B, Average, with complete HVAC, including elevator (Deduct $2.64 for no included elevator)</t>
  </si>
  <si>
    <t xml:space="preserve">Fume Hood air &amp; ventilation </t>
  </si>
  <si>
    <t>52/6</t>
  </si>
  <si>
    <t>Clean Room, 100-10 microns, prefabricated hardwall,  400 SF;   Assume 6 clean rooms</t>
  </si>
  <si>
    <t>Biosafety Level 4 Laboratory</t>
  </si>
  <si>
    <t>Clean Room, 100-10 microns, prefabricated hardwall, 300 SF;   Assume 1 clean room</t>
  </si>
  <si>
    <t>Sprinkler, Dry System, 2500 SF, Average</t>
  </si>
  <si>
    <t>There is one (1) asset for FAC 3104 in the 2020 RPAD.</t>
  </si>
  <si>
    <t>Aircraft RDT&amp;E Facility</t>
  </si>
  <si>
    <t>Chemistry Lab (USACE PAX Newsletter, 20 March 2009)</t>
  </si>
  <si>
    <t>Aircraft Maintenance Hangar, General Purpose, up to 40 FT high</t>
  </si>
  <si>
    <t xml:space="preserve">Aircraft Component Repair Shop </t>
  </si>
  <si>
    <t>Aircraft Engine Test Facility (USACE PAX Newsletter, 04 January 2011)</t>
  </si>
  <si>
    <t>Missile and Space RDT&amp;E Facility</t>
  </si>
  <si>
    <t>Missile Maintenance Facility (USACE PAX Newsletter, 20 March 2009)</t>
  </si>
  <si>
    <t>Ship and Marine RDT&amp;E Facility</t>
  </si>
  <si>
    <t>14/16</t>
  </si>
  <si>
    <t>Industrial, Engineering (Research &amp; Development) Building, Class B, Average, including elevator</t>
  </si>
  <si>
    <t>Bridge Crane, 10 ton, span = 75 LF, 2 EA</t>
  </si>
  <si>
    <t>Craneway, 200 LF x 2 = 400 LF</t>
  </si>
  <si>
    <t>Overhead door, roll-up, 9'x9' door, 81 SF/door, 3 EA</t>
  </si>
  <si>
    <t>SF of door</t>
  </si>
  <si>
    <t>Overhead door electric operator, 3 EA</t>
  </si>
  <si>
    <t>Dock bumpers, 10 LF, 3 EA</t>
  </si>
  <si>
    <t>Dock leveler, hydraulic, 3 EA</t>
  </si>
  <si>
    <t>Dock seal, 10" projection, 3 EA</t>
  </si>
  <si>
    <t>Dock shelter, 3 EA</t>
  </si>
  <si>
    <t xml:space="preserve">Unified Facilities Criteria (UFC) for Multi-Disciplinary and Facility Specific Design (3-101-01 Architecture; and 4-300 RDT&amp;E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</si>
  <si>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</si>
  <si>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23,353 SF.
The Occupancy Group assigned is B, Business.
</t>
  </si>
  <si>
    <t xml:space="preserve">International Building Code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</si>
  <si>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</si>
  <si>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not included in the building's unit cost.</t>
  </si>
  <si>
    <t xml:space="preserve">UFC 3-101-01, "Architecture," 16 December 2020, with Change 1, 05 January 2021.
UFC 4-300-xx (Series), Research, Development, Test and Evaluation Facilities
Commercial Real Estate Development Association, NAIOP Research Foundation, “NAIOP Terms and Definitions: North American Office and Industrial Market, pg. 12.
UFGS-11 13 19.13, "Loading Dock Levelers," August 2009, with Change 1, May 2019
</t>
  </si>
  <si>
    <t>Tank and Automotive RDT&amp;E Facility</t>
  </si>
  <si>
    <t>Industrial, Engineering (Research &amp; Development) Building, Class B, Average, including elevator (Deduct $2.48/SF for no included elevator)</t>
  </si>
  <si>
    <t>Sprinkler, 15,000 SF, Dry System, Average</t>
  </si>
  <si>
    <t>Bridge Crane, 10 ton, span = 75 LF</t>
  </si>
  <si>
    <t>Craneway, 175 LF x 2 = 350 LF</t>
  </si>
  <si>
    <t>Overhead door, roll-up, 9 FT x 9 FT door, 81 SF/door</t>
  </si>
  <si>
    <t>Overhead door electric operator</t>
  </si>
  <si>
    <t>Dock bumpers, 10 lf, 3 EA</t>
  </si>
  <si>
    <t>Weapons RDT&amp;E Facility</t>
  </si>
  <si>
    <t>Extended Price</t>
  </si>
  <si>
    <t>Bridge Crane, 10 Ton, 1 EA, Span = 50 FT</t>
  </si>
  <si>
    <t>Craneway, 10 Ton, 75 LF x 2 = 150 LF</t>
  </si>
  <si>
    <t>LF to UM</t>
  </si>
  <si>
    <t>Ammunition, Explosive and Toxic RDT&amp;E Facility</t>
  </si>
  <si>
    <t>Laboratory  Building, Class A/B, Average, with complete HVAC, excluding elevator</t>
  </si>
  <si>
    <t>Sprinkler, Dry System, 2,500 SF, Average</t>
  </si>
  <si>
    <t>65/3</t>
  </si>
  <si>
    <t>Fume Hood Unit 4 EA</t>
  </si>
  <si>
    <t>Overhead door, roll-up, 10x12 ft, 2 EA</t>
  </si>
  <si>
    <t>Overhead door, electrical operator, 2 EA</t>
  </si>
  <si>
    <t>Electronic and Communication RDT&amp;E Facility</t>
  </si>
  <si>
    <t>Industrial, Engineering (Research &amp; Development) Building, Class B, Average, including elevator (Deduct $3.32/SF for no included elevator)</t>
  </si>
  <si>
    <t>Propulsion RDT&amp;E Facility</t>
  </si>
  <si>
    <t>RPAD Average  Size</t>
  </si>
  <si>
    <t>Miscellaneous Item and Equipment RDT&amp;E Facility</t>
  </si>
  <si>
    <t>Industrial, Engineering (Research &amp; Development) Building, Class B, Average, including elevator (Deduct $3.32 for no included elevator)</t>
  </si>
  <si>
    <t>Underwater RDT&amp;E Facility</t>
  </si>
  <si>
    <t>Bridge crane, 10 Ton, 50 FT span</t>
  </si>
  <si>
    <t>Craneway, 10 Ton, 100 FT x 2 = 200 FT</t>
  </si>
  <si>
    <t>Craneway electrical conductor assembly, 200 LF</t>
  </si>
  <si>
    <t>Overhead door, roll-up, 81 SF/door</t>
  </si>
  <si>
    <t>Overhead door electric operation</t>
  </si>
  <si>
    <t>Dock bumpers, 10 LF,  1EA</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</si>
  <si>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</si>
  <si>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</si>
  <si>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</si>
  <si>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</si>
  <si>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</si>
  <si>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10,205 SF.
The Occupancy Group assigned is B, Business.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</si>
  <si>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</si>
  <si>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1 loading dock assembly is provided.   
The guide specification for design of a loading dock is contained in the Unified Facilities Guide Specification. 
The average number of floors is 1.90 yielding 1 elevators for the maximum number of occupants applying the Elevator Business Rule. The Marshall and Swift RDT&amp;E building, type 392, Class B building includes an elevator in the basic square foot cost.
</t>
  </si>
  <si>
    <t>One overhead crane is provided, applying the Overhead Crane Business Rule.  A craneway is not included in the building's unit cost.</t>
  </si>
  <si>
    <t xml:space="preserve">UFC 3-101-01, "Architecture," 16 December 2020, with Change 1, 05 January 2021.
Commercial Real Estate Development Association, NAIOP Research Foundation, “NAIOP Terms and Definitions: North American Office and Industrial Market," pg. 12.
UFGS-11 13 19.13, "Loading Dock Levelers," August 2009, with Change 1, May 2019
</t>
  </si>
  <si>
    <t>RDT&amp;E Technical Service Facility</t>
  </si>
  <si>
    <t xml:space="preserve"> Set Equal to FAC 3101</t>
  </si>
  <si>
    <t>FAC 3101</t>
  </si>
  <si>
    <t>RDT&amp;E Range Building</t>
  </si>
  <si>
    <t>Range Classroom Building</t>
  </si>
  <si>
    <t xml:space="preserve">Mission Command Training Center </t>
  </si>
  <si>
    <t>RDT&amp;E Range Facility</t>
  </si>
  <si>
    <t>Control Tower - Standard Small Arms (USACE PAX Newsletter, 31 March 2023)</t>
  </si>
  <si>
    <t>FAC 1321</t>
  </si>
  <si>
    <t>Communications Facility (Marshall and Swift Valuation, October 2022)</t>
  </si>
  <si>
    <t>RDT&amp;E Range Complex</t>
  </si>
  <si>
    <t>Combined ROC/AAR-Digital Range (USACE PAX Newsletter, 04 January 2011)</t>
  </si>
  <si>
    <t>Underground Administrative Facility (USACE PAX Newsletter, 20 Mar 2009)</t>
  </si>
  <si>
    <t>8" Thick Reinforced Concrete Pavement, 4,500 PSI, 12-FT pass (USACE PAX Newsletter, 31 March 2023)</t>
  </si>
  <si>
    <t>Communications Facility (Marshall and Swift Valuation / October 2022)</t>
  </si>
  <si>
    <t>Miscellaneous RDT&amp;E Facility</t>
  </si>
  <si>
    <t xml:space="preserve"> Set Equal to FAC 3712</t>
  </si>
  <si>
    <t>FAC 3712</t>
  </si>
  <si>
    <t>RDT&amp;E Area</t>
  </si>
  <si>
    <t>Aerodynamic Wind Tunnel</t>
  </si>
  <si>
    <t>NASA Construction Data, FY21</t>
  </si>
  <si>
    <t>Construction of new Wind Tunnel FY21</t>
  </si>
  <si>
    <t>Cost from Contract award 47PD0321C0004; construction of Flight Dynamics Research Facility, NASA Langley Research Center, Hampton, VA; September 2021</t>
  </si>
  <si>
    <t>Propulsion Engine Test Cell</t>
  </si>
  <si>
    <t>USACE PAX Newsletter 3.2.2, 4 Jan 2011;
MILCON Projects</t>
  </si>
  <si>
    <t>MILCON</t>
  </si>
  <si>
    <t>Engine Test Cell</t>
  </si>
  <si>
    <t>RPAD Average Size from 2022 RPAD average facility dimensions (276 FT * 89 FT); 13 Assets.</t>
  </si>
  <si>
    <t>Military Cost Premium not applied as cost derived from MILCON</t>
  </si>
  <si>
    <t xml:space="preserve">Cost from MILCON project P-670, Construct Jet Engine Test Cell, MCAS New River, FY2008, and MILCON Project MCAS Cherry Point P990 F-35 Engine Test Facility June 2019
</t>
  </si>
  <si>
    <t xml:space="preserve">Bulk Liquid Fuel Storage </t>
  </si>
  <si>
    <t>BL</t>
  </si>
  <si>
    <t>G3060032505</t>
  </si>
  <si>
    <t>Tank, 6558200 L (55000 bbl), Vertical Abv Grd Tank</t>
  </si>
  <si>
    <t xml:space="preserve">Large Bulk Liquid Fuel Storage </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</si>
  <si>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</si>
  <si>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</si>
  <si>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</si>
  <si>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</si>
  <si>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</si>
  <si>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</si>
  <si>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</si>
  <si>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</si>
  <si>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</si>
  <si>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</si>
  <si>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</si>
  <si>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</si>
  <si>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</si>
  <si>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Small Bulk Storage</t>
  </si>
  <si>
    <t>Underground Storage Tanks, fiberglass, double wall, U.L. listed, 8,000 gal cap, incl. manways, slab &amp; holddown straps</t>
  </si>
  <si>
    <t>EA to GA</t>
  </si>
  <si>
    <t>Above Ground Fuel Storage Tank, Concrete; Includes Pad 8,000 gallon</t>
  </si>
  <si>
    <t>Bulk Liquid Storage, Other Than Fuel</t>
  </si>
  <si>
    <t>Above Ground Fuel Storage Tank, Concrete; Includes Pad 12,000 gallon (USACE PAX 3.2.2 31 March 2023)</t>
  </si>
  <si>
    <t>Underground Storage Tanks, 20,000 gal cap, incl. manways, slab (USACE PAX 3.2.2 31 March 2023)</t>
  </si>
  <si>
    <t>Aboveground Pre-stressed Concrete Tank, Ground Water Storage Tanks (USACE Pax 3.2.2, 25 May 2022)</t>
  </si>
  <si>
    <t>Liquid Oxygen Storage</t>
  </si>
  <si>
    <t>Ammunition Storage, Depot and Arsenal</t>
  </si>
  <si>
    <t>High Explosive Magazine, Large (&gt;5,000 SF)</t>
  </si>
  <si>
    <t>Ammunition Storage, Installation</t>
  </si>
  <si>
    <t>High Explosive Magazine, Small (&lt;5,000 SF)</t>
  </si>
  <si>
    <t>Ammunition Storage Shed, Installation</t>
  </si>
  <si>
    <t>Storage Shed (Covered, not Enclosed)</t>
  </si>
  <si>
    <t>Liquid Propellant Storage, Ammunition Related</t>
  </si>
  <si>
    <t>Welded Steel Pressure Tank, 20,000 GA</t>
  </si>
  <si>
    <t>EA to GA  Conversion</t>
  </si>
  <si>
    <t>Battery Storage, Weapon Related</t>
  </si>
  <si>
    <t>Battery Shop</t>
  </si>
  <si>
    <t>Cold Storage Warehouse, w/o Processing</t>
  </si>
  <si>
    <t>Cold Storage, Depot</t>
  </si>
  <si>
    <t>Cold Storage Bld w/o Processing</t>
  </si>
  <si>
    <t>GP Warehouse, Low-Bay, Up to 16' Stack height, &gt;15,000 SF</t>
  </si>
  <si>
    <t>Avreage</t>
  </si>
  <si>
    <t>Cold Storage, Installation</t>
  </si>
  <si>
    <t>Covered Storage Building, Depot</t>
  </si>
  <si>
    <t>Warehouse/Storage Facilities: Storage Building - Large (&gt; 15,000 SF), High Bay (Stack Height &gt; 16 FT)</t>
  </si>
  <si>
    <t>Covered Storage Shed, Depot</t>
  </si>
  <si>
    <t>Hazardous Materials Storage, Depot</t>
  </si>
  <si>
    <t>Table 2, UFC 3-701-1, Change 5, October 2012</t>
  </si>
  <si>
    <t>Warehouse/Storage Facilities:  Hazardous / Flammable Storage</t>
  </si>
  <si>
    <t>Controlled Humidity Storage, Depot</t>
  </si>
  <si>
    <t>14/24</t>
  </si>
  <si>
    <t>Cold Storage Facility, Class A/B, Average, Moderate Climate HVAC</t>
  </si>
  <si>
    <t>Overhead door, roll-up, standard, 9'x9' doors @ 81 SF, 13 each</t>
  </si>
  <si>
    <t>SF total</t>
  </si>
  <si>
    <t>Dock bumper, horizontal, 10 FT length, each door</t>
  </si>
  <si>
    <t>Dock seal, 10- inch projection</t>
  </si>
  <si>
    <t>Dock shelter</t>
  </si>
  <si>
    <t>Sprinkler, Dry System, 20,000 SF, Average</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</si>
  <si>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</si>
  <si>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</si>
  <si>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21,481 SF, based on 374 records in the 2021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</si>
  <si>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</si>
  <si>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</si>
  <si>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UFC 4-440-01 states that overhead bridge cranes may not be required.  Because bridge cranes are not required, no overhead crane is included, applying the Overhead Crane Business Rule.  </t>
  </si>
  <si>
    <t xml:space="preserve">UFC 4-440-01 provides the criteria for component material.
</t>
  </si>
  <si>
    <t>UFC 4-440-01, "Warehouse and Storage Facilities," 01 October 2014.
NFPA 13, "Standard for the Installation of Fire Sprinkler Systems," 2016 Edition.
UFC 3-600-01, "Fire Protection Engineering for Facilities," 08 August 2016 with Change 6, 06 May 2021.
Commercial Real Estate Development Association, NAIOP Research Foundation, “NAIOP Terms and Definitions: North American Office and Industrial Market."
IBC, 2021 edition.</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</si>
  <si>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</si>
  <si>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</si>
  <si>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</si>
  <si>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</si>
  <si>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</si>
  <si>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Controlled Humidity Storage, Installation</t>
  </si>
  <si>
    <t>Controlled Humidity Warehouse</t>
  </si>
  <si>
    <t>Vehicle Storage, Covered</t>
  </si>
  <si>
    <t>14/34</t>
  </si>
  <si>
    <t>Storage Garage, Class A-B, Average</t>
  </si>
  <si>
    <t>Sprinkler, Wet System, 10,000 SF, Average</t>
  </si>
  <si>
    <t>Storage Silo, Loose Material</t>
  </si>
  <si>
    <t>17/16</t>
  </si>
  <si>
    <t>Material Storage Building, Class S, Average</t>
  </si>
  <si>
    <t>Small Arms Storage, Installation</t>
  </si>
  <si>
    <t>Armory / Weapons Storage Facility</t>
  </si>
  <si>
    <t>Storage and Customer Issue</t>
  </si>
  <si>
    <t>13/28</t>
  </si>
  <si>
    <t>Discount Store, Class A-B, Average</t>
  </si>
  <si>
    <t>13/40</t>
  </si>
  <si>
    <t>Sprinkler, Wet System, 15,000 SF, Average</t>
  </si>
  <si>
    <t>Class B Facility selected for M&amp;S current cost and local multipliers</t>
  </si>
  <si>
    <t>Open Storage, Depot</t>
  </si>
  <si>
    <t>Base course drainage layers, crushed aggregate, spread and compacted, 6" deep</t>
  </si>
  <si>
    <t>Reinforced Concrete Pavement, Fixed Form, 4,500 psi, 8"</t>
  </si>
  <si>
    <t>Open Storage, Installation</t>
  </si>
  <si>
    <t>Reinforced Concrete Pavement, Fixed Form, 4,500 psi, 6"</t>
  </si>
  <si>
    <t>Hospital</t>
  </si>
  <si>
    <t>Inpatient Hospital/Medical Center</t>
  </si>
  <si>
    <t>Varies</t>
  </si>
  <si>
    <t>Medical Laboratory</t>
  </si>
  <si>
    <t>Laboratory Building, Class A-B, Average, including elevators</t>
  </si>
  <si>
    <t>Overhead door, roll-up, standard, 9'x9' doors @ 81 SF, 1 each</t>
  </si>
  <si>
    <t>Dock bumper, horizontal, 10 FT length each door</t>
  </si>
  <si>
    <t>Dock seal, 10-inch projection</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</si>
  <si>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</si>
  <si>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</si>
  <si>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The average area for this FAC is 11,372 SF.  
IBC Business Group B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</si>
  <si>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</si>
  <si>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</si>
  <si>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 xml:space="preserve">UFC 1-200-01, “DoD Building Code,” 8 October 2019, with Change 1, 01 October 2020
UFC 3-600-01, "Fire Protection Engineering for Facilities," 08 August 2016 with Change 6, 06 May 2021.
IBC, 2021 edition
</t>
  </si>
  <si>
    <t>Morgue</t>
  </si>
  <si>
    <t>11/32</t>
  </si>
  <si>
    <t>Mortuary/Funeral Home, Class A-B, Average</t>
  </si>
  <si>
    <t>11/35</t>
  </si>
  <si>
    <t>Veterinary Facility</t>
  </si>
  <si>
    <t>15/28</t>
  </si>
  <si>
    <t>Veterinary Hospital, Class A-B, Average, including elevator (Deduct $4.32/SF for no included elevator)</t>
  </si>
  <si>
    <t>Sprinkler, Wet System, 5,000 SF, Average</t>
  </si>
  <si>
    <t>Medical Warehouse</t>
  </si>
  <si>
    <t>Cold Storage Facility, Class A-B, Average</t>
  </si>
  <si>
    <t>HVAC, Controlled Atmosphere Environmental Buildings, Fruits-Conditioned Air, Moderate Climate</t>
  </si>
  <si>
    <t>Ambulance Shelter</t>
  </si>
  <si>
    <t>Storage Garage, Class B, Average, including elevator</t>
  </si>
  <si>
    <t>Dental Facility</t>
  </si>
  <si>
    <t>Table 2, UFC 3-701-1, 23 May 2018</t>
  </si>
  <si>
    <t>Dental Clinic</t>
  </si>
  <si>
    <t>Dispensary And Clinic</t>
  </si>
  <si>
    <t>Medical Clinic (Small, Free Standing &lt; 60,000 SF)</t>
  </si>
  <si>
    <t>Ambulatory Care Clinic</t>
  </si>
  <si>
    <t>Table 2, UFC 3-701-1, Change 5, 3 February 2020</t>
  </si>
  <si>
    <t>Medical Clinic (Large, Free Standing &gt; 60,000 SF)</t>
  </si>
  <si>
    <t>General Administrative Building</t>
  </si>
  <si>
    <t>Administrative Facilities: Multi-Purpose Admin</t>
  </si>
  <si>
    <t>Small Unit Headquarters Building</t>
  </si>
  <si>
    <t>Headquarters/Operations Buildings: Company Level (Lowest Level)</t>
  </si>
  <si>
    <t>Large Unit Headquarters Building</t>
  </si>
  <si>
    <t>Headquarters/Operations Buildings: Brigade/Division Wing HQs
(Upper Level)</t>
  </si>
  <si>
    <t>Printing And Reproduction Plant</t>
  </si>
  <si>
    <t>Industrial, Light Manufacturing, Class B, Average</t>
  </si>
  <si>
    <t>Automated Data Processing Center</t>
  </si>
  <si>
    <t>Table 2, UFC 3-701-1, Change 10, May 2016</t>
  </si>
  <si>
    <t>Administrative Facilities, Data Processing Area Facility (Includes Admin and Storage)</t>
  </si>
  <si>
    <t>Pentagon</t>
  </si>
  <si>
    <t>WHS-reported Construction Cost</t>
  </si>
  <si>
    <t>FY22 PUC</t>
  </si>
  <si>
    <t>Remote Delivery Facility</t>
  </si>
  <si>
    <t>USACE PAX Newsletter 3.2.2, 30 May 2018</t>
  </si>
  <si>
    <t>Engineering/Housing Maintenance Shop</t>
  </si>
  <si>
    <t>WHS CATCODE is 219252, Engineer Maintenance Facility/Remote Delivery Facility</t>
  </si>
  <si>
    <t>General Admin Building, High-Rise</t>
  </si>
  <si>
    <t>15/17</t>
  </si>
  <si>
    <t>Office Building, Class A, Good, including elevators</t>
  </si>
  <si>
    <t>Multistory Premium; 1/2% for each story over 3 (Assumed number of stories = 16)</t>
  </si>
  <si>
    <t>Sprinkler, Wet System, 300,000 SF, Good</t>
  </si>
  <si>
    <t>Administrative Building, Underground</t>
  </si>
  <si>
    <t>Underground Administrative Facility</t>
  </si>
  <si>
    <t>Alternate Joint Communications Center</t>
  </si>
  <si>
    <t>Table 2, UFC 3-701-1, 17 March 2022 
USACE PAX Newsletter 3.2.2, 20 March 2009</t>
  </si>
  <si>
    <t>Communications Buildings:  Communications Facility</t>
  </si>
  <si>
    <t>NA;  GUCs are as of October 2020</t>
  </si>
  <si>
    <t>Underground Administrative Facility (USACE PAX Newsletter 3.2.2, 20 March 2009)</t>
  </si>
  <si>
    <t>Administrative Structure, Other Than Buildings</t>
  </si>
  <si>
    <t>Flagpole, 50', Tapered Aluminum, Concrete Foundation</t>
  </si>
  <si>
    <t>66/5</t>
  </si>
  <si>
    <t>Scoreboard, Outdoor, &gt;75 SF</t>
  </si>
  <si>
    <t>64/3</t>
  </si>
  <si>
    <t>Poles for Scoreboard, 8 IN diameter, 15 FT, 2 EA</t>
  </si>
  <si>
    <t>Sub-total Scoreboard and Poles</t>
  </si>
  <si>
    <t>Average of Scoreboard and Flagpole</t>
  </si>
  <si>
    <t>Family Housing Dwelling</t>
  </si>
  <si>
    <t>General Officer, Grade O7 - O8, CONUS</t>
  </si>
  <si>
    <t>Colonel/Captain, Grade O6</t>
  </si>
  <si>
    <t xml:space="preserve">Lt Colonel &amp; Major, Grade O4 &amp; O5 / Warrant Officer, 4 Bedrooms </t>
  </si>
  <si>
    <t>CO Grade, Officer, O1-O3; 4 Bedrooms</t>
  </si>
  <si>
    <t>Senior NCO, Grade E9, 3 Bedrooms</t>
  </si>
  <si>
    <t>Senior NCO, Grade E7&amp;E8, 3 Bedrooms</t>
  </si>
  <si>
    <t>Junior NCO/Enlisted, Grade E1 - E6, 4 Bedrooms</t>
  </si>
  <si>
    <t>Average Reference Size</t>
  </si>
  <si>
    <t>Family Housing High Rise Building</t>
  </si>
  <si>
    <t xml:space="preserve">Enlisted Family Housing - OCONUS </t>
  </si>
  <si>
    <t>Family Housing Individual Trailer Site</t>
  </si>
  <si>
    <t>Space Modifier
(40 Spaces)</t>
  </si>
  <si>
    <t>63/3</t>
  </si>
  <si>
    <t>Manufactured Housing Park, Average, including utilities, grading, engineering</t>
  </si>
  <si>
    <t>SPACE</t>
  </si>
  <si>
    <t>SPACE to SY</t>
  </si>
  <si>
    <t>Marshall and Swift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</si>
  <si>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</si>
  <si>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</si>
  <si>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</si>
  <si>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</si>
  <si>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</si>
  <si>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</si>
  <si>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Concrete Slab, unreinforced, 100 SF </t>
  </si>
  <si>
    <t>Miscellaneous Family Housing Support Facility</t>
  </si>
  <si>
    <t>17/12</t>
  </si>
  <si>
    <t>Light Commercial Utility Building, Class C, Average</t>
  </si>
  <si>
    <t>Sprinkler, 2500 SF, Wet System, Average</t>
  </si>
  <si>
    <t>Trailer Court Support Facility</t>
  </si>
  <si>
    <t>Office Building, Class C, Average</t>
  </si>
  <si>
    <t>Sprinkler, 3,000 SF, Wet System,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</si>
  <si>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</si>
  <si>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</si>
  <si>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</si>
  <si>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</si>
  <si>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</si>
  <si>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</si>
  <si>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</si>
  <si>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</si>
  <si>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</si>
  <si>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 xml:space="preserve">Unaccompanied Personnel Housing: Barracks - Student Dorms, Advance Training </t>
  </si>
  <si>
    <t>Unaccompanied Housing for Wounded Warriors</t>
  </si>
  <si>
    <t>15/26</t>
  </si>
  <si>
    <t>Convalescent Hospital, Class B, Average, with Elevators</t>
  </si>
  <si>
    <t>Sprinkler, Wet System, average, 75,000 SF</t>
  </si>
  <si>
    <t>Overhead door, roll-up, 81 SF/door (9' X 9'), 2 EA</t>
  </si>
  <si>
    <t>Overhead door electrical operator</t>
  </si>
  <si>
    <t>Dock bumpers, horizontal, 10 LF/door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</si>
  <si>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</si>
  <si>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</si>
  <si>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</si>
  <si>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The average area for this FAC is 63,6780 SF.  
Classified as International Building Code (IBC) Group I (Institutional).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</si>
  <si>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</si>
  <si>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Four (4)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</si>
  <si>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</si>
  <si>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 xml:space="preserve">UFC 4-510-01, "Design: Military Medical Facilities,"  30 May 2019, with Change 1, 04 December  2019. 
UFC 4-720-01 "Lodging Facilities," 13 February 2012. Per DoD requirements, provide accessible rooms per Table F224.2 of the ABA Accessibility Standard for DoD facilities.
FC 4-721-10N, "Navy and Marine Corps Unaccompanied Housing," 1 November 2012, with Change 6, 1 May 2015. 
UFC 3-600-01, "Fire Protection Engineering for Facilities," 8 August 2016 with Change 6, 6 May 2021.
IBC, 2021 Edition.
UFC 3-101-01, "Architecture," 16 December 2020, with Change 1, 05 January 2022.                                                                                                                                                                                        </t>
  </si>
  <si>
    <t>Recruit/Trainee Barracks</t>
  </si>
  <si>
    <t xml:space="preserve">Unaccompanied Personnel Housing:  Barracks - Student Dormitories, Advance Training </t>
  </si>
  <si>
    <t>Dining Facility</t>
  </si>
  <si>
    <t>Dining Facility, Enlisted Dining (includes kitchen equipment and installation)</t>
  </si>
  <si>
    <t>Miscellaneous UPH Support Building</t>
  </si>
  <si>
    <t>13/25</t>
  </si>
  <si>
    <t>Laundromat, Class C, Average</t>
  </si>
  <si>
    <t>11/14</t>
  </si>
  <si>
    <t>Dormitory, Class C, Average, including elevator (Deduct $4.56/SF for no included elevator)</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</si>
  <si>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</si>
  <si>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</si>
  <si>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</si>
  <si>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</si>
  <si>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3,329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</si>
  <si>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</si>
  <si>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</si>
  <si>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</si>
  <si>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</si>
  <si>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</si>
  <si>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</si>
  <si>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 xml:space="preserve">Parking Garage / Building </t>
  </si>
  <si>
    <t>Dining Support Facility</t>
  </si>
  <si>
    <t>13/15</t>
  </si>
  <si>
    <t>Restaurants/Cafeterias, Class C, Average</t>
  </si>
  <si>
    <t>Latrine/Shower Facility</t>
  </si>
  <si>
    <t>18/22</t>
  </si>
  <si>
    <t>Shower Room Building, Class C, Average</t>
  </si>
  <si>
    <t>18/36</t>
  </si>
  <si>
    <t>Miscellaneous UPH Support Facility</t>
  </si>
  <si>
    <t>64/4</t>
  </si>
  <si>
    <t>Car Wash Canopy, Class CDS, Average</t>
  </si>
  <si>
    <t>Assumed Size: 40 FT x 20FT</t>
  </si>
  <si>
    <t>Unaccompanied Personnel Housing Carport</t>
  </si>
  <si>
    <t>Officer Unaccompanied Personnel Housing</t>
  </si>
  <si>
    <t>Table 2, UFC 3-701-1 as of April 2017</t>
  </si>
  <si>
    <t>Unaccompanied Personnel Housing, Officers Quarters (does not include kitchentte equipment)</t>
  </si>
  <si>
    <t>Officer UPH, Transient</t>
  </si>
  <si>
    <t>Service Academy Unaccompanied Personnel Housing</t>
  </si>
  <si>
    <t>Dormitory, Class B, Very Good - includes elevators</t>
  </si>
  <si>
    <t>Add .5% for every Story over 3</t>
  </si>
  <si>
    <t>Sprinkler, Wet System, 30,000 SF, Good</t>
  </si>
  <si>
    <t>Emergency Unaccompanied Personnel Housing</t>
  </si>
  <si>
    <t>Enlisted Unaccompanied Personnel Housing (EUPH) Tent Pad</t>
  </si>
  <si>
    <t xml:space="preserve">Inflation Adjustment by MILCON Index 
</t>
  </si>
  <si>
    <t>Rough Grading, Dumped Material Spread by Dozer, No Compaction</t>
  </si>
  <si>
    <t>CY to SF</t>
  </si>
  <si>
    <t>Fine Grading, Granular Subbase fpasses, 6" lifts, riding, sheepsfoot roller</t>
  </si>
  <si>
    <t>1-1/2" Crushed Stone Base to 4" Deep</t>
  </si>
  <si>
    <t>6" Thick, Unreinforced Concrete Pavement, 4,500 PSI</t>
  </si>
  <si>
    <t>Fire Station Facility</t>
  </si>
  <si>
    <t>Fire Station, Community</t>
  </si>
  <si>
    <t>Prison/Confinement Facility</t>
  </si>
  <si>
    <t>Correctional Facility, Class C, Average; does not include elevator</t>
  </si>
  <si>
    <t>Police Station</t>
  </si>
  <si>
    <t>Police Station, Class C, Average, without elevator</t>
  </si>
  <si>
    <t>Sprinkler, 5,000 SF, Wet System, Average</t>
  </si>
  <si>
    <t>Drug and Alcohol Abuse Center</t>
  </si>
  <si>
    <t>15/22</t>
  </si>
  <si>
    <t>Medical Office Building, Class C, Average</t>
  </si>
  <si>
    <t>Bread/Pastry Kitchen</t>
  </si>
  <si>
    <t>14/40</t>
  </si>
  <si>
    <t>Bakery Plant; Class C, D, &amp; S; including heating and/or cooling (Marshall and Swift Valuation, October 2017)</t>
  </si>
  <si>
    <t>Sprinkler, 40,000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</si>
  <si>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</si>
  <si>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</si>
  <si>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</si>
  <si>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</si>
  <si>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</si>
  <si>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</si>
  <si>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</si>
  <si>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</si>
  <si>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</si>
  <si>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</si>
  <si>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</si>
  <si>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</si>
  <si>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</si>
  <si>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</si>
  <si>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</si>
  <si>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Average, per LF, 10 LF per hood</t>
  </si>
  <si>
    <t>53/12</t>
  </si>
  <si>
    <t>Restaurant Hood and Duct, Dry chemical system fire extinguisher, per nozzle, Average, 2 nozzles EA</t>
  </si>
  <si>
    <t>Non-Exchange Eating Facility</t>
  </si>
  <si>
    <t>Set Equal to FAC 7331</t>
  </si>
  <si>
    <t>Open Mess and Club Facility</t>
  </si>
  <si>
    <t>11/30</t>
  </si>
  <si>
    <t>Club House, Class C, Good</t>
  </si>
  <si>
    <t>Sprinkler, 15,000 SF, Wet System, Good</t>
  </si>
  <si>
    <t>Range hood, Complete, per LF, 10 LF, 2 EA</t>
  </si>
  <si>
    <t>Restaurant Hood and Duct, Dry Chemical Fire Protection System , 4 nozzles, per nozzle, Average</t>
  </si>
  <si>
    <t>Thrift Shop</t>
  </si>
  <si>
    <t>13/26</t>
  </si>
  <si>
    <t>Retail Store, Class C, Average</t>
  </si>
  <si>
    <t>Bus Station</t>
  </si>
  <si>
    <t>14/20</t>
  </si>
  <si>
    <t>Passenger Terminal, Class C, Average</t>
  </si>
  <si>
    <t>Laundry/Dry Cleaning Facility</t>
  </si>
  <si>
    <t>Central laundry and dry cleaning plant, average cost (Marshall and Swift Valuation, October 2017)</t>
  </si>
  <si>
    <t>Loading Dock, steel piers</t>
  </si>
  <si>
    <t>Loading Dock Roof, Good canopy structure with lighting and finished soffit</t>
  </si>
  <si>
    <t>Sprinkler, 5,000 SF, Wet system, Average</t>
  </si>
  <si>
    <t>Clothing Sales Store</t>
  </si>
  <si>
    <t>Set Equal to FAC 7346</t>
  </si>
  <si>
    <t>Postal Facility</t>
  </si>
  <si>
    <t>14/21</t>
  </si>
  <si>
    <t>Main Post Office, Class C, Average</t>
  </si>
  <si>
    <t>Loading dock Steel or concrete piers, heavy slab, steel bumper, 200 SF</t>
  </si>
  <si>
    <t>SF of Load Dock</t>
  </si>
  <si>
    <t>Exchange Automobile Facility</t>
  </si>
  <si>
    <t>64/1</t>
  </si>
  <si>
    <t>Service Station with Service Bays, Class S-C, Average</t>
  </si>
  <si>
    <t>Exchange Sales Facility</t>
  </si>
  <si>
    <t>Retail store, Class C, Average</t>
  </si>
  <si>
    <t>Bank and Credit Union</t>
  </si>
  <si>
    <t>15/21</t>
  </si>
  <si>
    <t>Bank - Branches, Class C, Average, including elevator (Deduct $3.21/SF for no included elevator)</t>
  </si>
  <si>
    <t>Sprinkler,5,000 SF, Wet System, Average</t>
  </si>
  <si>
    <t>Car Wash Facility</t>
  </si>
  <si>
    <t>RPAD Ave Size</t>
  </si>
  <si>
    <t>64/5</t>
  </si>
  <si>
    <t>Self-Serve Car Wash, C, Average</t>
  </si>
  <si>
    <t>Commissary</t>
  </si>
  <si>
    <t>13/20</t>
  </si>
  <si>
    <t>Supermarket, Class C, Average</t>
  </si>
  <si>
    <t>Sprinkler, Wet System, Average, 50,000 SF</t>
  </si>
  <si>
    <t>Dock leveler, 8 EA</t>
  </si>
  <si>
    <t>per SF</t>
  </si>
  <si>
    <t>Car Wash Structure</t>
  </si>
  <si>
    <t>Education Center</t>
  </si>
  <si>
    <t>18/12</t>
  </si>
  <si>
    <t>Vocational School, Class C, Average</t>
  </si>
  <si>
    <t>Sprinkler, Wet System, Average, 10,000 SF</t>
  </si>
  <si>
    <t>18/35</t>
  </si>
  <si>
    <t xml:space="preserve">  Elevator, Passenger, base cost, 2 to 3 stories, Average</t>
  </si>
  <si>
    <t>/SF</t>
  </si>
  <si>
    <t>Dependent School</t>
  </si>
  <si>
    <t>Dependent School Facility</t>
  </si>
  <si>
    <t>Dependent School Support Facility</t>
  </si>
  <si>
    <t>18/21</t>
  </si>
  <si>
    <t>Restroom Building, Class C Average</t>
  </si>
  <si>
    <t>Maintenance/Storage Building, Class C, Average</t>
  </si>
  <si>
    <t>18/23</t>
  </si>
  <si>
    <t>Fieldhouse, Class C, Average</t>
  </si>
  <si>
    <t>Sprinkler, Wet System, 5,000 SF, Good</t>
  </si>
  <si>
    <t>Chapel Facility</t>
  </si>
  <si>
    <t>Chapel, including Pew Seating</t>
  </si>
  <si>
    <t>Religious Education Facility</t>
  </si>
  <si>
    <t>Current Cost Adjustment</t>
  </si>
  <si>
    <t>18/14</t>
  </si>
  <si>
    <t>Classroom, Class C, Average</t>
  </si>
  <si>
    <t>Sprinkler, Wet System, Average, 5000 SF</t>
  </si>
  <si>
    <t>% &gt; 12,000 SF</t>
  </si>
  <si>
    <t>Nursery and Child Care Facility</t>
  </si>
  <si>
    <t>Child Development Center, Under 6 Years Old</t>
  </si>
  <si>
    <t>Family Service Center</t>
  </si>
  <si>
    <t>15/31</t>
  </si>
  <si>
    <t>Community Service Building, Class C, Average</t>
  </si>
  <si>
    <t>Homeless Support Facility</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</si>
  <si>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</si>
  <si>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</si>
  <si>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</si>
  <si>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</si>
  <si>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</si>
  <si>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</si>
  <si>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</si>
  <si>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</si>
  <si>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</si>
  <si>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</si>
  <si>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</si>
  <si>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</si>
  <si>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Restroom Building, Class C, Average</t>
  </si>
  <si>
    <t xml:space="preserve">Sprinkler, Wet System, Average, 3,000 SF </t>
  </si>
  <si>
    <t>Ceremonial Hall</t>
  </si>
  <si>
    <t>Fieldhouse, Class C, Good</t>
  </si>
  <si>
    <t>Sprinkler, Wet System, Good, 30,000 SF</t>
  </si>
  <si>
    <t>Exchange Support Facility</t>
  </si>
  <si>
    <t>14/23</t>
  </si>
  <si>
    <t>Distribution Warehouse, Class C, Average</t>
  </si>
  <si>
    <t>14/32</t>
  </si>
  <si>
    <t>Service (Repair) Garage, Class C, Average</t>
  </si>
  <si>
    <t xml:space="preserve">Average of four building types </t>
  </si>
  <si>
    <t>Sprinkler, Wet System, Average, 5,000 SF</t>
  </si>
  <si>
    <t>Exchange Warehouse</t>
  </si>
  <si>
    <t>Warehouse/Storage Facility: General Purpose - Large
( &gt;15,000 SF),  Low-Bay (Stack Height &lt; 16 FT)</t>
  </si>
  <si>
    <t>Private Vehicle Inspection Facility</t>
  </si>
  <si>
    <t>Service Garage, Class C, Average</t>
  </si>
  <si>
    <t>Sprinkler, Wet System, Average, 3,000 SF, Wet System</t>
  </si>
  <si>
    <t>Hobby And Craft Center</t>
  </si>
  <si>
    <t xml:space="preserve">Sprinkler, Wet System, Average, 10,000 SF </t>
  </si>
  <si>
    <t>Automobile Craft Center</t>
  </si>
  <si>
    <t>Golf Club House and Sales</t>
  </si>
  <si>
    <t>Clubhouse, Class C, Average</t>
  </si>
  <si>
    <t>Club and Organization Building</t>
  </si>
  <si>
    <t>Bowling Center</t>
  </si>
  <si>
    <t>16/22</t>
  </si>
  <si>
    <t>Bowling Center, Class C, Average</t>
  </si>
  <si>
    <t>16/25</t>
  </si>
  <si>
    <t xml:space="preserve">Sprinkler, Wet System, Average, 15,000 SF </t>
  </si>
  <si>
    <t>Library, General Use</t>
  </si>
  <si>
    <t>15/32</t>
  </si>
  <si>
    <t>Library, Class C, Average</t>
  </si>
  <si>
    <t>Recreation Center</t>
  </si>
  <si>
    <t>16/18</t>
  </si>
  <si>
    <t>Community Recreation Center, Class C, Average</t>
  </si>
  <si>
    <t>Indoor Skating Rink</t>
  </si>
  <si>
    <t>16/20</t>
  </si>
  <si>
    <t>Ice Skating Rink, Class C, Average</t>
  </si>
  <si>
    <t xml:space="preserve">Sprinkler, Wet System, Average, 20,000 SF </t>
  </si>
  <si>
    <t>Indoor Physical Fitness Facility</t>
  </si>
  <si>
    <t>Physical Fitness Training Facility</t>
  </si>
  <si>
    <t>Indoor Swimming Pool</t>
  </si>
  <si>
    <t>Natatorium, Class C, Average</t>
  </si>
  <si>
    <t>Auditorium and Theater Facility</t>
  </si>
  <si>
    <t>16/13</t>
  </si>
  <si>
    <t>Theater, Cinema, Class C, Average</t>
  </si>
  <si>
    <t>65/10</t>
  </si>
  <si>
    <t>Theater seats, neighborhood theater type, upholstered; assume 1,000 seats</t>
  </si>
  <si>
    <t xml:space="preserve">EA </t>
  </si>
  <si>
    <t xml:space="preserve">EA to SF </t>
  </si>
  <si>
    <t>Community Activities / Conference Center</t>
  </si>
  <si>
    <t>Community Recreation Center, Class C, Good</t>
  </si>
  <si>
    <t>Sprinkler, Wet System, Good, 10,000 SF</t>
  </si>
  <si>
    <t>Transient  Lodging</t>
  </si>
  <si>
    <t>Transient Training Officers Quarters (Newsletter, 20 March 2020)</t>
  </si>
  <si>
    <t>Senior Enlisted Officers Quarters, Transient (Newsletter, 16 May 2016)</t>
  </si>
  <si>
    <t>Recreational Lodging</t>
  </si>
  <si>
    <t>12/14</t>
  </si>
  <si>
    <t>Lodges, Class C, Average</t>
  </si>
  <si>
    <t>12/39</t>
  </si>
  <si>
    <t>Transient And Recreational Lodging Support Facility</t>
  </si>
  <si>
    <t>Stable</t>
  </si>
  <si>
    <t>17/36</t>
  </si>
  <si>
    <t xml:space="preserve">Stable, Class C, Average </t>
  </si>
  <si>
    <t>Boathouse</t>
  </si>
  <si>
    <t>Boat Storage Building, Class S (substitute for C), Average</t>
  </si>
  <si>
    <t>MWR Sales and Rental Building</t>
  </si>
  <si>
    <t>Sprinkler, 3,000 SF, wet, average</t>
  </si>
  <si>
    <t>MWR Storage Building</t>
  </si>
  <si>
    <t xml:space="preserve">Storage Building, Unheated </t>
  </si>
  <si>
    <t>General Purpose (GP) Warehouse, Installation, Low-Bay, Up to 16 FT Stack Height, &lt; 15,000 SF</t>
  </si>
  <si>
    <t>Recreational Support Building</t>
  </si>
  <si>
    <t>Mechanical Building, Class "S" (Marshall And Swift Valuation, October 2017)</t>
  </si>
  <si>
    <t>Sprinkler, Wet, 2,500 SF, Average</t>
  </si>
  <si>
    <t>Extra Hazard</t>
  </si>
  <si>
    <t>Retail Kennel</t>
  </si>
  <si>
    <t>15/27</t>
  </si>
  <si>
    <t>Kennel, Class C,  Good</t>
  </si>
  <si>
    <t>Sprinkler, Wet, 3,000 SF, Average</t>
  </si>
  <si>
    <t>66/4</t>
  </si>
  <si>
    <t>Outdoor Kennel Run, $5.08 per SF (Wire Mesh on Steel Posts [Wall Area]),  20 FT *40 FT Enclosure, 8 FT high, 960 SF</t>
  </si>
  <si>
    <t>Outdoor Kennel Run, Mesh Cover (Roof Area), 800 SF @ $6.06/SF</t>
  </si>
  <si>
    <t>Gate, Kennel Run, 4 Each</t>
  </si>
  <si>
    <t>Playground</t>
  </si>
  <si>
    <t>Unit Cost (SF)</t>
  </si>
  <si>
    <t>Playground for Preschool Children, Large (USACE PAX 3.2.2. 31 March 2023)</t>
  </si>
  <si>
    <t>Playground for Preschool Children, Medium (USACE PAX 3.2.2. 16 May 2016)</t>
  </si>
  <si>
    <t>Playground for Preschool Children, Small (USACE PAX 3.2.2. 16 May 2016)</t>
  </si>
  <si>
    <t>Playground for Youth Center (USACE PAX 3.2.2. 16 May 2016)</t>
  </si>
  <si>
    <t>Outdoor Swimming Pool</t>
  </si>
  <si>
    <t>Pour Concrete Pool, 25 M x 50 M = 13,455 SF Surface Area</t>
  </si>
  <si>
    <t xml:space="preserve">Poured Commercial Concrete Pool, 13,455 SF </t>
  </si>
  <si>
    <t>Deduct 20% for gunnite pools</t>
  </si>
  <si>
    <t>Decking, 11,238 SF, 4" concrete, unreinforced</t>
  </si>
  <si>
    <t>Add for mesh reinforcing for deck</t>
  </si>
  <si>
    <t>Fence, 6 FT, #9 wire, per LF (Add $2.86/LF for Rails)</t>
  </si>
  <si>
    <t>LF/EA</t>
  </si>
  <si>
    <t>Gates, 5 FT wide, 6 FT high, 4 EA</t>
  </si>
  <si>
    <t>Golf Course</t>
  </si>
  <si>
    <t>Average of</t>
  </si>
  <si>
    <t>67/1</t>
  </si>
  <si>
    <t>Class II, Simply designed course, no Driving Range, 18 holes</t>
  </si>
  <si>
    <t>Hole</t>
  </si>
  <si>
    <t>Holes/EA</t>
  </si>
  <si>
    <t>Class II, Simply designed course, no Driving Range, 9 holes</t>
  </si>
  <si>
    <t>Golf Driving Range</t>
  </si>
  <si>
    <t>67/2</t>
  </si>
  <si>
    <t xml:space="preserve">Lighted driving range, assume 20 stations </t>
  </si>
  <si>
    <t>Station</t>
  </si>
  <si>
    <t>Stations/EA</t>
  </si>
  <si>
    <t>Golf Pitch and Putt Course</t>
  </si>
  <si>
    <t>Pitch and putt course, Average, 9 holes</t>
  </si>
  <si>
    <t>Outdoor Recreation Area</t>
  </si>
  <si>
    <t>Fairfax County VA Park Authority</t>
  </si>
  <si>
    <t>Outdoor Recreation Area, FY22 PUC</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</si>
  <si>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</si>
  <si>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</si>
  <si>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</si>
  <si>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</si>
  <si>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</si>
  <si>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</si>
  <si>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</si>
  <si>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</si>
  <si>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 xml:space="preserve"> Section</t>
  </si>
  <si>
    <t>Average of 1 Tennis Court and 2  Basketball courts</t>
  </si>
  <si>
    <t>67/7</t>
  </si>
  <si>
    <t>Tennis Court, 7,200 SF (with apron), concrete, net, striping</t>
  </si>
  <si>
    <t>Lighting (Assume 50% lighting)</t>
  </si>
  <si>
    <t>Fencing</t>
  </si>
  <si>
    <t>Subtotal</t>
  </si>
  <si>
    <t>67/3</t>
  </si>
  <si>
    <t>Synthetic Basketball Court (94 FT x 50 FT with a 10 FT apron)</t>
  </si>
  <si>
    <t>66/10</t>
  </si>
  <si>
    <t>Paving, asphalt, reinforced, 4" - 6" thick</t>
  </si>
  <si>
    <t>Basketball Backstop, with pole</t>
  </si>
  <si>
    <t>per court</t>
  </si>
  <si>
    <t>Assume 2 basketball courts / 5% deduction for multiple courts</t>
  </si>
  <si>
    <t>Athletic Field</t>
  </si>
  <si>
    <t xml:space="preserve">Design Size </t>
  </si>
  <si>
    <t>Multipurpose Athletics Field (360' x 160')</t>
  </si>
  <si>
    <t>Running Track</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</si>
  <si>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</si>
  <si>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</si>
  <si>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</si>
  <si>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</si>
  <si>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</si>
  <si>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</si>
  <si>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</si>
  <si>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</si>
  <si>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</si>
  <si>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</si>
  <si>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</si>
  <si>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</si>
  <si>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</si>
  <si>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 space)</t>
  </si>
  <si>
    <t>Car Space</t>
  </si>
  <si>
    <t>Car Spaces / EA</t>
  </si>
  <si>
    <t>Assume 75 Cars</t>
  </si>
  <si>
    <t>Recreational Camp and Trailer Park</t>
  </si>
  <si>
    <t># of Spaces Modifier (40 Spaces)</t>
  </si>
  <si>
    <t>63/2</t>
  </si>
  <si>
    <t>Trailer and Recreational Vehicle Parks, Low Cost, per space; Assume 40 Spaces; includes paving, utilities, and associated site facilities</t>
  </si>
  <si>
    <t>Space</t>
  </si>
  <si>
    <t>Spaces/EA</t>
  </si>
  <si>
    <t>Miscellaneous Outdoor Recreation Facility</t>
  </si>
  <si>
    <t>Tennis Court, Concrete 7200 SF, lighting, fenced</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</si>
  <si>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</si>
  <si>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</si>
  <si>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</si>
  <si>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</si>
  <si>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</si>
  <si>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</si>
  <si>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</si>
  <si>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</si>
  <si>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</si>
  <si>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</si>
  <si>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</si>
  <si>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</si>
  <si>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</si>
  <si>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 per SF,</t>
  </si>
  <si>
    <t>Goal posts, per pair</t>
  </si>
  <si>
    <t>Total for football</t>
  </si>
  <si>
    <t>Soccer</t>
  </si>
  <si>
    <t>Lawn seeding</t>
  </si>
  <si>
    <t>Jogging Trail</t>
  </si>
  <si>
    <t>Soil preparation, fine grading</t>
  </si>
  <si>
    <t>Mulching</t>
  </si>
  <si>
    <t>Edging, redwood (2 edges per trail)</t>
  </si>
  <si>
    <t>Total for Jogging Trail</t>
  </si>
  <si>
    <t>Subtotal, all facilities</t>
  </si>
  <si>
    <t>Note: see footnotes for sizing of fields</t>
  </si>
  <si>
    <t>Average facility cost</t>
  </si>
  <si>
    <t>Museum</t>
  </si>
  <si>
    <t>16/19</t>
  </si>
  <si>
    <t>Museum, C, Good</t>
  </si>
  <si>
    <t>Monument and Memorial</t>
  </si>
  <si>
    <t>Industry Study, 2023</t>
  </si>
  <si>
    <t>Premium Upright Monument</t>
  </si>
  <si>
    <t>Price List from Rome Monument CO, Rochester, PA 2023 Brochure</t>
  </si>
  <si>
    <t>Cemetery</t>
  </si>
  <si>
    <t>Columbarium</t>
  </si>
  <si>
    <t>Mausoleum, Niche, Average</t>
  </si>
  <si>
    <t>Niche</t>
  </si>
  <si>
    <t>Niche / CF</t>
  </si>
  <si>
    <t>Niche's do not come in standard size; Niches at Arlington National Cemetery are 10"W x 14"H x 19"D, or 1.54 CF</t>
  </si>
  <si>
    <t>Pentagon Memorial</t>
  </si>
  <si>
    <t>WHS MILCON Project Cost</t>
  </si>
  <si>
    <t>Project Cost Line Item for 184 Memorials</t>
  </si>
  <si>
    <t>Memorials</t>
  </si>
  <si>
    <t>Cost from MILCON project DD Form 1354; constructed in 2008.  
Area adjustment =  2023 DoD Area Cost Factor for Arlington, VA. (1.05).
184 Memorial Units (EA) at the Pentagon Memorial.</t>
  </si>
  <si>
    <t>Cost per Memorial Unit</t>
  </si>
  <si>
    <t>Military Cost Premium not multiplied as cost derived from MILCON</t>
  </si>
  <si>
    <t>Electrical Power Source, Plant</t>
  </si>
  <si>
    <t>KW</t>
  </si>
  <si>
    <t>Unit Cost (EA)</t>
  </si>
  <si>
    <t>Reference Size (KW)</t>
  </si>
  <si>
    <t>Standby Generator, Diesel, 3 Phase / 4 Wire, 277/480 Volts,
500 KW</t>
  </si>
  <si>
    <t>KW/EA</t>
  </si>
  <si>
    <t>Stand-By/Emergency Power</t>
  </si>
  <si>
    <t>Standby Generator, Diesel, 3 Phase / 4 Wire, 277/480 Volts,
125 KW</t>
  </si>
  <si>
    <t>Standby Generator, Diesel, 3 Phase / 4 Wire, 277/480 Volts,
200 KW</t>
  </si>
  <si>
    <t>Standby Generator, Diesel, 3 Phase / 4 Wire, 277/480 Volts,
300 KW</t>
  </si>
  <si>
    <t>Standby Generator, Diesel, 3 Phase / 4 Wire, 277/480 Volts,
400 KW</t>
  </si>
  <si>
    <t>Electrical Power Source, Hydroelectric</t>
  </si>
  <si>
    <t>MW</t>
  </si>
  <si>
    <t>Generating Plant, Hydropower</t>
  </si>
  <si>
    <t>KW to MW</t>
  </si>
  <si>
    <t>1 assets in the 2022 RPAD</t>
  </si>
  <si>
    <t>Electrical Power Source, Wind Generated</t>
  </si>
  <si>
    <t>Wind power turbine</t>
  </si>
  <si>
    <t>Electrical Power Source, Photovoltaic</t>
  </si>
  <si>
    <t>54/5</t>
  </si>
  <si>
    <t>Solar Module, 300 W, High Cost</t>
  </si>
  <si>
    <t>Watts</t>
  </si>
  <si>
    <t>KWatts/Module</t>
  </si>
  <si>
    <t xml:space="preserve">Industrial Inverter, 3-Phase, grid-tie, 300 KW, High Cost </t>
  </si>
  <si>
    <t>KW per system</t>
  </si>
  <si>
    <t>Charge Controller, 60 amp, 20 each, High Cost</t>
  </si>
  <si>
    <t>EA to KW</t>
  </si>
  <si>
    <t>Industrial Deep-Cycle Battery Pack, 24 volt, High Cost  18 EA</t>
  </si>
  <si>
    <t>Electrical Power Distribution Line, Overhead</t>
  </si>
  <si>
    <t>H-Frame Distribution Lines, 15-69 KV, Short Lines with Cross Arms and Insulators</t>
  </si>
  <si>
    <t>to LF</t>
  </si>
  <si>
    <t>Overhead Lines below 15 KV, with Cross Arms and Insulators</t>
  </si>
  <si>
    <t>Exterior Lighting, Pole</t>
  </si>
  <si>
    <t>Site Lighting w/light pole &amp; Light Fixture Assembly, incl ug distr, HP Sodium, 400 watt, aluminum pole, 20' high</t>
  </si>
  <si>
    <t>Site Lighting w/light pole &amp; Light Fixture Assembly, incl ug distr, HP Sodium, 1000 watt, aluminum pole, 40' high</t>
  </si>
  <si>
    <t>Electrical Power Distribution Line, Underground</t>
  </si>
  <si>
    <t>Unit Cost (LF)</t>
  </si>
  <si>
    <t>Direct Burial, #1/0 - 3/C, 600 Volts DB, SEU Copper Conductor, Excavation and Backfill</t>
  </si>
  <si>
    <t>Underground Ductbanks, 1-Way, 4" Diameter PVC, Encased Burial, including Excavation, Cast-in-Place Concrete, Backfill</t>
  </si>
  <si>
    <t>Underground Ductbanks, 6-Way, 6" Diameter PVC, Encased Burial, including Excavation, Cast-in-Place Concrete, Backfill</t>
  </si>
  <si>
    <t>Underground Ductbanks, 2-Way, 4" Dia RGS, Encased Burial, including Excavation, Cast-in-Place Concrete, Backfill</t>
  </si>
  <si>
    <t>Electric Vehicle Charge Facility</t>
  </si>
  <si>
    <t>Industry Study, 2019</t>
  </si>
  <si>
    <t>Level</t>
  </si>
  <si>
    <t>Type of Charger</t>
  </si>
  <si>
    <t>Chargers per Pedestal</t>
  </si>
  <si>
    <t>KW/Charger</t>
  </si>
  <si>
    <t>Per-Charger Cost for Equipment</t>
  </si>
  <si>
    <t>Per-Charger Cost for Installation</t>
  </si>
  <si>
    <t>$/KW</t>
  </si>
  <si>
    <t>Level 1</t>
  </si>
  <si>
    <t>Non-networked</t>
  </si>
  <si>
    <t xml:space="preserve">One </t>
  </si>
  <si>
    <t>Level I Average</t>
  </si>
  <si>
    <t>Two</t>
  </si>
  <si>
    <t>Level 2</t>
  </si>
  <si>
    <t>Networked</t>
  </si>
  <si>
    <t>Level II Average</t>
  </si>
  <si>
    <t>DC fast</t>
  </si>
  <si>
    <t>Networked 50 kW</t>
  </si>
  <si>
    <t>Networked 150 kW</t>
  </si>
  <si>
    <t>Level III Average</t>
  </si>
  <si>
    <t>Networked 350 kW</t>
  </si>
  <si>
    <t>13 Assets in the 2022 RPAD</t>
  </si>
  <si>
    <t xml:space="preserve">Notes: Based on Industry data, population weighting is 10% Level I, 75% Level II, 15% Level III
Primary Source: Estimating electric vehicle charging  infrastructure costs across major U.S. metropolitan areas by Michael Nicholas
Alternate Source: Plug-In Electric Vehicle and Infrastructure Analysis; Idaho National Laboratory
Alternate Source: Pulling Back the Veil on EV Charging Station Costs; Rocky Mountain Institute
</t>
  </si>
  <si>
    <t>Electrical Power Substation</t>
  </si>
  <si>
    <t>KV</t>
  </si>
  <si>
    <t>A1030010105</t>
  </si>
  <si>
    <t>203.2 mm(8") Slab On Grade 27,579 kPa(4000 PSI)</t>
  </si>
  <si>
    <t>D5010010104</t>
  </si>
  <si>
    <t>800 Amp Main Transformer (750 KVA Transformer, Secondary)</t>
  </si>
  <si>
    <t>D5010050612</t>
  </si>
  <si>
    <t>Enclosed Cir Bkr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</si>
  <si>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</si>
  <si>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</si>
  <si>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</si>
  <si>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</si>
  <si>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</si>
  <si>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</si>
  <si>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</si>
  <si>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</si>
  <si>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</si>
  <si>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</si>
  <si>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</si>
  <si>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</si>
  <si>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</si>
  <si>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</si>
  <si>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</si>
  <si>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</si>
  <si>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</si>
  <si>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</si>
  <si>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</si>
  <si>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</si>
  <si>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</si>
  <si>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</si>
  <si>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</si>
  <si>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</si>
  <si>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</si>
  <si>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</si>
  <si>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</si>
  <si>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</si>
  <si>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</si>
  <si>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Transmission to Distribution Substation, 3 Phase to 3 Phase above ground designed to average RPAD inventory size/rating
PACES Input Parameters:
Project Location = Fort Myer, VA (ACF= 1.00)
Midpoint of Construction: 1 October 2022
SIOH =  0 %
Contingency = 0 %
Planning and Design = 0 %</t>
  </si>
  <si>
    <t>UFC 3-550-01, September 2016, with Change 3, 01 November 2019</t>
  </si>
  <si>
    <t>Electrical Power Switching Station</t>
  </si>
  <si>
    <t>Substation, Load Interupter switch, 2 position, 300 kva, 600 amp, NEMA1</t>
  </si>
  <si>
    <t>EA to KV</t>
  </si>
  <si>
    <t>Electrical Power Transformers</t>
  </si>
  <si>
    <t>Transformer, 500 kVA, Oil Filled, 15 kV W/ TAPS, 480 V Secondary,  3 Phase</t>
  </si>
  <si>
    <t>EA/KV</t>
  </si>
  <si>
    <t>Transformer, 1,000 kVA, Oil Filled, 15 kV W/ TAPS, 480 V Secondary, 3 Phase</t>
  </si>
  <si>
    <t>Transformer, 2,000 KVA, Oil Filled, 15 kV W/ TAPS, 480 V Secondary, 3 Phase</t>
  </si>
  <si>
    <t>Lightning Protection System, Standalone</t>
  </si>
  <si>
    <t>Utility Pole, 40' High</t>
  </si>
  <si>
    <t>Grounding Rod, Complete, Good</t>
  </si>
  <si>
    <t>Lightning Terminal Point</t>
  </si>
  <si>
    <t>Cable, Lightning Protection, 80 FT</t>
  </si>
  <si>
    <t>FT/EA</t>
  </si>
  <si>
    <t xml:space="preserve">54/2 </t>
  </si>
  <si>
    <t>Insulator and Cable</t>
  </si>
  <si>
    <t>By FAC definition, "EA" refers to 1 pole/support structure within a lightning protection system.  Assume Poles are 40' tall.</t>
  </si>
  <si>
    <t>Heat Source</t>
  </si>
  <si>
    <t>BH</t>
  </si>
  <si>
    <t>Feature</t>
  </si>
  <si>
    <t>1 Boiler Horsepower (BHP) = 33,475 BH</t>
  </si>
  <si>
    <t>BH/BHP</t>
  </si>
  <si>
    <t>BHP = average size</t>
  </si>
  <si>
    <t>Large high capacity package industrial boiler proportional cost of 1,000 HP and 6,000 HP boilers</t>
  </si>
  <si>
    <t>BHP</t>
  </si>
  <si>
    <t>Cost per BH = ($/BHP)*BHP/BH</t>
  </si>
  <si>
    <t>/BH</t>
  </si>
  <si>
    <t>per BH</t>
  </si>
  <si>
    <t>62/5</t>
  </si>
  <si>
    <t>Steel stack, 36 " diameter, 3/8", including foundation, 30 FT high (Cost per foot of height)</t>
  </si>
  <si>
    <t>UM changed for FY17 at direction of the OASD(S) Real Property Categorization Panel</t>
  </si>
  <si>
    <t xml:space="preserve">American Society of Mechanical Engineers (ASME) Boiler and Pressure Vessel Code (BPVC) Section IV (2015)  governs the construction of the boiler (heat source).
Heat source controls are governed by ASME CSD-1-2015.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</si>
  <si>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UFCs cited above direct the user to the ASME code for construction (fabrication) of a heat source. </t>
  </si>
  <si>
    <t xml:space="preserve">The average quantity for this FAC is 42,885,137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</si>
  <si>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</si>
  <si>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</si>
  <si>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</si>
  <si>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</si>
  <si>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Marshall &amp; Swift cost are for standard gas- and light-oil-fired boilers, complete with pumps, controls and gauges, 15 LB pressure for steam, 30 LB for water.  Cost does  not include flue piping, electric wiring, pad, gas or oil piping or storage tanks.
ASME Boiler and Pressure Vessel (BPVC), 2021
Controls and Safety Devices for Automatically Fired Boilers, 2015
UFC 3-410-01, “Heating, Ventilation and Air Conditioning Systems," 01 July 2013, with Change 8, 21 July 2021
UFC 3-430-02FA, “Central Steam Boiler Plants," 15 May 2003, with Change 1, 01 December 2007
UFC 3-430-08N, “Central Heating Plants,” 16 January 2004
UFC 3-600-01, "Fire Protection Engineering for Facilities," 08 August 2016 with Change 6, 06 May 2021
NFPA 850, "Recommended Practice for Fire Protection for Electric Generating Plants and High Voltage Direct Current Converter Stations," 2015 edition</t>
  </si>
  <si>
    <t>Heat Distribution Line</t>
  </si>
  <si>
    <t xml:space="preserve">Common Conduit Underground (UGND) - Combined Steam (ST) Supply &amp; Condensate (CNDS) Return (RTN) Pipes, Prefabricated Black Steel (PBS) Pipe, Insulated (INSL) Cases), including Fittings (FTG) and Testing (TST) and Steam Manholes @ 250 FT On Center (O.C.), 3 FT Deep Excavation  and Backfill </t>
  </si>
  <si>
    <t>2 IN ST Supply &amp; 1-1/4 IN CNDS Return PBS Pipe, in 12-3/4 IN INSL Case with Manholes (MH) @ 250 FT On Center ( O.C.)</t>
  </si>
  <si>
    <t>NA</t>
  </si>
  <si>
    <t>1-1/2 IN ST Supply &amp; 1-1/4 IN CNDS Return, in 10-3/4 IN INSL Case with MH @ 250 FT  O.C.</t>
  </si>
  <si>
    <t>6" IN ST Supply &amp; 3" CNDS Return, in 10-3/4 IN INSL Case with MH @ 250' O.C.</t>
  </si>
  <si>
    <t>Average Common Conduit ST Lines, UGND</t>
  </si>
  <si>
    <t xml:space="preserve">Single Conduit - ST or High Pressure Water (HPW) PBS Pipe with INSL Case on Supports, including FTG and TST </t>
  </si>
  <si>
    <t>1-1/4 IN PBS ST Pipe in 12-3/4 IN INSL Case on Supports</t>
  </si>
  <si>
    <t>2 IN PBS ST Pipe in 12-3/4 IN INSL Case on Supports</t>
  </si>
  <si>
    <t>3 IN PBS ST Pipe in 14 IN INSL Case on Supports</t>
  </si>
  <si>
    <t xml:space="preserve">4 IN PBS ST Pipe in 14 IN INSL Case on Supports </t>
  </si>
  <si>
    <t>6 IN PBS ST Pipe in 18 IN INSL Case on  Supports</t>
  </si>
  <si>
    <t>Average Single Conduit ST or HPW Pipes, UGND</t>
  </si>
  <si>
    <t>Common Conduit  - Combined Hot Water (HW) Supply &amp; Return (RTN) Pipes, PBS, INSL Case, including Excavation, Backfill, FTG and TST</t>
  </si>
  <si>
    <t xml:space="preserve">1-1/2 IN HW &amp; 1-1/4 IN RTN Pipe in 10-3/4 PBS INSL Case </t>
  </si>
  <si>
    <t>2 IN HW &amp; 1-1/4" RTN Pipe in 12-3/4 IN PBS INSL Case</t>
  </si>
  <si>
    <t>3 IN HW &amp; 1-1/2" RTN Pipe in 16 IN PBS INSL Case</t>
  </si>
  <si>
    <t>6" and 3" in 20" case PBS INSL Case</t>
  </si>
  <si>
    <t>Average Common Conduit HW Pipes, UGND</t>
  </si>
  <si>
    <t>Heat Gas Production Plant</t>
  </si>
  <si>
    <t>Air Compressor, 20 HP</t>
  </si>
  <si>
    <t>EA to BH</t>
  </si>
  <si>
    <t>Welded Steel Pressure Tank, 45,000 GA</t>
  </si>
  <si>
    <t>62/3</t>
  </si>
  <si>
    <t>Utility Piping, Pressure Pipe, 4" Steel, 520 FT Total Length</t>
  </si>
  <si>
    <t>Total to BH</t>
  </si>
  <si>
    <t>Valves, Steel, Heavy Duty, 4", 4 EA</t>
  </si>
  <si>
    <t>Heat Gas Storage</t>
  </si>
  <si>
    <t>Welded Steel Pressure Tank, complete installation, 12,000 gal</t>
  </si>
  <si>
    <t>Heat Gas Distribution Line</t>
  </si>
  <si>
    <t>Natural Gas Piping, steel pipe, plain end , 1" diameter, schedule 40, includes excavation and backfill</t>
  </si>
  <si>
    <t>Natural Gas Piping, steel pipe, plain end , 3" diameter, schedule 40, includes excavation and backfill</t>
  </si>
  <si>
    <t>Natural Gas Piping, steel pipe, plain end , 4" diameter, schedule 40, includes excavation and backfill</t>
  </si>
  <si>
    <t>Refrigeration and Air Conditioning Source, Plant</t>
  </si>
  <si>
    <t>TR</t>
  </si>
  <si>
    <t>53/5</t>
  </si>
  <si>
    <t>Engineered System, installation, power,
connections, and all ancillary item, 500 TR</t>
  </si>
  <si>
    <t>Chilled Water and Refrigerant Distribution Line</t>
  </si>
  <si>
    <t>Utility Piping, pressure pipe, 6", steel, including trenching and backfill</t>
  </si>
  <si>
    <t>Return Line, Same as above</t>
  </si>
  <si>
    <t>Valve, Steel, General Duty,  6", 1 per 316 FT block</t>
  </si>
  <si>
    <t>Sewage Treatment</t>
  </si>
  <si>
    <t>KG</t>
  </si>
  <si>
    <t>Sewage Treatment Plant, Large, Municipal, 1M-5M GA/Day</t>
  </si>
  <si>
    <t>per GA per Day</t>
  </si>
  <si>
    <t>GA to KG</t>
  </si>
  <si>
    <t>Industrial Waste Treatment</t>
  </si>
  <si>
    <t>Sewage Treatment Plant, Medium, 500k GPD, high cost</t>
  </si>
  <si>
    <t>Water Separation Facility</t>
  </si>
  <si>
    <t>17/39</t>
  </si>
  <si>
    <t>Waste System Separator, High Cost</t>
  </si>
  <si>
    <t>EA to KG</t>
  </si>
  <si>
    <t>Septic Tank and Drain Field</t>
  </si>
  <si>
    <t>53/10</t>
  </si>
  <si>
    <t>Septic tank, installed, connected, 10,000 GA</t>
  </si>
  <si>
    <t>Drain field factor 1.25 x tank cost</t>
  </si>
  <si>
    <t>Grinder pump system</t>
  </si>
  <si>
    <t>Septic Lagoon and Settlement Ponds</t>
  </si>
  <si>
    <t>17/43</t>
  </si>
  <si>
    <t>Lagoon, Open pit, Concrete</t>
  </si>
  <si>
    <t>CF to GA</t>
  </si>
  <si>
    <t>Agitator,pumps and valves</t>
  </si>
  <si>
    <t>Sewage Lift Stations</t>
  </si>
  <si>
    <t>Sewage Lift Station, 200,000 GPD</t>
  </si>
  <si>
    <t>GPD to KG</t>
  </si>
  <si>
    <t>Sewage Lift Station, 100 GPM</t>
  </si>
  <si>
    <t>GPM to KG</t>
  </si>
  <si>
    <t>Sewage Lift Station, 200 GPM</t>
  </si>
  <si>
    <t>KG=1,000 GPD</t>
  </si>
  <si>
    <t>Sewer and Industrial Waste Line</t>
  </si>
  <si>
    <t>Non-Reinforced Concrete Pope, Extra Strength, Incl Exc and backfill, fittings, 10"</t>
  </si>
  <si>
    <t>Non-Reinforced Concrete Pope, Extra Strength, Incl Exc and backfill, fittings, 18"</t>
  </si>
  <si>
    <t>Manholes, Frames, and Covers, concrete, cast in place, 4' x 4', 8" thick, 6' deep, includes e&amp;b 500' apart</t>
  </si>
  <si>
    <t>Refuse Collection and Recycling Structure</t>
  </si>
  <si>
    <t xml:space="preserve">Waste transfer and recycling buildings with tipping floor and small office, excluding equipment. Class C/D/S </t>
  </si>
  <si>
    <t xml:space="preserve">
</t>
  </si>
  <si>
    <t>Army Public Works Technical Bulletin
(PWTB) 200-1-68, 31 December 2009</t>
  </si>
  <si>
    <t>2021 RPCS changed the Unit of Measure (UM) from EA to SF.  The UM was changed to SF for the PUC calculation.</t>
  </si>
  <si>
    <t>Incinerator</t>
  </si>
  <si>
    <t>62/6</t>
  </si>
  <si>
    <t>Incinerator, 2000 LB/HR extrapolated</t>
  </si>
  <si>
    <t>Feeder</t>
  </si>
  <si>
    <t>EA to TH</t>
  </si>
  <si>
    <t>Chimney, 12" round, per foot, assume 50 ft</t>
  </si>
  <si>
    <t>FT to TH</t>
  </si>
  <si>
    <t>Service entrance, 3 Ph, 400 A</t>
  </si>
  <si>
    <t>Safety switch, 400 A</t>
  </si>
  <si>
    <t>Switchgear, 400 A, Commercial</t>
  </si>
  <si>
    <t>Circuit breakers, 400-600 A, 2 EA,240-480v</t>
  </si>
  <si>
    <t>Sanitary Landfill</t>
  </si>
  <si>
    <t>Private Sector Bid Prices</t>
  </si>
  <si>
    <t>Landfill Construction, Franklin Ohio, 2019</t>
  </si>
  <si>
    <t>Landfill Construction,Chautauqua County, NY 2021</t>
  </si>
  <si>
    <t>Landfill Construction,White City Oregon, 2018</t>
  </si>
  <si>
    <t>Cost from municipal contract price, Franklin, Ohio, 2019
Area Cost Factors  derived from USACE PAX 3.2.1</t>
  </si>
  <si>
    <t>Hazardous Waste Landfill</t>
  </si>
  <si>
    <t>FAC 8333 Sanitary Landfill</t>
  </si>
  <si>
    <t>Haz Design Factor</t>
  </si>
  <si>
    <t>Military Cost Premium not added because reference cost taken from adjacent FAC</t>
  </si>
  <si>
    <t>The construction cost of a hazardous waste landfill is determined to be 1.27 times the cost of a sanitary landfill.  Source: Landfill Economics: Getting Down to Business – Part 2 / March 16, 2016 / Daniel P. Duffy.  States now require double liners for landfills and / or utilize a liner with a full site lysimeter system to ensure groundwater protection and contaminant detection. 
Area Cost Factor and Inflation by MILCON index are not required as base cost is referenced to an already adjusted PUC.</t>
  </si>
  <si>
    <t>Water Treatment Facility</t>
  </si>
  <si>
    <t>Water Treatment Plant, Medium, 750K - 1M GPD</t>
  </si>
  <si>
    <t>GPD</t>
  </si>
  <si>
    <t>Water Storage, Potable</t>
  </si>
  <si>
    <t>Reservoir, Potable Water, Steel Storage Tank, Ground Level, 250,000 GA</t>
  </si>
  <si>
    <t>Reservoir, Potable Water, Steel Storage Tank, Ground Level, 500,000 GA</t>
  </si>
  <si>
    <t>Water Well, Potable</t>
  </si>
  <si>
    <t>9" casing, Average, 200 FT, $56.00/FT</t>
  </si>
  <si>
    <t>17/57</t>
  </si>
  <si>
    <t>Pump, vertical turbine, 600 GPM, 10 HP</t>
  </si>
  <si>
    <t>600 GPM = 864 KG assume service factor of 75% (conversion factor = 648)</t>
  </si>
  <si>
    <t>Desalinization Plant</t>
  </si>
  <si>
    <t xml:space="preserve">California Energy Commission Study </t>
  </si>
  <si>
    <t>Desalinization Plant, FY22 PUC</t>
  </si>
  <si>
    <t>Water Distribution Line, Potable</t>
  </si>
  <si>
    <t>Utility Distribution Piping, DI pipe, 18' lengths, 6" diameter, class 50, includes excavation and backfill</t>
  </si>
  <si>
    <t>Pipe, plastic, PVC, 6" diameter, schedule 40, includes excavation &amp; backfill, fittings allowance</t>
  </si>
  <si>
    <t>Pipe, HDPE, single wall, straight, welded, based on 40' length, 10" diam., DR 11, includes excavation &amp; backfill</t>
  </si>
  <si>
    <t>Water Pump Facility, Potable</t>
  </si>
  <si>
    <t>Reference Size (GPM)</t>
  </si>
  <si>
    <t>Pumps, diesel, 2000 GPM, 100 psi, 167 HP, 6" pump, incl. controller, fittings &amp; relief valve</t>
  </si>
  <si>
    <t>2,000 GM to KG</t>
  </si>
  <si>
    <t>Pumps, diesel, 2500 GPM, 150 psi, 365 HP, 8" pump, incl. controller, fittings &amp; relief valve</t>
  </si>
  <si>
    <t>2,500 GM to KG</t>
  </si>
  <si>
    <t>Fire Pumps, electric, 2000 GPM, 100 psi, 167 HP, 1770 RPM, 6" pump, incl. controller, fittings &amp; relief valve</t>
  </si>
  <si>
    <t>KG = Thousand of Gallons per Day</t>
  </si>
  <si>
    <t>Water Source, Fire Protection</t>
  </si>
  <si>
    <t>Water Pump, 500 GPM, 4-IN Diesel Pump, 125 PSI, 78 HP, Including Controller, Fittings, &amp; Relief Valve, No Building</t>
  </si>
  <si>
    <t>EA to GM</t>
  </si>
  <si>
    <t>Water Pump, 1,000 GPM, 4-IN Diesel Pump, 100 PSI, 89 HP, Including Controller, Fittings, &amp; Relief Valve, No Building</t>
  </si>
  <si>
    <t>Water Pump, 2,000 GPM, 6-IN Diesel Pump, 100 PSI, 167 HP, Including Controller, Fittings, &amp; Relief Valve, No Building</t>
  </si>
  <si>
    <t>Water Distribution Line, Fire Protection</t>
  </si>
  <si>
    <t>Utility Distribution Piping, DI pipe, 18' lengths, 10" diameter, class 50, includes excavation and backfill</t>
  </si>
  <si>
    <t>Water Utility Distribution Fire Hydrants, two way, 4'-6" depth, 4-1/2" valve, includes excavation and backfill</t>
  </si>
  <si>
    <t>hydrants are 1,000 feet apart for estimating purposes</t>
  </si>
  <si>
    <t>Water Impoundment, Fire Protection</t>
  </si>
  <si>
    <t>Water Pump Facility, Fire Protection</t>
  </si>
  <si>
    <t>Water Pump, 2,500 GPM, 8-IN Diesel Pump, 100 PSI, 365 HP, Including Controller, Fittings, &amp; Relief Valve, No Building</t>
  </si>
  <si>
    <t>Water Pump, 2,000 GPM, 5-IN Electric Pump, 100 PSI, 167 HP, 3,500 RPM, 6" Including Controller, Fittings, &amp; Relief Valve</t>
  </si>
  <si>
    <t>Water Tank, Fire Protection</t>
  </si>
  <si>
    <t>Set equal to FAC 8413</t>
  </si>
  <si>
    <t>Water Storage, Non Potable</t>
  </si>
  <si>
    <t>61/3</t>
  </si>
  <si>
    <t>Welded steel, surface reservoir, 750,000 GA, $0.85/GA</t>
  </si>
  <si>
    <t>Welded steel, surface reservoir, 1,000,000 GA, $0.85/GA</t>
  </si>
  <si>
    <t>Tank, Elevated, High Stress, 1,000,000 GA, 75 FT height</t>
  </si>
  <si>
    <t>Reservoir, Water</t>
  </si>
  <si>
    <t>Water Distribution Line, Non-Potable</t>
  </si>
  <si>
    <t>Set Equal to FAC 8421</t>
  </si>
  <si>
    <t>Water Pump Facility, Non-Potable</t>
  </si>
  <si>
    <t>Road, Surfaced</t>
  </si>
  <si>
    <t>USACE PAX Newsletter 3.2.2, 31 March 2023 
RS Means Costworks 2022Q3</t>
  </si>
  <si>
    <t>Asphalt Road</t>
  </si>
  <si>
    <t>LCY</t>
  </si>
  <si>
    <t>Backfill &amp; Compaction with sheepsfoot Roller</t>
  </si>
  <si>
    <t>ECY</t>
  </si>
  <si>
    <t>1-1/2-IN Crushed Stone Base, 6-IN Deep, Compacted, without Earthwork</t>
  </si>
  <si>
    <t>Surface Treatment, Tack Coat Emulsion. 15 GA/SY</t>
  </si>
  <si>
    <t>Plant Mix Asphalt, 4-IN Thick, Asphalt Concrete Surface Paving Wearing Course</t>
  </si>
  <si>
    <t>Concrete Road</t>
  </si>
  <si>
    <t>ECY to SY</t>
  </si>
  <si>
    <t>6-IN Thick, Reinforced Concrete Pavement, 4,500 PSI, Fixed Form, 12-IN Pass, Including Joints, Finishings, Curing; no Earthwork</t>
  </si>
  <si>
    <t>Cast-in-Place Concrete Curb and Gutter, 6-IN High, 6-IN Thick,
24-IN wide (24-FT non-divided Roadway)</t>
  </si>
  <si>
    <t>LF to SY</t>
  </si>
  <si>
    <t>Pavement Markings, Acrylic Waterborne, 4-IN wide White or Yellow</t>
  </si>
  <si>
    <t>G2023 310 1000</t>
  </si>
  <si>
    <t>Install Metal Guide/Guard Rail incl posts</t>
  </si>
  <si>
    <t>2022 RPAD: 15,685 assets (81.6 % Asphalt / 18.4% Concrete)</t>
  </si>
  <si>
    <t>Road, Unsurfaced</t>
  </si>
  <si>
    <t>Fine Grading, Granular Subbase for Paving, +/- 1-IN Compaction,
3 passes, 6-IN Lifts</t>
  </si>
  <si>
    <t>Road construction assumes 12-IN clearing and grubbing to reach inorganic base.</t>
  </si>
  <si>
    <t>Vehicle Bridge</t>
  </si>
  <si>
    <t>Bridge, highway, steel median per SF</t>
  </si>
  <si>
    <t>Tunnel</t>
  </si>
  <si>
    <t>Underground walkway, per SF including HVAC and lighting</t>
  </si>
  <si>
    <t>Average dimensions in the 2022 RPAD (37 assets):  Height: 11.9 FT; Length: 751 FT; Width: 21.2 FT.  Average Quantity: 15,104 SF.  Road surface and/or sidewalks not included in PUC.</t>
  </si>
  <si>
    <t>Vehicle Parking, Surfaced</t>
  </si>
  <si>
    <t>A Parking lot 8086 SY will have a perimeter of 1,079 LF</t>
  </si>
  <si>
    <t>Vehicle Parking and Staging Area, Unsurfaced</t>
  </si>
  <si>
    <t>Vehicle Staging Area, Surfaced</t>
  </si>
  <si>
    <t>Sidewalk and Walkway</t>
  </si>
  <si>
    <t>Fine grading, fine grade for small irregular areas, to 15,000 S.Y.</t>
  </si>
  <si>
    <t>Sidewalk and Walkways, Pedestrian, 3,000 psi, 4" thick, with base</t>
  </si>
  <si>
    <t>Pedestrian Bridge</t>
  </si>
  <si>
    <t>Pedestrian bridge, steel</t>
  </si>
  <si>
    <t>Divided by 2020 DoD ACF for Arlington, VA</t>
  </si>
  <si>
    <t>Miscellaneous Paved Area</t>
  </si>
  <si>
    <t>1-1/2-IN Crushed Stone Base, 4-IN Deep, Compacted, without Earthwork</t>
  </si>
  <si>
    <t>Concrete paving for highways and large paved areas, 4500 psi 6" thick</t>
  </si>
  <si>
    <t>Parking Garage/Building</t>
  </si>
  <si>
    <t>Traffic Signals</t>
  </si>
  <si>
    <t>Per Intersection</t>
  </si>
  <si>
    <t>-- Loudoun County VA, 1/20</t>
  </si>
  <si>
    <t>-- Palm Beach Cty , FL, 5/19</t>
  </si>
  <si>
    <t xml:space="preserve">-- Plymouth IN, 5/17 </t>
  </si>
  <si>
    <t>-- Detroit, MI, 1/20</t>
  </si>
  <si>
    <t>-- Brevard, FL 5/22</t>
  </si>
  <si>
    <t>-- Moore OK, 1/17</t>
  </si>
  <si>
    <t>-- Lawrence KS, 4/17</t>
  </si>
  <si>
    <t>-- San Leandro CA, 3/22</t>
  </si>
  <si>
    <t>Average Cost</t>
  </si>
  <si>
    <t>Area Cost Factors derived from UFC 3-701-01, 23 March 2022, Data Tables, Table 4-1 CONUS.</t>
  </si>
  <si>
    <t>Railroad Track</t>
  </si>
  <si>
    <t>Railroad siding, yard spur, level grade, Wood ties, 100 lb. new rail, incl ballast, clips, angle bars &amp; bolts</t>
  </si>
  <si>
    <t>LF to Mile</t>
  </si>
  <si>
    <t>Railroad Bridge</t>
  </si>
  <si>
    <t>American Segmental Bridge Institute</t>
  </si>
  <si>
    <t>Railroad Bridge, FY22 PUC</t>
  </si>
  <si>
    <t>Miscellaneous Railroad Facility</t>
  </si>
  <si>
    <t>17/55</t>
  </si>
  <si>
    <t>Railroad Track Scales, 200-TN capacity, reinforced concrete pit &amp; platform, steel scale mechanism</t>
  </si>
  <si>
    <t>Storm Drainage</t>
  </si>
  <si>
    <t>Storm Drain Piping, corrugated, galvanized and coated, 16 ga., 12" diameter, includes excavation and backfill</t>
  </si>
  <si>
    <t>Storm Drain Piping, corrugated, galvanized and coated, 16 ga., 18" diameter, includes excavation and backfill</t>
  </si>
  <si>
    <t xml:space="preserve">Average Pipe Cost </t>
  </si>
  <si>
    <t>Storm Drainage Manholes, Frames, and Covers, concrete, cast in place, 4' x 4', 8" thick, 4' deep, 400 FT o.c.</t>
  </si>
  <si>
    <t>Retaining Structure</t>
  </si>
  <si>
    <t>Concrete Foundation Wall, 6" Thick reinforced, SF</t>
  </si>
  <si>
    <t>SF to LF</t>
  </si>
  <si>
    <t>Hillside retaining wall add 100%</t>
  </si>
  <si>
    <t>Assume height = 8 FT</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</si>
  <si>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</si>
  <si>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</si>
  <si>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</si>
  <si>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</si>
  <si>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</si>
  <si>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</si>
  <si>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</si>
  <si>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</si>
  <si>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</si>
  <si>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</si>
  <si>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</si>
  <si>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</si>
  <si>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</si>
  <si>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</si>
  <si>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</si>
  <si>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</si>
  <si>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</si>
  <si>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</si>
  <si>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</si>
  <si>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</si>
  <si>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</si>
  <si>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</si>
  <si>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</si>
  <si>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 Spread</t>
  </si>
  <si>
    <t>G2050040408</t>
  </si>
  <si>
    <t>Fertilizer, Hydr Spread</t>
  </si>
  <si>
    <t xml:space="preserve">PACES Input Parameters:
Project Location = Fort Myer, VA (ACF= 1.00)
Midpoint of Construction: 1 October 2022
SIOH =  0 % / Contingency = 0 % / Planning and Design = 0 % </t>
  </si>
  <si>
    <t>Average size 5,984 CY extracted from 2022 RPAD</t>
  </si>
  <si>
    <t>Levees and Dikes for Grounds Drainage</t>
  </si>
  <si>
    <t>Bulk Excavation, medium earth</t>
  </si>
  <si>
    <t>CY to LF</t>
  </si>
  <si>
    <t>Backfill and compaction, unconfined, medium earth</t>
  </si>
  <si>
    <t>Synthetic matting</t>
  </si>
  <si>
    <t>Riprap</t>
  </si>
  <si>
    <t>Gabions filled with stone, high cost</t>
  </si>
  <si>
    <t>Lawn, Hydroseeding only, average</t>
  </si>
  <si>
    <t>Assume dike is a trapezoid; 10 FT top, 15 FT sides, 34 FT base.  1 side exposed to water.  198 CF/LF    7.33 CY/LF</t>
  </si>
  <si>
    <t xml:space="preserve">   </t>
  </si>
  <si>
    <t>Storm Water Ponds</t>
  </si>
  <si>
    <t>Stormwater Drainage (SD)  Ponds, includes fence, seeding slopes, partial liner and excavation; 1/8-AC, 5-FT deep</t>
  </si>
  <si>
    <t>SD Ponds, includes fence, seeding slopes, partial liner and excavation; 1/4-AC, 5-FT deep</t>
  </si>
  <si>
    <t>SD Ponds, includes fence, seeding slopes, partial liner and excavation; 3/8-AC, 5-FT deep</t>
  </si>
  <si>
    <t>SD Ponds, includes fence, seeding slopes, partial liner and excavation; 1/2-AC, 5-FT deep</t>
  </si>
  <si>
    <t>GA in an Acre-Foot</t>
  </si>
  <si>
    <t>,</t>
  </si>
  <si>
    <t>Storm Water Filtration</t>
  </si>
  <si>
    <t>Soil preparation, structural soil mixing, spread conditioned topsoil, 4" deep, by hand</t>
  </si>
  <si>
    <t>Base course drainage layers, bank run gravel, spread and compacted, 12" deep, no earthwork included</t>
  </si>
  <si>
    <t>Asphalt Paving, plant mixed bituminous concrete, 6" thick, no earthwork included</t>
  </si>
  <si>
    <t>Drainage Laterals, pipe, PVC, 4" diameter, schedule 40, includes excavation &amp; backfill, 4 EA 20 FT lengths for 80 LF total length.</t>
  </si>
  <si>
    <t>Storm Water Treatment Structure</t>
  </si>
  <si>
    <t>66/11</t>
  </si>
  <si>
    <t>Polyethylene chamber system, complete, per gallon, high cost</t>
  </si>
  <si>
    <t>GA to GM</t>
  </si>
  <si>
    <t>Pipe drainage system, 10”, per linear foot, high cost, 20 LF</t>
  </si>
  <si>
    <t>LF to GM</t>
  </si>
  <si>
    <t>Chamber size = 14 FT x 6 FT x 2 FT = 5,932 gallons</t>
  </si>
  <si>
    <t>Representative Storm Water Treatment Structure  Flow Rate 1.82 CFS = 816.87 GM
https://biocleanenvironmental.com/wp-content/uploads/2018/06/KF-8-14-72-Standard.pdf</t>
  </si>
  <si>
    <t>Boundary Fence and Wall</t>
  </si>
  <si>
    <t>Fence, chain link, galvanized steel, 3 strands barb wire, 2" posts @ 10' OC, 6' high, includes excavation, &amp; concrete</t>
  </si>
  <si>
    <t>Fence, chain link, galvanized steel, 3 strands barb wire, 2" posts @ 10' OC,8' high, includes excavation, &amp; concrete</t>
  </si>
  <si>
    <t>Fence, chain link, galvanized steel, 3 strands barb wire, 2" posts @ 10' OC, 10' high, includes excavation, &amp; concrete</t>
  </si>
  <si>
    <t>Add Gate, Chain Link, Incl Excav &amp; Conc, 1 per 500 LF 8' high fence, 1-5/8" frame, 3' wide</t>
  </si>
  <si>
    <t>Add Fence, chain link, double swing gates, 8' high, 10' opening, inclexc, posts &amp; hardware 1 per 1,000 LF</t>
  </si>
  <si>
    <t>Add Fence, chain link industrial, slide gate, 6' high, 36' opening, includes excavation 1 per 2,000 LF</t>
  </si>
  <si>
    <t>Motor operator for fence gate (chain link industrial, slide gate, 6' high, 36' opening) 1 per 2,000 LF</t>
  </si>
  <si>
    <t>Security Fence</t>
  </si>
  <si>
    <t>Helical razor tape, stainless steel, 18" dia. X 18" spacing</t>
  </si>
  <si>
    <t>CLF</t>
  </si>
  <si>
    <t>CLF to LF</t>
  </si>
  <si>
    <t>Dam</t>
  </si>
  <si>
    <t>R&amp;K research paper for Navy CNIC, August 2011</t>
  </si>
  <si>
    <t>Lock</t>
  </si>
  <si>
    <t>No Records</t>
  </si>
  <si>
    <t>Set equal to FAC 8811</t>
  </si>
  <si>
    <t>Navigation Revetments</t>
  </si>
  <si>
    <t>Soil Stabilization, lime</t>
  </si>
  <si>
    <t>Rip rap</t>
  </si>
  <si>
    <t>Assume SY = 1 LF x 9 FT from shore to water</t>
  </si>
  <si>
    <t>Training Dikes/Wing Dams/Pile Dikes</t>
  </si>
  <si>
    <t>Set Equal to FAC 8714</t>
  </si>
  <si>
    <t>Flood Control Structures</t>
  </si>
  <si>
    <t>Set Equal to FAC 8714 
with Size of 500 LF</t>
  </si>
  <si>
    <t>Flood Control Levee/Floodwall</t>
  </si>
  <si>
    <t>Fish Facilities</t>
  </si>
  <si>
    <t>Set Equal to FAC 8714 
with Size of 400 LF</t>
  </si>
  <si>
    <t>Monitoring Well</t>
  </si>
  <si>
    <t>Water Well, without pump, 130' deep, 5" casing,  Average</t>
  </si>
  <si>
    <t>Utility Building</t>
  </si>
  <si>
    <t>Mechanical Building, Class C,D,S (Marshall and Swift Valuation, October 2017)</t>
  </si>
  <si>
    <t>Sprinkler, Dry System, Average, 2,500 SF</t>
  </si>
  <si>
    <t>Craneway, 10 Ton, 75 LF</t>
  </si>
  <si>
    <t>Overhead door, roll-up, 10x12 ft</t>
  </si>
  <si>
    <t>Overhead door, electrical operator</t>
  </si>
  <si>
    <t>Installation Gas Production Plant</t>
  </si>
  <si>
    <t>Armory, Class C, Average, (similar in construction to utility building)</t>
  </si>
  <si>
    <t>Loading Dock, steel piers, heavy slab, steel bumper (Assume 15 FT x 30 FT)</t>
  </si>
  <si>
    <t>Compressor, 20 HP</t>
  </si>
  <si>
    <t>Welded Steel Pressure Tank, 15,000 GA, 7 FT x 54 FT</t>
  </si>
  <si>
    <t>Average size in inventory = 1,105 SF (85 FT x 13 FT)</t>
  </si>
  <si>
    <t>Installation Gas Storage</t>
  </si>
  <si>
    <t>Welded Steel Pressure Tank, 9,000 GA, 7 FT X 35 FT</t>
  </si>
  <si>
    <t>Vehicle Scales</t>
  </si>
  <si>
    <t>Truck scales, Fixed, 50 Ton</t>
  </si>
  <si>
    <t>Miscellaneous Pump Station</t>
  </si>
  <si>
    <t>Pump, sewage ejector, duplex system,174 GPM, .7 H.P., 15' head, 135 gallon, includes tank, cover and pumps</t>
  </si>
  <si>
    <t>Storm Drainage Manholes, Frames, and Covers, concrete, cast in place, 4' x 4', 8" thick, 6' deep, incl excavation, backfill</t>
  </si>
  <si>
    <t>Hazardous Waste Storage Or Disposal Facility</t>
  </si>
  <si>
    <t>Hazardous Waste Storage Bldg - TEMF</t>
  </si>
  <si>
    <t xml:space="preserve">Average size derived from 2022 RPAD (524 Assets):  76 FT * 54 FT =  (4,104 SF)  </t>
  </si>
  <si>
    <t>Utility Vaults</t>
  </si>
  <si>
    <t>Utility Vault / Utility Tunnel, Medium Soil, 7” - 10” walls, CF, including lighting and drainage</t>
  </si>
  <si>
    <t>CF to EA</t>
  </si>
  <si>
    <t>Assumed Size: 9 FT high, 10 FT x 8 FT (720 CF)</t>
  </si>
  <si>
    <t>Loading Platform/Ramp</t>
  </si>
  <si>
    <t>Loading ramp, per SF, paved ramp, steel railing, for forklift</t>
  </si>
  <si>
    <t>Assume Size for EA = 12 FT wide x 30 FT long = 360 SF</t>
  </si>
  <si>
    <t>Installation Gas Distribution Line</t>
  </si>
  <si>
    <t>Natural Gas Piping, steel pipe, plain end , 1" diameter, schedule 40, includes excavation and backfill, fittings allowance</t>
  </si>
  <si>
    <t>Natural Gas Piping, steel pipe, plain end , 3" diameter, schedule 40, includes excavation and backfill, fittings allowance</t>
  </si>
  <si>
    <t>Utility Tunnel</t>
  </si>
  <si>
    <t>Percentage of Inventory</t>
  </si>
  <si>
    <t>Utility tunnel, 3" - 5" wall, medium soil, 5 FTx7 FT cross-section</t>
  </si>
  <si>
    <t>CF to LF</t>
  </si>
  <si>
    <t>Utility tunnel, 3" -5" wall, medium soil, 1 FT x 2 FT cross-section</t>
  </si>
  <si>
    <t>Assume larger Tunnel = 12% of inventory</t>
  </si>
  <si>
    <t>Scaled Average</t>
  </si>
  <si>
    <t>Utility Channels</t>
  </si>
  <si>
    <t>Utility tunnel, 3" - 5" wall, medium soil, 2 FT x 2 FT cross-section</t>
  </si>
  <si>
    <t>Utility tunnel, 5" - 7" wall, medium soil, 2 FT x 4 FT cross-section</t>
  </si>
  <si>
    <t>Utility tunnel, 7" - 10" wall, medium soil, 4 FT x 4 FT cross-section</t>
  </si>
  <si>
    <t>Miscellaneous Storage Tank and Basin</t>
  </si>
  <si>
    <t>Storm drainage pond 1/8 acre, 5 feet deep includes fence, seeding slopes, partial liner &amp; excavation (203,657 GA)</t>
  </si>
  <si>
    <t>Concrete fuel storage tank, above ground including pad, 12,000 gallon</t>
  </si>
  <si>
    <t>Per 2022 RPAD, 15% of assets are tank type storage, 85% are open pond/basin stoarge</t>
  </si>
  <si>
    <t>Land</t>
  </si>
  <si>
    <t>Land Rights</t>
  </si>
  <si>
    <t>USACE PAX Military Construction (MILCON) Program Inflation Guide</t>
  </si>
  <si>
    <t>PUCs requiring an adjustment for inflation (USACE PAX) are inflated using  Table 4-2 of Unified Facilities Criteria (UFC 3-701-01).  Historical inflation is calculated using DoD Selling Price Index (SPI) (Actual) inflation.  Future inflation is calculated using Under Secretary of Defense (USD) (Comptroller) guidance, dated 07 February 2023, "Inflation Guidance - Fiscal Year (FY) 2024 President's Budget."  Midpoint of construction for FY 2023 PUCs is set to 1 October 2022.  Appendix C of the PAX Newsletter 3.2.2, dated 31 March 2023, (https://www.usace.army.mil/Cost-Engineering/PAX-Newsletter-322-Army-Facility-Unit-Costs/) is based on these same inflation numbers.  Appendix C, Note 1 provides guidance to "use 2.0% per fiscal year for projection beyond FY 2028."</t>
  </si>
  <si>
    <t>Referenced PAX NEWSLETTER 3.2.2 for CATCODE Unit Cost</t>
  </si>
  <si>
    <t xml:space="preserve"> Reference Date of Unit Cost</t>
  </si>
  <si>
    <t>FISCAL YEAR (FY)</t>
  </si>
  <si>
    <t>DoD SPI Index (Table 4-2, UFC 3-701-1)
(Notes 1, 2)</t>
  </si>
  <si>
    <t>Budget Guidance for Future Inflation
(Note 3)</t>
  </si>
  <si>
    <t>Escalation Rate
for FY2023 PUCs
(Note 4)</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</si>
  <si>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</si>
  <si>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</si>
  <si>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</si>
  <si>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</si>
  <si>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</si>
  <si>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</si>
  <si>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</si>
  <si>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</si>
  <si>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</si>
  <si>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</si>
  <si>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</si>
  <si>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PAX Newsletter, 20 March 2020</t>
  </si>
  <si>
    <t>PAX Newsletter, 21 May 2021</t>
  </si>
  <si>
    <t>PAX Newsletter, 25 May 2022</t>
  </si>
  <si>
    <t>PAX Newsletter 31 March 2023</t>
  </si>
  <si>
    <r>
      <t xml:space="preserve">Notes from Table 4-2, </t>
    </r>
    <r>
      <rPr>
        <b/>
        <i/>
        <sz val="11"/>
        <rFont val="Calibri"/>
        <family val="2"/>
        <scheme val="minor"/>
      </rPr>
      <t xml:space="preserve">Military Construction Escalation Rates, </t>
    </r>
    <r>
      <rPr>
        <b/>
        <sz val="11"/>
        <rFont val="Calibri"/>
        <family val="2"/>
        <scheme val="minor"/>
      </rPr>
      <t>UFC 3-701-01, 2 March 2023</t>
    </r>
  </si>
  <si>
    <t>Note 1:  The historical index through October 2007 is the Engineering News Record Building Construction Index (ENR BCI).</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</si>
  <si>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</si>
  <si>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3:  Inflation rates for military construction budget authority per "Inflation Guidance – Fiscal Year (FY) 2024 President's Budget"  published by USD (Comptroller) on 07 February 2023.</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</si>
  <si>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</si>
  <si>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</si>
  <si>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r>
      <t xml:space="preserve">Incorporating Military Cost Premium (MCP) into PRV Unit Costs (PUCs)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</si>
  <si>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</si>
  <si>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</si>
  <si>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</si>
  <si>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</si>
  <si>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</si>
  <si>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</si>
  <si>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</si>
  <si>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</si>
  <si>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</si>
  <si>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</si>
  <si>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</si>
  <si>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</si>
  <si>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</si>
  <si>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</si>
  <si>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</si>
  <si>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</si>
  <si>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</si>
  <si>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</si>
  <si>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FAC Title</t>
  </si>
  <si>
    <t>RPA Type</t>
  </si>
  <si>
    <t>COMMUNICATIONS FACILITY</t>
  </si>
  <si>
    <t>S</t>
  </si>
  <si>
    <t>AIRCRAFT NAVIGATION FACILITY</t>
  </si>
  <si>
    <t>COMMUNICATION LINES</t>
  </si>
  <si>
    <t>LS</t>
  </si>
  <si>
    <t>AIRFIELD LIGHTING</t>
  </si>
  <si>
    <t>SHIP NAVIGATION FACILITY</t>
  </si>
  <si>
    <t>HELIUM STORAGE FACILITY</t>
  </si>
  <si>
    <t>SHIP OPERATIONS BUILDING</t>
  </si>
  <si>
    <t>B</t>
  </si>
  <si>
    <t>PHOTO/TV PRODUCTION BUILDING</t>
  </si>
  <si>
    <t>OPERATIONS SUPPORT LAB</t>
  </si>
  <si>
    <t>OPERATIONS SUPPLY BUILDING</t>
  </si>
  <si>
    <t>SECURITY FORCE BUILDING</t>
  </si>
  <si>
    <t>AIRCRAFT FIRING-IN BUTT</t>
  </si>
  <si>
    <t>NUCLEAR WEAPONS SUPPORT FACILITY</t>
  </si>
  <si>
    <t>EXPLOSIVES RAILWAY HOLDING YARD</t>
  </si>
  <si>
    <t>REVETMENT</t>
  </si>
  <si>
    <t>PIER/WHARF ACCESS TRESTLE</t>
  </si>
  <si>
    <t>SHORE EROSION PREVENTION FACILITY</t>
  </si>
  <si>
    <t>SMALL CRAFT BERTHING</t>
  </si>
  <si>
    <t>SMALL CRAFT BUILDING</t>
  </si>
  <si>
    <t>MISCELLANEOUS WATERFRONT FACILITY</t>
  </si>
  <si>
    <t>WATER LAUNCH RAMP</t>
  </si>
  <si>
    <t>HARBOR MARINE IMPROVEMENTS</t>
  </si>
  <si>
    <t>TRAINING POOL AND TANK</t>
  </si>
  <si>
    <t>ENCLOSED FIRE FIGHTER TRAINER FACILITY</t>
  </si>
  <si>
    <t>PARADE AND DRILL FIELD</t>
  </si>
  <si>
    <t>GENERAL PURPOSE SMALL ARMS RANGE</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</si>
  <si>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</si>
  <si>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</si>
  <si>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</si>
  <si>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</si>
  <si>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</si>
  <si>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</si>
  <si>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</si>
  <si>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</si>
  <si>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</si>
  <si>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</si>
  <si>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</si>
  <si>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</si>
  <si>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</si>
  <si>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</si>
  <si>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</si>
  <si>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</si>
  <si>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</si>
  <si>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</si>
  <si>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</si>
  <si>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</si>
  <si>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</si>
  <si>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</si>
  <si>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</si>
  <si>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</si>
  <si>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</si>
  <si>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</si>
  <si>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</si>
  <si>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</si>
  <si>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</si>
  <si>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</si>
  <si>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</si>
  <si>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</si>
  <si>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</si>
  <si>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UNENCLOSED FIRE FIGHTER TRAINER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</si>
  <si>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</si>
  <si>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</si>
  <si>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</si>
  <si>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</si>
  <si>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</si>
  <si>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</si>
  <si>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</si>
  <si>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</si>
  <si>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</si>
  <si>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ICBM PROCESSING FACILITY</t>
  </si>
  <si>
    <t>SHIP MAINTENANCE DRY DOCK</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</si>
  <si>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</si>
  <si>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</si>
  <si>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</si>
  <si>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</si>
  <si>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</si>
  <si>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</si>
  <si>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</si>
  <si>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</si>
  <si>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</si>
  <si>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</si>
  <si>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AIRCRAFT PRODUCTION STRUCTURE</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</si>
  <si>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</si>
  <si>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</si>
  <si>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</si>
  <si>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</si>
  <si>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</si>
  <si>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</si>
  <si>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</si>
  <si>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</si>
  <si>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</si>
  <si>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</si>
  <si>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</si>
  <si>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</si>
  <si>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</si>
  <si>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</si>
  <si>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</si>
  <si>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</si>
  <si>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</si>
  <si>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</si>
  <si>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</si>
  <si>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</si>
  <si>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</si>
  <si>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</si>
  <si>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</si>
  <si>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AERODYNAMIC WIND TUNNEL</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</si>
  <si>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</si>
  <si>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</si>
  <si>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</si>
  <si>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</si>
  <si>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</si>
  <si>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</si>
  <si>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</si>
  <si>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</si>
  <si>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</si>
  <si>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</si>
  <si>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</si>
  <si>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</si>
  <si>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</si>
  <si>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</si>
  <si>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</si>
  <si>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</si>
  <si>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</si>
  <si>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</si>
  <si>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</si>
  <si>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GENERAL ADMIN BUILDING, HIGH-RISE</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</si>
  <si>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</si>
  <si>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</si>
  <si>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</si>
  <si>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</si>
  <si>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</si>
  <si>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</si>
  <si>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</si>
  <si>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</si>
  <si>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</si>
  <si>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</si>
  <si>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</si>
  <si>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</si>
  <si>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</si>
  <si>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</si>
  <si>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UNACCOMPANIED PERSONNEL HOUSING CARPORT</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</si>
  <si>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</si>
  <si>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</si>
  <si>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</si>
  <si>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</si>
  <si>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</si>
  <si>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</si>
  <si>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</si>
  <si>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</si>
  <si>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</si>
  <si>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</si>
  <si>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</si>
  <si>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</si>
  <si>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</si>
  <si>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</si>
  <si>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</si>
  <si>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</si>
  <si>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</si>
  <si>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</si>
  <si>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</si>
  <si>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</si>
  <si>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CAR WASH STRUCTURE</t>
  </si>
  <si>
    <t>EDUCATION CENTER</t>
  </si>
  <si>
    <t>DEPENDENT SCHOOL SUPPORT FACILITY</t>
  </si>
  <si>
    <t>SCHOOL PLAYGROUNDS</t>
  </si>
  <si>
    <t>RELIGIOUS EDUCATION FACILITY</t>
  </si>
  <si>
    <t>FAMILY SERVICE CENTER</t>
  </si>
  <si>
    <t>FORESTRY GUARD STATION</t>
  </si>
  <si>
    <t>LOCKER ROOM</t>
  </si>
  <si>
    <t>MISCELLANEOUS PERSONNEL SHELTER</t>
  </si>
  <si>
    <t>PUBLIC RESTROOM/SHOWER</t>
  </si>
  <si>
    <t>CEREMONIAL HALL</t>
  </si>
  <si>
    <t>EXCHANGE SUPPORT FACILITY</t>
  </si>
  <si>
    <t>PRIVATE VEHICLE INSECTION STATION</t>
  </si>
  <si>
    <t>1.O21</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</si>
  <si>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</si>
  <si>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</si>
  <si>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</si>
  <si>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</si>
  <si>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</si>
  <si>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</si>
  <si>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</si>
  <si>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</si>
  <si>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</si>
  <si>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</si>
  <si>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COMMUNITY ACTIVIES / CONFERENCE CENTER</t>
  </si>
  <si>
    <t>RECREATIONAL LODGING</t>
  </si>
  <si>
    <t>TRANSIENT AND RECREATIONAL LODGING SUPPORT FACILITY</t>
  </si>
  <si>
    <t>STABLE</t>
  </si>
  <si>
    <t>BOATHOUSE</t>
  </si>
  <si>
    <t>MISCELLANEOUS MWR FACILITY</t>
  </si>
  <si>
    <t>RECREATIONAL SUPPORT BUILDING</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</si>
  <si>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</si>
  <si>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</si>
  <si>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</si>
  <si>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</si>
  <si>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</si>
  <si>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</si>
  <si>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</si>
  <si>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</si>
  <si>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</si>
  <si>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</si>
  <si>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</si>
  <si>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</si>
  <si>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</si>
  <si>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</si>
  <si>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</si>
  <si>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</si>
  <si>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MONUMENT AND MEMORIAL</t>
  </si>
  <si>
    <t>COLUMBARIUM</t>
  </si>
  <si>
    <t>ELECTRICAL POWER SOURCE</t>
  </si>
  <si>
    <t>ELECTRICAL POWER SOURCE HYDROELECTRIC</t>
  </si>
  <si>
    <t>ELECTRICAL POWER SOURCE, WIND GENERATED</t>
  </si>
  <si>
    <t>ELECTRICAL POWER SOURCE, PHOTOVOLTAIC</t>
  </si>
  <si>
    <t>EXTERIOR LIGHTING, POLE</t>
  </si>
  <si>
    <t>ELECTRIC VEHICLE CHARGE FACILITY</t>
  </si>
  <si>
    <t>LIGHTNING PROTECTION SYSTEM, STAND-ALONE</t>
  </si>
  <si>
    <t>HEAT SOURCE</t>
  </si>
  <si>
    <t>MB</t>
  </si>
  <si>
    <t>HEAT GAS PRODUCTION PLANT</t>
  </si>
  <si>
    <t>HEAT GAS STORAGE</t>
  </si>
  <si>
    <t>HEAT GAS DISTRIBUTION LINE</t>
  </si>
  <si>
    <t>REFRIGERATION AND AIR CONDITIONING SOURCE</t>
  </si>
  <si>
    <t>CHILLED WATER AND REFRIGERANT DISTRIBUTION LINE</t>
  </si>
  <si>
    <t>SEWAGE TREATMENT</t>
  </si>
  <si>
    <t>INDUSTRIAL WASTE TREATMENT</t>
  </si>
  <si>
    <t>WATER SEPARATION FACILITY</t>
  </si>
  <si>
    <t>SEPTIC TANK AND DRAIN FIELD</t>
  </si>
  <si>
    <t>SEPTIC LAGOON AND SETTLEMENT PONDS</t>
  </si>
  <si>
    <t>SEWER AND INDUSTRIAL WASTE LINE</t>
  </si>
  <si>
    <t>REFUSE COLLECTION AND RECYCLING FACILITY</t>
  </si>
  <si>
    <t>INCINERATOR</t>
  </si>
  <si>
    <t>SANITARY LANDFILL</t>
  </si>
  <si>
    <t>HAZARDOUS WASTE LANDFILL</t>
  </si>
  <si>
    <t>WATER TREATMENT FACILITY</t>
  </si>
  <si>
    <t>WATER STORAGE, POTABLE</t>
  </si>
  <si>
    <t>WATER WELL, POTABLE</t>
  </si>
  <si>
    <t>DESALINIZATION PLANT</t>
  </si>
  <si>
    <t>WATER DISTRIBUTION LINE, POTABLE</t>
  </si>
  <si>
    <t>WATER DISTRIBUTION LINE, FIRE PROTECTION</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</si>
  <si>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</si>
  <si>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</si>
  <si>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</si>
  <si>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</si>
  <si>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</si>
  <si>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</si>
  <si>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</si>
  <si>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</si>
  <si>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</si>
  <si>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</si>
  <si>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</si>
  <si>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</si>
  <si>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</si>
  <si>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</si>
  <si>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</si>
  <si>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</si>
  <si>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</si>
  <si>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</si>
  <si>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STORM WATER FILTRATION</t>
  </si>
  <si>
    <t>STORM WATER TREATMENT STUCTURE</t>
  </si>
  <si>
    <t>BOUNDARY FENCE AND WALL</t>
  </si>
  <si>
    <t>SECURITY FENCE</t>
  </si>
  <si>
    <t>NAVIGATION REVETMENTS</t>
  </si>
  <si>
    <t>MONITORING WELL</t>
  </si>
  <si>
    <t>UTILITY BUILDING</t>
  </si>
  <si>
    <t>INSTALLATION GAS PRODUCTION PLANT</t>
  </si>
  <si>
    <t>INSTALLATION GAS STORAGE</t>
  </si>
  <si>
    <t>VEHICLE SCALES</t>
  </si>
  <si>
    <t>MISCELLANEOUS PUMP STATION</t>
  </si>
  <si>
    <t>HAZARDOUS WASTE STORAGE OR DISPOSAL FACILITY</t>
  </si>
  <si>
    <t>UTILITY VAULTS</t>
  </si>
  <si>
    <t>LOADING PLATFORM/RAMP</t>
  </si>
  <si>
    <t>MISCELLANEOUS UTILITY FACILITY</t>
  </si>
  <si>
    <t>INSTALLATION GAS DISTRIBUTION LINE</t>
  </si>
  <si>
    <t>UTILITY TUNNEL</t>
  </si>
  <si>
    <t>UTILIITY CHANNEL</t>
  </si>
  <si>
    <t>MISCELLANEOUS STORAGE TANK AND BASIN</t>
  </si>
  <si>
    <t>Notes:</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</si>
  <si>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</si>
  <si>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</si>
  <si>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</si>
  <si>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</si>
  <si>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</si>
  <si>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</si>
  <si>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</si>
  <si>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</si>
  <si>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</si>
  <si>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</si>
  <si>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</si>
  <si>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</si>
  <si>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</si>
  <si>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</si>
  <si>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</si>
  <si>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</si>
  <si>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</si>
  <si>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</si>
  <si>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</si>
  <si>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</si>
  <si>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</si>
  <si>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Marshall and Swift (M&amp;S) Building Class and Type Selection Business Rule for PRV Unit Cost (PUC)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</si>
  <si>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</si>
  <si>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</si>
  <si>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</si>
  <si>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</si>
  <si>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</si>
  <si>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</si>
  <si>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</si>
  <si>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</si>
  <si>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</si>
  <si>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</si>
  <si>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</si>
  <si>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Facilities designed to mitigate explosive overpressures, or high rises: FACs 1491, 2121, 2123, 2125, 2136, 2152, 2153, 2154, 2161,2162, 2163, 2211, 2221, 2251, 2252, 2261, 2262, 3151, 3161, 3181, 4212, 4231, 6107, 7242.</t>
  </si>
  <si>
    <t>Reinforced concrete columns and beams, fire-resistant construction.</t>
  </si>
  <si>
    <t>Concrete or concrete on steel deck, fireproofed.</t>
  </si>
  <si>
    <t>Facilities designed for industrial, storage, or medical purposes, except those in Class A.  FACs in 1000, 2000, 3000, 4000, and 5000 series.  FAC 7242</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</si>
  <si>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</si>
  <si>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</si>
  <si>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</si>
  <si>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</si>
  <si>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</si>
  <si>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</si>
  <si>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</si>
  <si>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</si>
  <si>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</si>
  <si>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</si>
  <si>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t>Facilities designed to:
1.	protect equipment or other assets from effects of weather
2.	facilities used for utility or industrial purpose in the 8000 FAC series</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</si>
  <si>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</si>
  <si>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</si>
  <si>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</si>
  <si>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</si>
  <si>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</si>
  <si>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</si>
  <si>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7333 - Open Mess and Club
7386 – Ceremonial Hall
7440 - Comm Act/Conf Cntr
7601 – Museum 
</t>
  </si>
  <si>
    <r>
      <rPr>
        <b/>
        <sz val="11"/>
        <color theme="1"/>
        <rFont val="Calibri"/>
        <family val="2"/>
        <scheme val="minor"/>
      </rPr>
      <t>VERY GOOD QUALITY</t>
    </r>
    <r>
      <rPr>
        <sz val="11"/>
        <color theme="1"/>
        <rFont val="Calibri"/>
        <family val="2"/>
        <scheme val="minor"/>
      </rPr>
      <t xml:space="preserve">
Buildings designed for monumental appearance, comfort and convenience, as well as an element of
prestige, constitute the Very Good Quality category. Ornamental treatment is usually of higher quality
and interiors are designed for upper-class rentals. The amenities of better lighting and mechanical
work are primary items in their costs.</t>
    </r>
  </si>
  <si>
    <t>7242 - Service Academy UPH</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</si>
  <si>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</si>
  <si>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</si>
  <si>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Footnotes:</t>
  </si>
  <si>
    <t xml:space="preserve">[1] The source of the class and quality of construction, above, is the Marshall &amp; Swift Valuation Service, Section 1, pages 4 – 10, February 2020.  </t>
  </si>
  <si>
    <r>
      <t xml:space="preserve">[2] Selection of FACs based upon structural design, and materials used in construction.  Due to design and construction differences between DoD and the commercial sector, not every FAC will fit exactly in the categories outlined above.  There are FACs within a DoD asset class (1000, 2000...) that are more appropriately mapped to a different M&amp;S Building Class based on materials or design.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</si>
  <si>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</si>
  <si>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</si>
  <si>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Occupancy</t>
  </si>
  <si>
    <t>Requirement</t>
  </si>
  <si>
    <t>A (A-1,-3, -4)</t>
  </si>
  <si>
    <t>&gt;12,000 SF</t>
  </si>
  <si>
    <t>A-2</t>
  </si>
  <si>
    <t>&gt;5,000 SF or Occupant load &gt;100 or fire area on a floor other than level of discharge</t>
  </si>
  <si>
    <t>Ambulatory Care</t>
  </si>
  <si>
    <t>4 or more  patients incapable of self-preservation</t>
  </si>
  <si>
    <t>&gt;5,000 SF</t>
  </si>
  <si>
    <t>E</t>
  </si>
  <si>
    <t>F</t>
  </si>
  <si>
    <r>
      <t>H</t>
    </r>
    <r>
      <rPr>
        <vertAlign val="superscript"/>
        <sz val="11"/>
        <color theme="1"/>
        <rFont val="Calibri"/>
        <family val="2"/>
        <scheme val="minor"/>
      </rPr>
      <t>2</t>
    </r>
  </si>
  <si>
    <t>Throughout</t>
  </si>
  <si>
    <t>I</t>
  </si>
  <si>
    <t>M</t>
  </si>
  <si>
    <t>R</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</si>
  <si>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</si>
  <si>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</si>
  <si>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</si>
  <si>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</si>
  <si>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</si>
  <si>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</si>
  <si>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</si>
  <si>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</si>
  <si>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</si>
  <si>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</si>
  <si>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</si>
  <si>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 xml:space="preserve"> - Ambulatory care facilities: Note – these are buildings or portions of buildings used for medical, surgical, psychiatric, nursing or similar care on a less than 24 hour basis to individuals who are rendered incapable of self-preservation by the services provided</t>
  </si>
  <si>
    <t xml:space="preserve"> - Banks, electronic data processing</t>
  </si>
  <si>
    <t xml:space="preserve"> - Laboratories for testing and research</t>
  </si>
  <si>
    <t xml:space="preserve"> - Professional services (architects, engineers, attorneys, dentists, physicians, etc)</t>
  </si>
  <si>
    <t xml:space="preserve"> -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</si>
  <si>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</si>
  <si>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</si>
  <si>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</si>
  <si>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</si>
  <si>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</si>
  <si>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</si>
  <si>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</si>
  <si>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</si>
  <si>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</si>
  <si>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</si>
  <si>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 xml:space="preserve"> - Department stores</t>
  </si>
  <si>
    <t xml:space="preserve"> - Drug stores</t>
  </si>
  <si>
    <t xml:space="preserve"> - Markets</t>
  </si>
  <si>
    <t xml:space="preserve"> - Motor fuel dispensing facilities</t>
  </si>
  <si>
    <t xml:space="preserve"> -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</si>
  <si>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</si>
  <si>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</si>
  <si>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</si>
  <si>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</si>
  <si>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</si>
  <si>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</si>
  <si>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</si>
  <si>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</si>
  <si>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</si>
  <si>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</si>
  <si>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</si>
  <si>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1.  International Building Code, Chapter 9, Section 903, International Code Council, 2018</t>
  </si>
  <si>
    <t>2.  For H Occupancies, add extra hazard premium cost and early suppression system and early suppression pump</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</si>
  <si>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</si>
  <si>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</si>
  <si>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</si>
  <si>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Loading Dock Footnote</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</si>
  <si>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</si>
  <si>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</si>
  <si>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</si>
  <si>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</si>
  <si>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</si>
  <si>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</si>
  <si>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</si>
  <si>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</si>
  <si>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</si>
  <si>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</si>
  <si>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</si>
  <si>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</si>
  <si>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PUC per USACE Engineering and Support Center Huntsville “Range and Training Land Program Information”, Utilities Services.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</si>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</sst>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0000_);_(* \(#,##0.0000\);_(* &quot;-&quot;??_);_(@_)"/>
    <numFmt numFmtId="166" formatCode="0.0000"/>
    <numFmt numFmtId="167" formatCode="0.0%"/>
    <numFmt numFmtId="168" formatCode="0.0"/>
    <numFmt numFmtId="169" formatCode="_(* #,##0_);_(* \(#,##0\);_(* &quot;-&quot;??_);_(@_)"/>
    <numFmt numFmtId="170" formatCode="#,##0.0_);\(#,##0.0\)"/>
    <numFmt numFmtId="171" formatCode="[$$-409]#,##0.00;\([$$-409]#,##0.00\)"/>
    <numFmt numFmtId="172" formatCode="#,##0.000"/>
    <numFmt numFmtId="173" formatCode="#,##0.0000_);\(#,##0.0000\)"/>
    <numFmt numFmtId="174" formatCode="_(* #,##0.000_);_(* \(#,##0.000\);_(* &quot;-&quot;??_);_(@_)"/>
    <numFmt numFmtId="175" formatCode="_(* #,##0.00000_);_(* \(#,##0.00000\);_(* &quot;-&quot;??_);_(@_)"/>
    <numFmt numFmtId="176" formatCode="#,##0.0"/>
    <numFmt numFmtId="177" formatCode="_(* #,##0.0_);_(* \(#,##0.0\);_(* &quot;-&quot;??_);_(@_)"/>
    <numFmt numFmtId="178" formatCode="#,##0.0000"/>
    <numFmt numFmtId="179" formatCode="0.000"/>
    <numFmt numFmtId="180" formatCode="_(&quot;$&quot;* #,##0_);_(&quot;$&quot;* \(#,##0\);_(&quot;$&quot;* &quot;-&quot;??_);_(@_)"/>
    <numFmt numFmtId="181" formatCode="_(* #,##0.0000_);_(* \(#,##0.0000\);_(* &quot;-&quot;????_);_(@_)"/>
    <numFmt numFmtId="182" formatCode="&quot;$&quot;#,##0.00;[Red]&quot;$&quot;#,##0.00"/>
    <numFmt numFmtId="183" formatCode="&quot;$&quot;#,##0.0000"/>
    <numFmt numFmtId="184" formatCode="_(&quot;$&quot;* #,##0.0000_);_(&quot;$&quot;* \(#,##0.0000\);_(&quot;$&quot;* &quot;-&quot;????_);_(@_)"/>
    <numFmt numFmtId="185" formatCode="_(&quot;$&quot;* #,##0.000_);_(&quot;$&quot;* \(#,##0.000\);_(&quot;$&quot;* &quot;-&quot;??_);_(@_)"/>
    <numFmt numFmtId="186" formatCode="_(&quot;$&quot;* #,##0.0000_);_(&quot;$&quot;* \(#,##0.0000\);_(&quot;$&quot;* &quot;-&quot;??_);_(@_)"/>
    <numFmt numFmtId="187" formatCode="_(* #,##0_);_(* \(#,##0\);_(* &quot;-&quot;?_);_(@_)"/>
    <numFmt numFmtId="188" formatCode="&quot;$&quot;#,##0"/>
  </numFmts>
  <fonts count="3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sz val="8"/>
      <name val="Arial"/>
      <family val="2"/>
    </font>
    <font>
      <b/>
      <sz val="11"/>
      <name val="Calibri"/>
      <family val="2"/>
    </font>
    <font>
      <sz val="11"/>
      <name val="Calibri"/>
      <family val="2"/>
    </font>
    <font>
      <sz val="11"/>
      <color rgb="FF000000"/>
      <name val="Calibri"/>
      <family val="2"/>
    </font>
    <font>
      <sz val="10"/>
      <name val="Calibri"/>
      <family val="2"/>
      <scheme val="minor"/>
    </font>
    <font>
      <b/>
      <sz val="10"/>
      <name val="Arial"/>
      <family val="2"/>
    </font>
    <font>
      <sz val="24"/>
      <color rgb="FFFF0000"/>
      <name val="Calibri"/>
      <family val="2"/>
      <scheme val="minor"/>
    </font>
    <font>
      <i/>
      <sz val="11"/>
      <name val="Calibri"/>
      <family val="2"/>
      <scheme val="minor"/>
    </font>
    <font>
      <b/>
      <sz val="16"/>
      <name val="Calibri"/>
      <family val="2"/>
      <scheme val="minor"/>
    </font>
    <font>
      <vertAlign val="superscript"/>
      <sz val="11"/>
      <name val="Calibri"/>
      <family val="2"/>
      <scheme val="minor"/>
    </font>
    <font>
      <b/>
      <sz val="10"/>
      <name val="Calibri"/>
      <family val="2"/>
      <scheme val="minor"/>
    </font>
    <font>
      <b/>
      <i/>
      <sz val="11"/>
      <name val="Calibri"/>
      <family val="2"/>
      <scheme val="minor"/>
    </font>
    <font>
      <b/>
      <sz val="14"/>
      <color rgb="FFFF66CC"/>
      <name val="Calibri"/>
      <family val="2"/>
      <scheme val="minor"/>
    </font>
    <font>
      <sz val="14"/>
      <name val="Calibri"/>
      <family val="2"/>
      <scheme val="minor"/>
    </font>
    <font>
      <sz val="10"/>
      <name val="Arial"/>
      <family val="2"/>
    </font>
    <font>
      <b/>
      <sz val="14"/>
      <name val="Calibri"/>
      <family val="2"/>
      <scheme val="minor"/>
    </font>
    <font>
      <sz val="10"/>
      <name val="Times New Roman"/>
      <family val="1"/>
    </font>
    <font>
      <sz val="10"/>
      <color indexed="8"/>
      <name val="MS Sans Serif"/>
      <family val="2"/>
    </font>
    <font>
      <b/>
      <sz val="9"/>
      <color indexed="81"/>
      <name val="Tahoma"/>
      <family val="2"/>
    </font>
    <font>
      <b/>
      <sz val="12"/>
      <name val="Calibri"/>
      <family val="2"/>
      <scheme val="minor"/>
    </font>
    <font>
      <b/>
      <sz val="14"/>
      <color theme="1"/>
      <name val="Calibri"/>
      <family val="2"/>
      <scheme val="minor"/>
    </font>
    <font>
      <b/>
      <vertAlign val="superscript"/>
      <sz val="14"/>
      <color theme="1"/>
      <name val="Calibri"/>
      <family val="2"/>
      <scheme val="minor"/>
    </font>
    <font>
      <b/>
      <sz val="12"/>
      <color theme="1"/>
      <name val="Calibri"/>
      <family val="2"/>
      <scheme val="minor"/>
    </font>
    <font>
      <vertAlign val="superscript"/>
      <sz val="11"/>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indexed="64"/>
      </bottom>
      <diagonal/>
    </border>
    <border>
      <left style="thin">
        <color auto="1"/>
      </left>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right/>
      <top style="thin">
        <color indexed="64"/>
      </top>
      <bottom/>
      <diagonal/>
    </border>
    <border>
      <left style="thin">
        <color indexed="64"/>
      </left>
      <right/>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indexed="64"/>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auto="1"/>
      </left>
      <right/>
      <top style="medium">
        <color auto="1"/>
      </top>
      <bottom/>
      <diagonal/>
    </border>
    <border>
      <left/>
      <right/>
      <top style="medium">
        <color indexed="64"/>
      </top>
      <bottom/>
      <diagonal/>
    </border>
    <border>
      <left/>
      <right style="medium">
        <color auto="1"/>
      </right>
      <top style="medium">
        <color auto="1"/>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auto="1"/>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top style="thin">
        <color auto="1"/>
      </top>
      <bottom style="medium">
        <color rgb="FF000000"/>
      </bottom>
      <diagonal/>
    </border>
    <border>
      <left/>
      <right/>
      <top style="thin">
        <color auto="1"/>
      </top>
      <bottom style="medium">
        <color rgb="FF000000"/>
      </bottom>
      <diagonal/>
    </border>
    <border>
      <left/>
      <right style="thin">
        <color auto="1"/>
      </right>
      <top style="thin">
        <color auto="1"/>
      </top>
      <bottom style="medium">
        <color rgb="FF000000"/>
      </bottom>
      <diagonal/>
    </border>
    <border>
      <left style="thin">
        <color rgb="FF000000"/>
      </left>
      <right/>
      <top style="thin">
        <color indexed="64"/>
      </top>
      <bottom style="thin">
        <color auto="1"/>
      </bottom>
      <diagonal/>
    </border>
    <border>
      <left style="medium">
        <color indexed="64"/>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xf numFmtId="0" fontId="22" fillId="0" borderId="0"/>
    <xf numFmtId="0" fontId="23" fillId="0" borderId="0"/>
  </cellStyleXfs>
  <cellXfs count="1523">
    <xf numFmtId="0" fontId="0" fillId="0" borderId="0" xfId="0"/>
    <xf numFmtId="44" fontId="5" fillId="0" borderId="0" xfId="2" applyFont="1" applyFill="1"/>
    <xf numFmtId="0" fontId="5" fillId="0" borderId="0" xfId="0" applyFont="1"/>
    <xf numFmtId="0" fontId="5" fillId="0" borderId="0" xfId="0" applyFont="1" applyAlignment="1">
      <alignment wrapText="1"/>
    </xf>
    <xf numFmtId="0" fontId="5" fillId="0" borderId="6" xfId="0" applyFont="1" applyBorder="1" applyAlignment="1">
      <alignment horizontal="left" vertical="center" wrapText="1"/>
    </xf>
    <xf numFmtId="0" fontId="5" fillId="0" borderId="0" xfId="0" applyFont="1" applyAlignment="1">
      <alignment vertical="center" wrapText="1"/>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8" xfId="0" applyFont="1" applyBorder="1" applyAlignment="1">
      <alignment horizontal="center" vertical="center" wrapText="1"/>
    </xf>
    <xf numFmtId="3" fontId="5" fillId="0" borderId="9" xfId="0" applyNumberFormat="1" applyFont="1" applyBorder="1" applyAlignment="1">
      <alignment vertical="center" wrapText="1"/>
    </xf>
    <xf numFmtId="0" fontId="5" fillId="0" borderId="8" xfId="0" applyFont="1" applyBorder="1" applyAlignment="1">
      <alignment horizontal="center" vertical="center"/>
    </xf>
    <xf numFmtId="0" fontId="5" fillId="0" borderId="9" xfId="0" applyFont="1" applyBorder="1" applyAlignment="1">
      <alignment vertical="center"/>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44" fontId="5" fillId="0" borderId="0" xfId="2" applyFont="1" applyFill="1" applyAlignment="1">
      <alignment vertical="center"/>
    </xf>
    <xf numFmtId="0" fontId="5" fillId="0" borderId="0" xfId="0" applyFont="1" applyAlignment="1">
      <alignment vertical="center"/>
    </xf>
    <xf numFmtId="0" fontId="4" fillId="0" borderId="6" xfId="0" applyFont="1" applyBorder="1" applyAlignment="1">
      <alignment horizontal="center" wrapText="1"/>
    </xf>
    <xf numFmtId="0" fontId="4" fillId="0" borderId="11"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8" xfId="0" applyFont="1" applyBorder="1" applyAlignment="1">
      <alignment horizontal="center"/>
    </xf>
    <xf numFmtId="0" fontId="4" fillId="0" borderId="9" xfId="0" applyFont="1" applyBorder="1" applyAlignment="1">
      <alignment horizontal="center"/>
    </xf>
    <xf numFmtId="44" fontId="5" fillId="0" borderId="0" xfId="2" applyFont="1" applyFill="1" applyAlignment="1"/>
    <xf numFmtId="0" fontId="5" fillId="0" borderId="0" xfId="0" applyFont="1" applyAlignment="1">
      <alignment horizontal="center"/>
    </xf>
    <xf numFmtId="164" fontId="5" fillId="0" borderId="0" xfId="0" applyNumberFormat="1" applyFont="1" applyAlignment="1">
      <alignment horizontal="right"/>
    </xf>
    <xf numFmtId="0" fontId="5" fillId="0" borderId="0" xfId="0" applyFont="1" applyAlignment="1">
      <alignment horizontal="right"/>
    </xf>
    <xf numFmtId="0" fontId="5" fillId="0" borderId="6" xfId="0" applyFont="1" applyBorder="1" applyAlignment="1">
      <alignment horizontal="center" vertical="center"/>
    </xf>
    <xf numFmtId="44" fontId="5" fillId="0" borderId="6" xfId="0" applyNumberFormat="1" applyFont="1" applyBorder="1" applyAlignment="1">
      <alignment vertical="center"/>
    </xf>
    <xf numFmtId="44" fontId="5" fillId="0" borderId="6" xfId="2" applyFont="1" applyFill="1" applyBorder="1" applyAlignment="1">
      <alignment horizontal="center" vertical="center"/>
    </xf>
    <xf numFmtId="43" fontId="5" fillId="0" borderId="6" xfId="0" applyNumberFormat="1" applyFont="1" applyBorder="1" applyAlignment="1">
      <alignment horizontal="center" vertical="center"/>
    </xf>
    <xf numFmtId="165" fontId="5" fillId="0" borderId="4" xfId="0" applyNumberFormat="1" applyFont="1" applyBorder="1" applyAlignment="1">
      <alignment vertical="center" wrapText="1"/>
    </xf>
    <xf numFmtId="166" fontId="5" fillId="0" borderId="8" xfId="0" applyNumberFormat="1" applyFont="1" applyBorder="1" applyAlignment="1">
      <alignment horizontal="center" vertical="center" wrapText="1"/>
    </xf>
    <xf numFmtId="166" fontId="5" fillId="0" borderId="9" xfId="0" applyNumberFormat="1" applyFont="1" applyBorder="1" applyAlignment="1">
      <alignment horizontal="center" vertical="center" wrapText="1"/>
    </xf>
    <xf numFmtId="8" fontId="5" fillId="0" borderId="6" xfId="2" applyNumberFormat="1" applyFont="1" applyFill="1" applyBorder="1" applyAlignment="1">
      <alignment vertical="center"/>
    </xf>
    <xf numFmtId="7" fontId="5" fillId="0" borderId="0" xfId="2" applyNumberFormat="1" applyFont="1" applyFill="1" applyAlignment="1"/>
    <xf numFmtId="0" fontId="5" fillId="0" borderId="6" xfId="0" applyFont="1" applyBorder="1" applyAlignment="1">
      <alignment horizontal="center" vertical="center" wrapText="1"/>
    </xf>
    <xf numFmtId="8" fontId="5" fillId="0" borderId="6" xfId="0" applyNumberFormat="1" applyFont="1" applyBorder="1" applyAlignment="1">
      <alignment horizontal="right" vertical="center"/>
    </xf>
    <xf numFmtId="44" fontId="6" fillId="0" borderId="0" xfId="2" applyFont="1" applyFill="1" applyAlignment="1">
      <alignment horizontal="right" vertical="top"/>
    </xf>
    <xf numFmtId="44" fontId="5" fillId="0" borderId="0" xfId="2" applyFont="1" applyFill="1" applyBorder="1"/>
    <xf numFmtId="0" fontId="5" fillId="0" borderId="8" xfId="0" applyFont="1" applyBorder="1"/>
    <xf numFmtId="0" fontId="5" fillId="0" borderId="13" xfId="0" applyFont="1" applyBorder="1" applyAlignment="1">
      <alignment horizontal="center" vertical="center"/>
    </xf>
    <xf numFmtId="0" fontId="5" fillId="0" borderId="13" xfId="0" applyFont="1" applyBorder="1" applyAlignment="1">
      <alignment horizontal="center"/>
    </xf>
    <xf numFmtId="167" fontId="5" fillId="0" borderId="14" xfId="1" applyNumberFormat="1" applyFont="1" applyFill="1" applyBorder="1" applyAlignment="1">
      <alignment wrapText="1"/>
    </xf>
    <xf numFmtId="0" fontId="5" fillId="0" borderId="15" xfId="0" applyFont="1" applyBorder="1" applyAlignment="1">
      <alignment horizontal="center" vertical="center"/>
    </xf>
    <xf numFmtId="0" fontId="5" fillId="0" borderId="6" xfId="0" applyFont="1" applyBorder="1" applyAlignment="1">
      <alignment horizontal="center"/>
    </xf>
    <xf numFmtId="167" fontId="5" fillId="0" borderId="7" xfId="0" applyNumberFormat="1" applyFont="1" applyBorder="1" applyAlignment="1">
      <alignment wrapText="1"/>
    </xf>
    <xf numFmtId="0" fontId="5" fillId="0" borderId="17" xfId="0" applyFont="1" applyBorder="1" applyAlignment="1">
      <alignment horizontal="center" vertical="center"/>
    </xf>
    <xf numFmtId="0" fontId="5" fillId="0" borderId="17" xfId="0" applyFont="1" applyBorder="1" applyAlignment="1">
      <alignment horizontal="center"/>
    </xf>
    <xf numFmtId="167" fontId="5" fillId="0" borderId="18" xfId="0" applyNumberFormat="1" applyFont="1" applyBorder="1" applyAlignment="1">
      <alignment wrapText="1"/>
    </xf>
    <xf numFmtId="8" fontId="5" fillId="0" borderId="19" xfId="2" applyNumberFormat="1" applyFont="1" applyFill="1" applyBorder="1" applyAlignment="1">
      <alignment vertical="center"/>
    </xf>
    <xf numFmtId="3" fontId="5" fillId="0" borderId="6" xfId="0" applyNumberFormat="1" applyFont="1" applyBorder="1" applyAlignment="1">
      <alignment vertical="center" wrapText="1"/>
    </xf>
    <xf numFmtId="0" fontId="5" fillId="0" borderId="4" xfId="0" applyFont="1" applyBorder="1"/>
    <xf numFmtId="7" fontId="5" fillId="0" borderId="6" xfId="2" applyNumberFormat="1" applyFont="1" applyFill="1" applyBorder="1"/>
    <xf numFmtId="0" fontId="5" fillId="0" borderId="4" xfId="0" applyFont="1" applyBorder="1" applyAlignment="1">
      <alignment horizontal="center"/>
    </xf>
    <xf numFmtId="8" fontId="5" fillId="0" borderId="6" xfId="0" applyNumberFormat="1" applyFont="1" applyBorder="1" applyAlignment="1">
      <alignment vertical="center"/>
    </xf>
    <xf numFmtId="0" fontId="5" fillId="0" borderId="6" xfId="0" applyFont="1" applyBorder="1"/>
    <xf numFmtId="0" fontId="5" fillId="0" borderId="11" xfId="0" applyFont="1" applyBorder="1" applyAlignment="1">
      <alignment horizontal="left" vertical="top" wrapText="1"/>
    </xf>
    <xf numFmtId="0" fontId="5" fillId="0" borderId="20" xfId="0" applyFont="1" applyBorder="1" applyAlignment="1">
      <alignment horizontal="left" vertical="top" wrapText="1"/>
    </xf>
    <xf numFmtId="0" fontId="5" fillId="0" borderId="6" xfId="0" applyFont="1" applyBorder="1" applyAlignment="1">
      <alignment vertical="top" wrapText="1"/>
    </xf>
    <xf numFmtId="8" fontId="5" fillId="0" borderId="6" xfId="0" applyNumberFormat="1" applyFont="1" applyBorder="1" applyAlignment="1">
      <alignment horizontal="center" vertical="center" wrapText="1"/>
    </xf>
    <xf numFmtId="0" fontId="5" fillId="0" borderId="0" xfId="0" applyFont="1" applyAlignment="1">
      <alignment horizontal="left" vertical="top" wrapText="1"/>
    </xf>
    <xf numFmtId="0" fontId="5" fillId="0" borderId="19" xfId="0" applyFont="1" applyBorder="1" applyAlignment="1">
      <alignment vertical="top" wrapText="1"/>
    </xf>
    <xf numFmtId="0" fontId="5" fillId="0" borderId="19" xfId="0" applyFont="1" applyBorder="1" applyAlignment="1">
      <alignment horizontal="center" vertical="center" wrapText="1"/>
    </xf>
    <xf numFmtId="8" fontId="5" fillId="0" borderId="19" xfId="0" applyNumberFormat="1" applyFont="1" applyBorder="1" applyAlignment="1">
      <alignment horizontal="right" vertical="center"/>
    </xf>
    <xf numFmtId="8" fontId="4" fillId="0" borderId="19"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168" fontId="5" fillId="0" borderId="23" xfId="0" applyNumberFormat="1" applyFont="1" applyBorder="1" applyAlignment="1">
      <alignment horizontal="right" vertical="center"/>
    </xf>
    <xf numFmtId="0" fontId="5" fillId="0" borderId="27" xfId="0" applyFont="1" applyBorder="1" applyAlignment="1">
      <alignment vertical="top" wrapText="1"/>
    </xf>
    <xf numFmtId="165" fontId="5" fillId="0" borderId="4" xfId="0" applyNumberFormat="1" applyFont="1" applyBorder="1" applyAlignment="1">
      <alignment horizontal="center" vertical="center" wrapText="1"/>
    </xf>
    <xf numFmtId="0" fontId="5" fillId="0" borderId="22" xfId="0" applyFont="1" applyBorder="1" applyAlignment="1">
      <alignment horizontal="left" vertical="top" wrapText="1"/>
    </xf>
    <xf numFmtId="0" fontId="4" fillId="0" borderId="23" xfId="0" applyFont="1" applyBorder="1" applyAlignment="1">
      <alignment horizontal="center" vertical="center"/>
    </xf>
    <xf numFmtId="1" fontId="5" fillId="0" borderId="4" xfId="0" applyNumberFormat="1" applyFont="1" applyBorder="1"/>
    <xf numFmtId="0" fontId="5" fillId="0" borderId="4" xfId="0" applyFont="1" applyBorder="1" applyAlignment="1">
      <alignment horizontal="center" wrapText="1"/>
    </xf>
    <xf numFmtId="0" fontId="5" fillId="0" borderId="6" xfId="0" applyFont="1" applyBorder="1" applyAlignment="1">
      <alignment wrapText="1"/>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horizontal="center" vertical="center" wrapText="1"/>
    </xf>
    <xf numFmtId="164" fontId="5" fillId="0" borderId="0" xfId="2" applyNumberFormat="1" applyFont="1" applyFill="1" applyAlignment="1"/>
    <xf numFmtId="0" fontId="4" fillId="0" borderId="6" xfId="0" applyFont="1" applyBorder="1" applyAlignment="1">
      <alignment horizontal="center"/>
    </xf>
    <xf numFmtId="8" fontId="5" fillId="0" borderId="19" xfId="0" applyNumberFormat="1" applyFont="1" applyBorder="1" applyAlignment="1">
      <alignment wrapText="1"/>
    </xf>
    <xf numFmtId="0" fontId="5" fillId="0" borderId="19" xfId="0" applyFont="1" applyBorder="1" applyAlignment="1">
      <alignment horizontal="center" wrapText="1"/>
    </xf>
    <xf numFmtId="166" fontId="5" fillId="0" borderId="19" xfId="0" applyNumberFormat="1" applyFont="1" applyBorder="1" applyAlignment="1">
      <alignment horizontal="center" wrapText="1"/>
    </xf>
    <xf numFmtId="164" fontId="5" fillId="0" borderId="19" xfId="0" applyNumberFormat="1" applyFont="1" applyBorder="1" applyAlignment="1">
      <alignment horizontal="right" wrapText="1"/>
    </xf>
    <xf numFmtId="44" fontId="5" fillId="0" borderId="0" xfId="2" applyFont="1" applyFill="1" applyBorder="1" applyAlignment="1"/>
    <xf numFmtId="0" fontId="4" fillId="0" borderId="8" xfId="0" applyFont="1" applyBorder="1" applyAlignment="1">
      <alignment vertical="center"/>
    </xf>
    <xf numFmtId="0" fontId="4" fillId="0" borderId="9" xfId="0" applyFont="1" applyBorder="1" applyAlignment="1">
      <alignment vertical="center"/>
    </xf>
    <xf numFmtId="0" fontId="4" fillId="0" borderId="30" xfId="0" applyFont="1" applyBorder="1" applyAlignment="1">
      <alignment horizontal="center" vertical="center"/>
    </xf>
    <xf numFmtId="0" fontId="5" fillId="0" borderId="30" xfId="0" applyFont="1" applyBorder="1" applyAlignment="1">
      <alignment horizontal="center" vertical="center"/>
    </xf>
    <xf numFmtId="0" fontId="5" fillId="0" borderId="23" xfId="0" applyFont="1" applyBorder="1" applyAlignment="1">
      <alignment vertical="center"/>
    </xf>
    <xf numFmtId="169" fontId="5" fillId="0" borderId="31" xfId="1" applyNumberFormat="1" applyFont="1" applyFill="1" applyBorder="1" applyAlignment="1">
      <alignment vertical="center"/>
    </xf>
    <xf numFmtId="0" fontId="5" fillId="0" borderId="31" xfId="0" applyFont="1" applyBorder="1" applyAlignment="1">
      <alignment horizontal="center" vertical="center" wrapText="1"/>
    </xf>
    <xf numFmtId="0" fontId="4" fillId="0" borderId="30" xfId="0" applyFont="1" applyBorder="1" applyAlignment="1">
      <alignment horizontal="center"/>
    </xf>
    <xf numFmtId="0" fontId="4" fillId="0" borderId="23" xfId="0" applyFont="1" applyBorder="1" applyAlignment="1">
      <alignment horizontal="center"/>
    </xf>
    <xf numFmtId="166" fontId="5" fillId="0" borderId="11" xfId="0" applyNumberFormat="1" applyFont="1" applyBorder="1" applyAlignment="1">
      <alignment horizontal="center" wrapText="1"/>
    </xf>
    <xf numFmtId="0" fontId="5" fillId="0" borderId="0" xfId="0" applyFont="1" applyAlignment="1">
      <alignment horizontal="center" vertical="center"/>
    </xf>
    <xf numFmtId="0" fontId="5" fillId="0" borderId="30" xfId="0" applyFont="1" applyBorder="1" applyAlignment="1">
      <alignment horizontal="center" vertical="center" wrapText="1"/>
    </xf>
    <xf numFmtId="164" fontId="5" fillId="0" borderId="0" xfId="2" applyNumberFormat="1" applyFont="1" applyFill="1" applyBorder="1" applyAlignment="1"/>
    <xf numFmtId="8" fontId="5" fillId="0" borderId="6" xfId="0" applyNumberFormat="1" applyFont="1" applyBorder="1" applyAlignment="1">
      <alignment wrapText="1"/>
    </xf>
    <xf numFmtId="0" fontId="5" fillId="0" borderId="6" xfId="0" applyFont="1" applyBorder="1" applyAlignment="1">
      <alignment horizontal="center" wrapText="1"/>
    </xf>
    <xf numFmtId="166" fontId="5" fillId="0" borderId="8" xfId="0" applyNumberFormat="1" applyFont="1" applyBorder="1" applyAlignment="1">
      <alignment horizontal="center" wrapText="1"/>
    </xf>
    <xf numFmtId="166" fontId="5" fillId="0" borderId="9" xfId="0" applyNumberFormat="1" applyFont="1" applyBorder="1" applyAlignment="1">
      <alignment horizontal="center" wrapText="1"/>
    </xf>
    <xf numFmtId="164" fontId="5" fillId="0" borderId="6" xfId="0" applyNumberFormat="1" applyFont="1" applyBorder="1" applyAlignment="1">
      <alignment horizontal="right" wrapText="1"/>
    </xf>
    <xf numFmtId="44" fontId="6" fillId="0" borderId="0" xfId="2" applyFont="1" applyFill="1" applyBorder="1" applyAlignment="1">
      <alignment horizontal="right" vertical="top"/>
    </xf>
    <xf numFmtId="169" fontId="5" fillId="0" borderId="4" xfId="1" applyNumberFormat="1" applyFont="1" applyFill="1" applyBorder="1" applyAlignment="1">
      <alignment vertical="center"/>
    </xf>
    <xf numFmtId="0" fontId="5" fillId="0" borderId="0" xfId="0" applyFont="1" applyAlignment="1">
      <alignment horizontal="center" vertical="center" wrapText="1"/>
    </xf>
    <xf numFmtId="44" fontId="5" fillId="0" borderId="0" xfId="2" applyFont="1" applyFill="1" applyAlignment="1">
      <alignment wrapText="1"/>
    </xf>
    <xf numFmtId="166" fontId="4" fillId="0" borderId="19" xfId="0" applyNumberFormat="1" applyFont="1" applyBorder="1" applyAlignment="1">
      <alignment horizontal="center"/>
    </xf>
    <xf numFmtId="0" fontId="7" fillId="0" borderId="19" xfId="0" applyFont="1" applyBorder="1" applyAlignment="1">
      <alignment horizontal="center" vertical="center"/>
    </xf>
    <xf numFmtId="0" fontId="7" fillId="0" borderId="1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xf numFmtId="8" fontId="5" fillId="0" borderId="0" xfId="2" applyNumberFormat="1" applyFont="1" applyFill="1" applyAlignment="1"/>
    <xf numFmtId="0" fontId="8" fillId="0" borderId="38" xfId="0" applyFont="1" applyBorder="1" applyAlignment="1">
      <alignment horizontal="center" vertical="center"/>
    </xf>
    <xf numFmtId="2" fontId="8" fillId="0" borderId="38" xfId="0" applyNumberFormat="1" applyFont="1" applyBorder="1" applyAlignment="1">
      <alignment horizontal="right" vertical="center" wrapText="1"/>
    </xf>
    <xf numFmtId="8" fontId="8" fillId="0" borderId="38" xfId="0" applyNumberFormat="1" applyFont="1" applyBorder="1" applyAlignment="1">
      <alignment horizontal="center" vertical="center" wrapText="1"/>
    </xf>
    <xf numFmtId="8" fontId="8" fillId="0" borderId="38" xfId="0" applyNumberFormat="1" applyFont="1" applyBorder="1" applyAlignment="1">
      <alignment horizontal="center" vertical="center"/>
    </xf>
    <xf numFmtId="0" fontId="7" fillId="0" borderId="38" xfId="0" applyFont="1" applyBorder="1" applyAlignment="1">
      <alignment horizontal="center" vertical="center" wrapText="1"/>
    </xf>
    <xf numFmtId="8" fontId="5" fillId="0" borderId="4" xfId="0" applyNumberFormat="1" applyFont="1" applyBorder="1" applyAlignment="1">
      <alignment wrapText="1"/>
    </xf>
    <xf numFmtId="166" fontId="4" fillId="0" borderId="30" xfId="0" applyNumberFormat="1" applyFont="1" applyBorder="1" applyAlignment="1">
      <alignment horizontal="center" wrapText="1"/>
    </xf>
    <xf numFmtId="164" fontId="5" fillId="0" borderId="4" xfId="0" applyNumberFormat="1" applyFont="1" applyBorder="1" applyAlignment="1">
      <alignment horizontal="right" wrapText="1"/>
    </xf>
    <xf numFmtId="170" fontId="5" fillId="0" borderId="10" xfId="1" applyNumberFormat="1" applyFont="1" applyFill="1" applyBorder="1" applyAlignment="1">
      <alignment vertical="center"/>
    </xf>
    <xf numFmtId="8" fontId="5" fillId="0" borderId="0" xfId="0" applyNumberFormat="1" applyFont="1"/>
    <xf numFmtId="0" fontId="4" fillId="0" borderId="19" xfId="0" applyFont="1" applyBorder="1" applyAlignment="1">
      <alignment horizontal="center" wrapText="1"/>
    </xf>
    <xf numFmtId="0" fontId="4" fillId="0" borderId="19" xfId="0" applyFont="1" applyBorder="1" applyAlignment="1">
      <alignment horizontal="center"/>
    </xf>
    <xf numFmtId="49" fontId="8" fillId="0" borderId="0" xfId="0" applyNumberFormat="1" applyFont="1" applyAlignment="1">
      <alignment horizontal="center" vertical="center"/>
    </xf>
    <xf numFmtId="3" fontId="8" fillId="0" borderId="0" xfId="0" applyNumberFormat="1" applyFont="1" applyAlignment="1">
      <alignment horizontal="right" vertical="center"/>
    </xf>
    <xf numFmtId="8" fontId="5" fillId="0" borderId="6" xfId="0" applyNumberFormat="1" applyFont="1" applyBorder="1" applyAlignment="1">
      <alignmen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5" fillId="0" borderId="20" xfId="0" applyFont="1" applyBorder="1" applyAlignment="1">
      <alignment horizontal="left" wrapText="1"/>
    </xf>
    <xf numFmtId="4" fontId="5" fillId="0" borderId="6" xfId="0" applyNumberFormat="1" applyFont="1" applyBorder="1" applyAlignment="1">
      <alignment vertical="center" wrapText="1"/>
    </xf>
    <xf numFmtId="0" fontId="5" fillId="0" borderId="8" xfId="0" applyFont="1" applyBorder="1" applyAlignment="1">
      <alignment vertical="center"/>
    </xf>
    <xf numFmtId="171" fontId="5" fillId="0" borderId="6" xfId="0" applyNumberFormat="1" applyFont="1" applyBorder="1" applyAlignment="1">
      <alignment horizontal="right" vertical="center"/>
    </xf>
    <xf numFmtId="164" fontId="5" fillId="0" borderId="0" xfId="0" applyNumberFormat="1" applyFont="1" applyAlignment="1">
      <alignment horizontal="left" vertical="center"/>
    </xf>
    <xf numFmtId="0" fontId="5" fillId="0" borderId="0" xfId="0" applyFont="1" applyAlignment="1">
      <alignment horizontal="left" wrapText="1"/>
    </xf>
    <xf numFmtId="44" fontId="5" fillId="0" borderId="6" xfId="2" applyFont="1" applyFill="1" applyBorder="1" applyAlignment="1">
      <alignment vertical="center"/>
    </xf>
    <xf numFmtId="0" fontId="4" fillId="0" borderId="0" xfId="0" applyFont="1" applyAlignment="1">
      <alignment horizontal="center" vertical="center"/>
    </xf>
    <xf numFmtId="0" fontId="4" fillId="0" borderId="0" xfId="0" applyFont="1" applyAlignment="1">
      <alignment vertical="center" wrapText="1"/>
    </xf>
    <xf numFmtId="37" fontId="5" fillId="0" borderId="0" xfId="1" applyNumberFormat="1" applyFont="1" applyFill="1" applyBorder="1" applyAlignment="1">
      <alignment vertical="center"/>
    </xf>
    <xf numFmtId="0" fontId="4" fillId="0" borderId="0" xfId="0" applyFont="1" applyAlignment="1">
      <alignment horizontal="center" vertical="center" wrapText="1"/>
    </xf>
    <xf numFmtId="0" fontId="5" fillId="0" borderId="19" xfId="0" applyFont="1" applyBorder="1"/>
    <xf numFmtId="0" fontId="4" fillId="0" borderId="27" xfId="0" applyFont="1" applyBorder="1" applyAlignment="1">
      <alignment horizontal="center" vertical="center"/>
    </xf>
    <xf numFmtId="171" fontId="5" fillId="0" borderId="19" xfId="0" applyNumberFormat="1" applyFont="1" applyBorder="1" applyAlignment="1">
      <alignment horizontal="right" vertical="center"/>
    </xf>
    <xf numFmtId="7" fontId="5" fillId="0" borderId="0" xfId="2" applyNumberFormat="1" applyFont="1" applyFill="1" applyBorder="1" applyAlignment="1">
      <alignment wrapText="1"/>
    </xf>
    <xf numFmtId="0" fontId="5" fillId="0" borderId="6" xfId="0" applyFont="1" applyBorder="1" applyAlignment="1">
      <alignment vertical="center"/>
    </xf>
    <xf numFmtId="0" fontId="5" fillId="0" borderId="10" xfId="0" applyFont="1" applyBorder="1" applyAlignment="1">
      <alignment vertical="center"/>
    </xf>
    <xf numFmtId="44" fontId="5" fillId="0" borderId="0" xfId="2" applyFont="1" applyFill="1" applyBorder="1" applyAlignment="1">
      <alignment wrapText="1"/>
    </xf>
    <xf numFmtId="0" fontId="5" fillId="0" borderId="6" xfId="0" applyFont="1" applyBorder="1" applyAlignment="1">
      <alignment horizontal="right" vertical="center"/>
    </xf>
    <xf numFmtId="0" fontId="5" fillId="0" borderId="27" xfId="0" applyFont="1" applyBorder="1"/>
    <xf numFmtId="0" fontId="4" fillId="0" borderId="19" xfId="0" applyFont="1" applyBorder="1" applyAlignment="1">
      <alignment horizontal="center" vertical="center"/>
    </xf>
    <xf numFmtId="171" fontId="5" fillId="0" borderId="19" xfId="0" applyNumberFormat="1" applyFont="1" applyBorder="1" applyAlignment="1">
      <alignment vertical="center"/>
    </xf>
    <xf numFmtId="0" fontId="5" fillId="0" borderId="10" xfId="0" applyFont="1" applyBorder="1" applyAlignment="1">
      <alignment vertical="center" wrapText="1"/>
    </xf>
    <xf numFmtId="164" fontId="5" fillId="0" borderId="4" xfId="0" applyNumberFormat="1" applyFont="1" applyBorder="1" applyAlignment="1">
      <alignment horizontal="center" vertical="center" wrapText="1"/>
    </xf>
    <xf numFmtId="169" fontId="5" fillId="0" borderId="10" xfId="1" applyNumberFormat="1" applyFont="1" applyFill="1" applyBorder="1" applyAlignment="1">
      <alignment vertical="center"/>
    </xf>
    <xf numFmtId="0" fontId="8" fillId="0" borderId="38" xfId="0" applyFont="1" applyBorder="1" applyAlignment="1">
      <alignment horizontal="center" vertical="center" wrapText="1"/>
    </xf>
    <xf numFmtId="166" fontId="4" fillId="0" borderId="30" xfId="0" applyNumberFormat="1" applyFont="1" applyBorder="1" applyAlignment="1">
      <alignment horizontal="center" vertical="center" wrapText="1"/>
    </xf>
    <xf numFmtId="164" fontId="5" fillId="0" borderId="4" xfId="0" applyNumberFormat="1" applyFont="1" applyBorder="1" applyAlignment="1">
      <alignment horizontal="right" vertical="center" wrapText="1"/>
    </xf>
    <xf numFmtId="0" fontId="5" fillId="0" borderId="9" xfId="0" applyFont="1" applyBorder="1" applyAlignment="1">
      <alignment horizontal="center" vertical="center"/>
    </xf>
    <xf numFmtId="8" fontId="8" fillId="0" borderId="0" xfId="0" applyNumberFormat="1" applyFont="1" applyAlignment="1">
      <alignment horizontal="center" vertical="center" wrapText="1"/>
    </xf>
    <xf numFmtId="169" fontId="5" fillId="0" borderId="9" xfId="1" applyNumberFormat="1" applyFont="1" applyFill="1" applyBorder="1" applyAlignment="1">
      <alignment vertical="center"/>
    </xf>
    <xf numFmtId="0" fontId="5" fillId="0" borderId="0" xfId="0" applyFont="1" applyAlignment="1">
      <alignment horizontal="left" vertical="center" wrapText="1"/>
    </xf>
    <xf numFmtId="169" fontId="5" fillId="0" borderId="9" xfId="1" applyNumberFormat="1" applyFont="1" applyFill="1" applyBorder="1" applyAlignment="1">
      <alignment horizontal="center" vertical="center"/>
    </xf>
    <xf numFmtId="0" fontId="7" fillId="0" borderId="38" xfId="0" applyFont="1" applyBorder="1" applyAlignment="1">
      <alignment horizontal="center" vertical="center"/>
    </xf>
    <xf numFmtId="0" fontId="5" fillId="0" borderId="8" xfId="0" applyFont="1" applyBorder="1" applyAlignment="1">
      <alignment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169" fontId="5" fillId="0" borderId="6" xfId="0" applyNumberFormat="1" applyFont="1" applyBorder="1" applyAlignment="1">
      <alignment vertical="center"/>
    </xf>
    <xf numFmtId="165" fontId="5" fillId="0" borderId="6" xfId="0" applyNumberFormat="1" applyFont="1" applyBorder="1" applyAlignment="1">
      <alignment horizontal="center" vertical="center"/>
    </xf>
    <xf numFmtId="165" fontId="5" fillId="0" borderId="4" xfId="0" applyNumberFormat="1" applyFont="1" applyBorder="1" applyAlignment="1">
      <alignment vertical="center"/>
    </xf>
    <xf numFmtId="0" fontId="5" fillId="0" borderId="6" xfId="0" applyFont="1" applyBorder="1" applyAlignment="1">
      <alignment horizontal="left" wrapText="1"/>
    </xf>
    <xf numFmtId="169" fontId="5" fillId="0" borderId="8" xfId="0" applyNumberFormat="1" applyFont="1" applyBorder="1" applyAlignment="1">
      <alignment horizontal="center"/>
    </xf>
    <xf numFmtId="169" fontId="5" fillId="0" borderId="10" xfId="0" applyNumberFormat="1" applyFont="1" applyBorder="1" applyAlignment="1">
      <alignment horizontal="center"/>
    </xf>
    <xf numFmtId="169" fontId="5" fillId="0" borderId="9" xfId="0" applyNumberFormat="1" applyFont="1" applyBorder="1" applyAlignment="1">
      <alignment horizontal="center"/>
    </xf>
    <xf numFmtId="0" fontId="4" fillId="0" borderId="6" xfId="0" applyFont="1" applyBorder="1" applyAlignment="1">
      <alignment horizontal="right"/>
    </xf>
    <xf numFmtId="169" fontId="5" fillId="0" borderId="10" xfId="1" applyNumberFormat="1" applyFont="1" applyFill="1" applyBorder="1" applyAlignment="1">
      <alignment horizontal="center" vertical="center"/>
    </xf>
    <xf numFmtId="8" fontId="5" fillId="0" borderId="6" xfId="2" applyNumberFormat="1" applyFont="1" applyFill="1" applyBorder="1"/>
    <xf numFmtId="0" fontId="5" fillId="0" borderId="0" xfId="0" applyFont="1" applyAlignment="1">
      <alignment vertical="top" wrapText="1"/>
    </xf>
    <xf numFmtId="0" fontId="4" fillId="0" borderId="8" xfId="0" applyFont="1" applyBorder="1" applyAlignment="1">
      <alignment horizontal="left" wrapText="1"/>
    </xf>
    <xf numFmtId="0" fontId="4" fillId="0" borderId="10" xfId="0" applyFont="1" applyBorder="1" applyAlignment="1">
      <alignment horizontal="left" wrapText="1"/>
    </xf>
    <xf numFmtId="0" fontId="4" fillId="0" borderId="9" xfId="0" applyFont="1" applyBorder="1" applyAlignment="1">
      <alignment horizontal="left" wrapText="1"/>
    </xf>
    <xf numFmtId="0" fontId="5" fillId="0" borderId="8" xfId="0" applyFont="1" applyBorder="1" applyAlignment="1">
      <alignment horizontal="left" vertical="center"/>
    </xf>
    <xf numFmtId="0" fontId="5" fillId="0" borderId="10" xfId="0" applyFont="1" applyBorder="1" applyAlignment="1">
      <alignment horizontal="left" vertical="center"/>
    </xf>
    <xf numFmtId="0" fontId="5" fillId="0" borderId="9" xfId="0" applyFont="1" applyBorder="1" applyAlignment="1">
      <alignment horizontal="left" vertical="center"/>
    </xf>
    <xf numFmtId="2" fontId="5" fillId="0" borderId="8" xfId="0" applyNumberFormat="1" applyFont="1" applyBorder="1" applyAlignment="1">
      <alignment horizontal="center" vertical="center" wrapText="1"/>
    </xf>
    <xf numFmtId="2" fontId="5" fillId="0" borderId="9" xfId="0" applyNumberFormat="1" applyFont="1" applyBorder="1" applyAlignment="1">
      <alignment horizontal="center" vertical="center" wrapText="1"/>
    </xf>
    <xf numFmtId="44" fontId="5" fillId="0" borderId="8" xfId="2" applyFont="1" applyFill="1" applyBorder="1" applyAlignment="1">
      <alignment horizontal="center" vertical="center"/>
    </xf>
    <xf numFmtId="44" fontId="5" fillId="0" borderId="19" xfId="2" applyFont="1" applyFill="1" applyBorder="1" applyAlignment="1">
      <alignment horizontal="center" vertical="center"/>
    </xf>
    <xf numFmtId="0" fontId="5" fillId="0" borderId="8" xfId="0" applyFont="1" applyBorder="1" applyAlignment="1">
      <alignment horizontal="left"/>
    </xf>
    <xf numFmtId="0" fontId="5" fillId="0" borderId="10" xfId="0" applyFont="1" applyBorder="1" applyAlignment="1">
      <alignment horizontal="left"/>
    </xf>
    <xf numFmtId="0" fontId="5" fillId="0" borderId="9" xfId="0" applyFont="1" applyBorder="1" applyAlignment="1">
      <alignment horizontal="left"/>
    </xf>
    <xf numFmtId="44" fontId="5" fillId="0" borderId="8" xfId="2" applyFont="1" applyFill="1" applyBorder="1" applyAlignment="1">
      <alignment horizontal="center"/>
    </xf>
    <xf numFmtId="0" fontId="5" fillId="0" borderId="6" xfId="0" applyFont="1" applyBorder="1" applyAlignment="1">
      <alignment horizontal="right" wrapText="1"/>
    </xf>
    <xf numFmtId="2" fontId="5" fillId="0" borderId="6" xfId="2" applyNumberFormat="1" applyFont="1" applyFill="1" applyBorder="1" applyAlignment="1">
      <alignment horizontal="center"/>
    </xf>
    <xf numFmtId="0" fontId="5" fillId="0" borderId="6" xfId="0" applyFont="1" applyBorder="1" applyAlignment="1">
      <alignment horizontal="right"/>
    </xf>
    <xf numFmtId="0" fontId="5" fillId="0" borderId="8" xfId="0" applyFont="1" applyBorder="1" applyAlignment="1">
      <alignment horizontal="left" wrapText="1"/>
    </xf>
    <xf numFmtId="0" fontId="5" fillId="0" borderId="10" xfId="0" applyFont="1" applyBorder="1" applyAlignment="1">
      <alignment horizontal="left" wrapText="1"/>
    </xf>
    <xf numFmtId="0" fontId="5" fillId="0" borderId="9" xfId="0" applyFont="1" applyBorder="1" applyAlignment="1">
      <alignment horizontal="left" wrapText="1"/>
    </xf>
    <xf numFmtId="169" fontId="5" fillId="0" borderId="8" xfId="0" applyNumberFormat="1" applyFont="1" applyBorder="1" applyAlignment="1">
      <alignment wrapText="1"/>
    </xf>
    <xf numFmtId="169" fontId="5" fillId="0" borderId="10" xfId="0" applyNumberFormat="1" applyFont="1" applyBorder="1" applyAlignment="1">
      <alignment wrapText="1"/>
    </xf>
    <xf numFmtId="169" fontId="5" fillId="0" borderId="9" xfId="0" applyNumberFormat="1" applyFont="1" applyBorder="1" applyAlignment="1">
      <alignment wrapText="1"/>
    </xf>
    <xf numFmtId="44" fontId="5" fillId="0" borderId="6" xfId="2" applyFont="1" applyFill="1" applyBorder="1" applyAlignment="1">
      <alignment wrapText="1"/>
    </xf>
    <xf numFmtId="0" fontId="5" fillId="0" borderId="11" xfId="0" applyFont="1" applyBorder="1" applyAlignment="1">
      <alignment horizontal="center"/>
    </xf>
    <xf numFmtId="169" fontId="5" fillId="0" borderId="20" xfId="0" applyNumberFormat="1" applyFont="1" applyBorder="1"/>
    <xf numFmtId="166" fontId="5" fillId="0" borderId="6" xfId="0" applyNumberFormat="1" applyFont="1" applyBorder="1"/>
    <xf numFmtId="8" fontId="5" fillId="0" borderId="20" xfId="2" applyNumberFormat="1" applyFont="1" applyFill="1" applyBorder="1"/>
    <xf numFmtId="0" fontId="5" fillId="0" borderId="22" xfId="0" applyFont="1" applyBorder="1" applyAlignment="1">
      <alignment horizontal="center"/>
    </xf>
    <xf numFmtId="44" fontId="5" fillId="0" borderId="6" xfId="2" applyFont="1" applyFill="1" applyBorder="1"/>
    <xf numFmtId="0" fontId="4" fillId="0" borderId="8" xfId="0" applyFont="1" applyBorder="1" applyAlignment="1">
      <alignment horizontal="left"/>
    </xf>
    <xf numFmtId="0" fontId="4" fillId="0" borderId="10" xfId="0" applyFont="1" applyBorder="1" applyAlignment="1">
      <alignment horizontal="left"/>
    </xf>
    <xf numFmtId="0" fontId="4" fillId="0" borderId="9" xfId="0" applyFont="1" applyBorder="1" applyAlignment="1">
      <alignment horizontal="left"/>
    </xf>
    <xf numFmtId="0" fontId="4" fillId="0" borderId="4" xfId="0" applyFont="1" applyBorder="1" applyAlignment="1">
      <alignment horizontal="center"/>
    </xf>
    <xf numFmtId="44" fontId="5" fillId="0" borderId="6" xfId="2" applyFont="1" applyFill="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5" fillId="0" borderId="6" xfId="0" applyFont="1" applyBorder="1" applyAlignment="1">
      <alignment horizontal="left"/>
    </xf>
    <xf numFmtId="0" fontId="5" fillId="0" borderId="19" xfId="0" applyFont="1" applyBorder="1" applyAlignment="1">
      <alignment horizontal="center"/>
    </xf>
    <xf numFmtId="166" fontId="5" fillId="0" borderId="19" xfId="0" applyNumberFormat="1" applyFont="1" applyBorder="1"/>
    <xf numFmtId="44" fontId="5" fillId="0" borderId="19" xfId="2" applyFont="1" applyFill="1" applyBorder="1"/>
    <xf numFmtId="0" fontId="4" fillId="0" borderId="6" xfId="0" applyFont="1" applyBorder="1" applyAlignment="1">
      <alignment horizontal="center" vertical="center"/>
    </xf>
    <xf numFmtId="44" fontId="5" fillId="0" borderId="0" xfId="0" applyNumberFormat="1" applyFont="1" applyAlignment="1">
      <alignment vertical="center"/>
    </xf>
    <xf numFmtId="44" fontId="5" fillId="0" borderId="6" xfId="0" applyNumberFormat="1" applyFont="1" applyBorder="1" applyAlignment="1">
      <alignment horizontal="left" vertical="center"/>
    </xf>
    <xf numFmtId="3" fontId="5" fillId="0" borderId="6" xfId="0" applyNumberFormat="1" applyFont="1" applyBorder="1" applyAlignment="1">
      <alignment horizontal="center" vertical="center"/>
    </xf>
    <xf numFmtId="166" fontId="5" fillId="0" borderId="8" xfId="0" applyNumberFormat="1" applyFont="1" applyBorder="1" applyAlignment="1">
      <alignment horizontal="center" vertical="center"/>
    </xf>
    <xf numFmtId="166" fontId="5" fillId="0" borderId="9" xfId="0" applyNumberFormat="1" applyFont="1" applyBorder="1" applyAlignment="1">
      <alignment horizontal="center" vertical="center"/>
    </xf>
    <xf numFmtId="0" fontId="5" fillId="0" borderId="6" xfId="0" applyFont="1" applyBorder="1" applyAlignment="1">
      <alignment horizontal="left" vertical="center"/>
    </xf>
    <xf numFmtId="3" fontId="5" fillId="0" borderId="6" xfId="0" applyNumberFormat="1" applyFont="1" applyBorder="1" applyAlignment="1">
      <alignment horizontal="left" vertical="center"/>
    </xf>
    <xf numFmtId="2" fontId="5" fillId="0" borderId="6" xfId="0" applyNumberFormat="1" applyFont="1" applyBorder="1" applyAlignment="1">
      <alignment horizontal="left" vertical="center"/>
    </xf>
    <xf numFmtId="2" fontId="5" fillId="0" borderId="6" xfId="0" applyNumberFormat="1" applyFont="1" applyBorder="1" applyAlignment="1">
      <alignment horizontal="center" vertical="center"/>
    </xf>
    <xf numFmtId="2" fontId="4" fillId="0" borderId="6" xfId="0" applyNumberFormat="1" applyFont="1" applyBorder="1" applyAlignment="1">
      <alignment horizontal="center" vertical="center"/>
    </xf>
    <xf numFmtId="0" fontId="4" fillId="0" borderId="11" xfId="0" applyFont="1" applyBorder="1" applyAlignment="1">
      <alignment horizontal="center" vertical="center"/>
    </xf>
    <xf numFmtId="0" fontId="4" fillId="0" borderId="22" xfId="0" applyFont="1" applyBorder="1" applyAlignment="1">
      <alignment horizontal="center" vertical="center"/>
    </xf>
    <xf numFmtId="0" fontId="5" fillId="0" borderId="11" xfId="0" applyFont="1" applyBorder="1" applyAlignment="1">
      <alignment horizontal="center" vertical="center"/>
    </xf>
    <xf numFmtId="0" fontId="5" fillId="0" borderId="22" xfId="0" applyFont="1" applyBorder="1" applyAlignment="1">
      <alignment vertical="center"/>
    </xf>
    <xf numFmtId="0" fontId="5" fillId="0" borderId="20" xfId="0" applyFont="1" applyBorder="1" applyAlignment="1">
      <alignment horizontal="center" vertical="center" wrapText="1"/>
    </xf>
    <xf numFmtId="169" fontId="5" fillId="0" borderId="20" xfId="1" applyNumberFormat="1" applyFont="1" applyFill="1" applyBorder="1" applyAlignment="1">
      <alignment vertical="center"/>
    </xf>
    <xf numFmtId="172" fontId="5" fillId="0" borderId="6" xfId="0" applyNumberFormat="1" applyFont="1" applyBorder="1" applyAlignment="1">
      <alignment horizontal="center" vertical="center"/>
    </xf>
    <xf numFmtId="0" fontId="4" fillId="0" borderId="46" xfId="0" applyFont="1" applyBorder="1" applyAlignment="1">
      <alignment vertical="center"/>
    </xf>
    <xf numFmtId="0" fontId="4" fillId="0" borderId="46" xfId="0" applyFont="1" applyBorder="1" applyAlignment="1">
      <alignment horizontal="center" vertical="center" wrapText="1"/>
    </xf>
    <xf numFmtId="169" fontId="4" fillId="0" borderId="46" xfId="1" applyNumberFormat="1" applyFont="1" applyFill="1" applyBorder="1" applyAlignment="1">
      <alignment horizontal="center" vertical="center"/>
    </xf>
    <xf numFmtId="0" fontId="4" fillId="0" borderId="46" xfId="0" applyFont="1" applyBorder="1" applyAlignment="1">
      <alignment horizontal="center" vertical="center"/>
    </xf>
    <xf numFmtId="0" fontId="5" fillId="0" borderId="46" xfId="0" applyFont="1" applyBorder="1" applyAlignment="1">
      <alignment horizontal="center" vertical="center" wrapText="1"/>
    </xf>
    <xf numFmtId="44" fontId="5" fillId="0" borderId="46" xfId="0" applyNumberFormat="1" applyFont="1" applyBorder="1" applyAlignment="1">
      <alignment horizontal="center" vertical="center" wrapText="1"/>
    </xf>
    <xf numFmtId="0" fontId="5" fillId="0" borderId="38" xfId="0" applyFont="1" applyBorder="1" applyAlignment="1">
      <alignment horizontal="center" vertical="center"/>
    </xf>
    <xf numFmtId="0" fontId="5" fillId="0" borderId="39" xfId="0" applyFont="1" applyBorder="1" applyAlignment="1">
      <alignment vertical="center"/>
    </xf>
    <xf numFmtId="8" fontId="5" fillId="0" borderId="38" xfId="0" applyNumberFormat="1" applyFont="1" applyBorder="1" applyAlignment="1">
      <alignment horizontal="center" vertical="center" wrapText="1"/>
    </xf>
    <xf numFmtId="8" fontId="5" fillId="0" borderId="46" xfId="0" applyNumberFormat="1" applyFont="1" applyBorder="1" applyAlignment="1">
      <alignment horizontal="center" vertical="center" wrapText="1"/>
    </xf>
    <xf numFmtId="8" fontId="5" fillId="0" borderId="46" xfId="0" applyNumberFormat="1" applyFont="1" applyBorder="1" applyAlignment="1">
      <alignment horizontal="center" vertical="center"/>
    </xf>
    <xf numFmtId="8" fontId="4" fillId="0" borderId="46" xfId="0" applyNumberFormat="1" applyFont="1" applyBorder="1" applyAlignment="1">
      <alignment horizontal="center" vertical="center" wrapText="1"/>
    </xf>
    <xf numFmtId="169" fontId="4" fillId="0" borderId="0" xfId="1" applyNumberFormat="1" applyFont="1" applyFill="1" applyBorder="1" applyAlignment="1">
      <alignment horizontal="center" vertical="center"/>
    </xf>
    <xf numFmtId="0" fontId="4" fillId="0" borderId="38" xfId="0" applyFont="1" applyBorder="1" applyAlignment="1">
      <alignment horizontal="center" vertical="center"/>
    </xf>
    <xf numFmtId="0" fontId="4" fillId="0" borderId="38" xfId="0" applyFont="1" applyBorder="1" applyAlignment="1">
      <alignment horizontal="center" vertical="center" wrapText="1"/>
    </xf>
    <xf numFmtId="0" fontId="5" fillId="0" borderId="38" xfId="0" applyFont="1" applyBorder="1" applyAlignment="1">
      <alignment horizontal="center" vertical="center" wrapText="1"/>
    </xf>
    <xf numFmtId="8" fontId="5" fillId="0" borderId="39" xfId="1" applyNumberFormat="1" applyFont="1" applyFill="1" applyBorder="1" applyAlignment="1">
      <alignment horizontal="center" vertical="center"/>
    </xf>
    <xf numFmtId="8" fontId="5" fillId="0" borderId="38" xfId="0" applyNumberFormat="1" applyFont="1" applyBorder="1" applyAlignment="1">
      <alignment horizontal="center" vertical="center"/>
    </xf>
    <xf numFmtId="1" fontId="5" fillId="0" borderId="38" xfId="0" applyNumberFormat="1" applyFont="1" applyBorder="1" applyAlignment="1">
      <alignment horizontal="center" vertical="center" wrapText="1"/>
    </xf>
    <xf numFmtId="44" fontId="2" fillId="0" borderId="0" xfId="2" applyFont="1" applyFill="1" applyAlignment="1"/>
    <xf numFmtId="0" fontId="5" fillId="0" borderId="46" xfId="0" applyFont="1" applyBorder="1" applyAlignment="1">
      <alignment horizontal="center" vertical="center"/>
    </xf>
    <xf numFmtId="8" fontId="5" fillId="0" borderId="48" xfId="1" applyNumberFormat="1" applyFont="1" applyFill="1" applyBorder="1" applyAlignment="1">
      <alignment horizontal="center" vertical="center"/>
    </xf>
    <xf numFmtId="8" fontId="5" fillId="0" borderId="38" xfId="1" applyNumberFormat="1" applyFont="1" applyFill="1" applyBorder="1" applyAlignment="1">
      <alignment horizontal="center" vertical="center"/>
    </xf>
    <xf numFmtId="8" fontId="5" fillId="0" borderId="46" xfId="1" applyNumberFormat="1" applyFont="1" applyFill="1" applyBorder="1" applyAlignment="1">
      <alignment horizontal="center" vertical="center"/>
    </xf>
    <xf numFmtId="8" fontId="5" fillId="0" borderId="48" xfId="0" applyNumberFormat="1" applyFont="1" applyBorder="1" applyAlignment="1">
      <alignment horizontal="center" vertical="center" wrapText="1"/>
    </xf>
    <xf numFmtId="8" fontId="5" fillId="0" borderId="6" xfId="1" applyNumberFormat="1" applyFont="1" applyFill="1" applyBorder="1" applyAlignment="1">
      <alignment horizontal="center" vertical="center"/>
    </xf>
    <xf numFmtId="8" fontId="5" fillId="0" borderId="6" xfId="0" applyNumberFormat="1" applyFont="1" applyBorder="1" applyAlignment="1">
      <alignment horizontal="center" vertical="center"/>
    </xf>
    <xf numFmtId="169" fontId="5" fillId="0" borderId="6" xfId="1" applyNumberFormat="1" applyFont="1" applyFill="1" applyBorder="1" applyAlignment="1">
      <alignment vertical="center"/>
    </xf>
    <xf numFmtId="164" fontId="5" fillId="0" borderId="19" xfId="0" applyNumberFormat="1" applyFont="1" applyBorder="1" applyAlignment="1">
      <alignment horizontal="center"/>
    </xf>
    <xf numFmtId="0" fontId="9" fillId="0" borderId="19" xfId="0" applyFont="1" applyBorder="1" applyAlignment="1">
      <alignment horizontal="center"/>
    </xf>
    <xf numFmtId="0" fontId="4" fillId="0" borderId="0" xfId="0" applyFont="1" applyAlignment="1">
      <alignment wrapText="1"/>
    </xf>
    <xf numFmtId="0" fontId="4" fillId="0" borderId="27" xfId="0" applyFont="1" applyBorder="1" applyAlignment="1">
      <alignment horizontal="center" wrapText="1"/>
    </xf>
    <xf numFmtId="2" fontId="5" fillId="0" borderId="6" xfId="2" applyNumberFormat="1" applyFont="1" applyFill="1" applyBorder="1" applyAlignment="1">
      <alignment horizontal="center" vertical="center"/>
    </xf>
    <xf numFmtId="0" fontId="5" fillId="0" borderId="0" xfId="0" applyFont="1" applyAlignment="1">
      <alignment vertical="top"/>
    </xf>
    <xf numFmtId="169" fontId="5" fillId="0" borderId="8" xfId="0" applyNumberFormat="1" applyFont="1" applyBorder="1" applyAlignment="1">
      <alignment vertical="center"/>
    </xf>
    <xf numFmtId="44" fontId="5" fillId="0" borderId="10" xfId="2" applyFont="1" applyFill="1" applyBorder="1" applyAlignment="1">
      <alignment vertical="center"/>
    </xf>
    <xf numFmtId="165" fontId="5" fillId="0" borderId="10" xfId="0" applyNumberFormat="1" applyFont="1" applyBorder="1" applyAlignment="1">
      <alignment horizontal="center" vertical="center"/>
    </xf>
    <xf numFmtId="165" fontId="5" fillId="0" borderId="23" xfId="0" applyNumberFormat="1" applyFont="1" applyBorder="1" applyAlignment="1">
      <alignment vertical="center"/>
    </xf>
    <xf numFmtId="39" fontId="5" fillId="0" borderId="4" xfId="0" applyNumberFormat="1" applyFont="1" applyBorder="1" applyAlignment="1">
      <alignment vertical="center"/>
    </xf>
    <xf numFmtId="0" fontId="10" fillId="0" borderId="0" xfId="0" applyFont="1" applyAlignment="1">
      <alignment wrapText="1"/>
    </xf>
    <xf numFmtId="173" fontId="5" fillId="0" borderId="6" xfId="0" applyNumberFormat="1" applyFont="1" applyBorder="1" applyAlignment="1">
      <alignment horizontal="center" vertical="center"/>
    </xf>
    <xf numFmtId="165" fontId="5" fillId="0" borderId="4" xfId="0" applyNumberFormat="1" applyFont="1" applyBorder="1" applyAlignment="1">
      <alignment horizontal="center" vertical="center"/>
    </xf>
    <xf numFmtId="173" fontId="5" fillId="0" borderId="0" xfId="0" applyNumberFormat="1" applyFont="1" applyAlignment="1">
      <alignment horizontal="center" vertical="center"/>
    </xf>
    <xf numFmtId="0" fontId="11" fillId="0" borderId="0" xfId="0" applyFont="1" applyAlignment="1">
      <alignment horizontal="center" wrapText="1"/>
    </xf>
    <xf numFmtId="169" fontId="5" fillId="0" borderId="6" xfId="0" applyNumberFormat="1" applyFont="1" applyBorder="1"/>
    <xf numFmtId="169" fontId="4" fillId="0" borderId="6" xfId="0" applyNumberFormat="1" applyFont="1" applyBorder="1" applyAlignment="1">
      <alignment horizontal="center"/>
    </xf>
    <xf numFmtId="0" fontId="5" fillId="0" borderId="9" xfId="0" applyFont="1" applyBorder="1" applyAlignment="1">
      <alignment horizontal="right"/>
    </xf>
    <xf numFmtId="169" fontId="5" fillId="0" borderId="8" xfId="0" applyNumberFormat="1" applyFont="1" applyBorder="1"/>
    <xf numFmtId="169" fontId="5" fillId="0" borderId="10" xfId="0" applyNumberFormat="1" applyFont="1" applyBorder="1"/>
    <xf numFmtId="169" fontId="5" fillId="0" borderId="9" xfId="0" applyNumberFormat="1" applyFont="1" applyBorder="1"/>
    <xf numFmtId="3" fontId="5" fillId="0" borderId="6" xfId="0" applyNumberFormat="1" applyFont="1" applyBorder="1" applyAlignment="1">
      <alignment vertical="center"/>
    </xf>
    <xf numFmtId="37" fontId="5" fillId="0" borderId="6" xfId="2" applyNumberFormat="1" applyFont="1" applyFill="1" applyBorder="1" applyAlignment="1">
      <alignment horizontal="center"/>
    </xf>
    <xf numFmtId="44" fontId="5" fillId="0" borderId="6" xfId="0" applyNumberFormat="1" applyFont="1" applyBorder="1" applyAlignment="1">
      <alignment horizontal="center"/>
    </xf>
    <xf numFmtId="0" fontId="4" fillId="0" borderId="10" xfId="0" applyFont="1" applyBorder="1" applyAlignment="1">
      <alignment vertical="center"/>
    </xf>
    <xf numFmtId="3" fontId="5" fillId="0" borderId="10" xfId="0" applyNumberFormat="1" applyFont="1" applyBorder="1" applyAlignment="1">
      <alignment vertical="center"/>
    </xf>
    <xf numFmtId="0" fontId="5" fillId="0" borderId="20" xfId="0" applyFont="1" applyBorder="1" applyAlignment="1">
      <alignment horizontal="center"/>
    </xf>
    <xf numFmtId="0" fontId="5" fillId="0" borderId="20" xfId="0" applyFont="1" applyBorder="1"/>
    <xf numFmtId="0" fontId="5" fillId="0" borderId="10" xfId="0" applyFont="1" applyBorder="1" applyAlignment="1">
      <alignment horizontal="right"/>
    </xf>
    <xf numFmtId="44" fontId="5" fillId="0" borderId="20" xfId="2" applyFont="1" applyFill="1" applyBorder="1"/>
    <xf numFmtId="0" fontId="5" fillId="0" borderId="6" xfId="0" applyFont="1" applyBorder="1" applyAlignment="1">
      <alignment horizontal="left" vertical="top" wrapText="1"/>
    </xf>
    <xf numFmtId="0" fontId="5" fillId="0" borderId="0" xfId="0" applyFont="1" applyAlignment="1">
      <alignment horizontal="left"/>
    </xf>
    <xf numFmtId="3" fontId="5" fillId="0" borderId="10" xfId="1" applyNumberFormat="1" applyFont="1" applyFill="1" applyBorder="1" applyAlignment="1">
      <alignment vertical="center"/>
    </xf>
    <xf numFmtId="0" fontId="5" fillId="0" borderId="8" xfId="0" applyFont="1" applyBorder="1" applyAlignment="1">
      <alignment horizontal="center" wrapText="1"/>
    </xf>
    <xf numFmtId="0" fontId="5" fillId="0" borderId="23" xfId="0" applyFont="1" applyBorder="1" applyAlignment="1">
      <alignment horizontal="center" wrapText="1"/>
    </xf>
    <xf numFmtId="166" fontId="4" fillId="0" borderId="6" xfId="0" applyNumberFormat="1" applyFont="1" applyBorder="1" applyAlignment="1">
      <alignment horizontal="center"/>
    </xf>
    <xf numFmtId="44" fontId="5" fillId="0" borderId="6" xfId="2" applyFont="1" applyFill="1" applyBorder="1" applyAlignment="1">
      <alignment horizontal="right"/>
    </xf>
    <xf numFmtId="37" fontId="5" fillId="0" borderId="6" xfId="2" applyNumberFormat="1" applyFont="1" applyFill="1" applyBorder="1" applyAlignment="1">
      <alignment horizontal="right"/>
    </xf>
    <xf numFmtId="44" fontId="5" fillId="0" borderId="6" xfId="2" applyFont="1" applyFill="1" applyBorder="1" applyAlignment="1"/>
    <xf numFmtId="44" fontId="5" fillId="0" borderId="8" xfId="0" applyNumberFormat="1" applyFont="1" applyBorder="1"/>
    <xf numFmtId="0" fontId="5" fillId="0" borderId="19" xfId="0" applyFont="1" applyBorder="1" applyAlignment="1">
      <alignment wrapText="1"/>
    </xf>
    <xf numFmtId="0" fontId="7" fillId="0" borderId="4"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right" vertical="center" wrapText="1"/>
    </xf>
    <xf numFmtId="0" fontId="7" fillId="0" borderId="50" xfId="0" applyFont="1" applyBorder="1" applyAlignment="1">
      <alignment horizontal="center" vertical="center" wrapText="1"/>
    </xf>
    <xf numFmtId="0" fontId="7" fillId="0" borderId="3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1" xfId="0" applyFont="1" applyBorder="1" applyAlignment="1">
      <alignment horizontal="left" vertical="center" wrapText="1"/>
    </xf>
    <xf numFmtId="3" fontId="8" fillId="0" borderId="31" xfId="0" applyNumberFormat="1" applyFont="1" applyBorder="1" applyAlignment="1">
      <alignment horizontal="right" vertical="center" wrapText="1"/>
    </xf>
    <xf numFmtId="164" fontId="5" fillId="0" borderId="0" xfId="0" applyNumberFormat="1" applyFont="1" applyAlignment="1">
      <alignment horizontal="right" wrapText="1"/>
    </xf>
    <xf numFmtId="0" fontId="4" fillId="0" borderId="50" xfId="0" applyFont="1" applyBorder="1" applyAlignment="1">
      <alignment horizontal="center" vertical="center"/>
    </xf>
    <xf numFmtId="3" fontId="8" fillId="0" borderId="36" xfId="0" applyNumberFormat="1" applyFont="1" applyBorder="1" applyAlignment="1">
      <alignment horizontal="right" vertical="center" wrapText="1"/>
    </xf>
    <xf numFmtId="0" fontId="7" fillId="0" borderId="36" xfId="0" applyFont="1" applyBorder="1" applyAlignment="1">
      <alignment horizontal="center" vertical="center" wrapText="1"/>
    </xf>
    <xf numFmtId="0" fontId="4" fillId="0" borderId="53" xfId="0" applyFont="1" applyBorder="1" applyAlignment="1">
      <alignment horizontal="center" vertical="center"/>
    </xf>
    <xf numFmtId="0" fontId="8" fillId="0" borderId="36" xfId="0" applyFont="1" applyBorder="1" applyAlignment="1">
      <alignment horizontal="center" vertical="center" wrapText="1"/>
    </xf>
    <xf numFmtId="0" fontId="8" fillId="0" borderId="36" xfId="0" applyFont="1" applyBorder="1" applyAlignment="1">
      <alignment horizontal="left" vertical="center" wrapText="1"/>
    </xf>
    <xf numFmtId="0" fontId="5" fillId="0" borderId="28" xfId="0" applyFont="1" applyBorder="1" applyAlignment="1">
      <alignment horizontal="center" vertical="center" wrapText="1"/>
    </xf>
    <xf numFmtId="169" fontId="5" fillId="0" borderId="6" xfId="0" applyNumberFormat="1" applyFont="1" applyBorder="1" applyAlignment="1">
      <alignment horizontal="center"/>
    </xf>
    <xf numFmtId="164" fontId="5" fillId="0" borderId="6" xfId="2" applyNumberFormat="1" applyFont="1" applyFill="1" applyBorder="1" applyAlignment="1">
      <alignment horizontal="right"/>
    </xf>
    <xf numFmtId="8" fontId="5" fillId="0" borderId="6" xfId="2" applyNumberFormat="1" applyFont="1" applyFill="1" applyBorder="1" applyAlignment="1"/>
    <xf numFmtId="0" fontId="12" fillId="0" borderId="0" xfId="0" applyFont="1" applyAlignment="1">
      <alignment wrapText="1"/>
    </xf>
    <xf numFmtId="165" fontId="5" fillId="0" borderId="6" xfId="0" applyNumberFormat="1" applyFont="1" applyBorder="1" applyAlignment="1">
      <alignment horizontal="center"/>
    </xf>
    <xf numFmtId="165" fontId="5" fillId="0" borderId="4" xfId="0" applyNumberFormat="1" applyFont="1" applyBorder="1"/>
    <xf numFmtId="1" fontId="8" fillId="0" borderId="38" xfId="0" applyNumberFormat="1" applyFont="1" applyBorder="1" applyAlignment="1">
      <alignment horizontal="center" vertical="center" wrapText="1"/>
    </xf>
    <xf numFmtId="8" fontId="8" fillId="0" borderId="38" xfId="0" applyNumberFormat="1" applyFont="1" applyBorder="1" applyAlignment="1">
      <alignment horizontal="right" vertical="center"/>
    </xf>
    <xf numFmtId="8" fontId="7" fillId="0" borderId="38" xfId="0" applyNumberFormat="1" applyFont="1" applyBorder="1" applyAlignment="1">
      <alignment horizontal="center" vertical="center" wrapText="1"/>
    </xf>
    <xf numFmtId="2" fontId="8" fillId="0" borderId="46" xfId="0" applyNumberFormat="1" applyFont="1" applyBorder="1" applyAlignment="1">
      <alignment horizontal="right" vertical="center" wrapText="1"/>
    </xf>
    <xf numFmtId="8" fontId="8" fillId="0" borderId="46" xfId="0" applyNumberFormat="1" applyFont="1" applyBorder="1" applyAlignment="1">
      <alignment horizontal="center" vertical="center" wrapText="1"/>
    </xf>
    <xf numFmtId="1" fontId="8" fillId="0" borderId="46" xfId="0" applyNumberFormat="1" applyFont="1" applyBorder="1" applyAlignment="1">
      <alignment horizontal="center" vertical="center" wrapText="1"/>
    </xf>
    <xf numFmtId="8" fontId="8" fillId="0" borderId="46" xfId="0" applyNumberFormat="1" applyFont="1" applyBorder="1" applyAlignment="1">
      <alignment horizontal="right" vertical="center"/>
    </xf>
    <xf numFmtId="166" fontId="5" fillId="0" borderId="6" xfId="0" applyNumberFormat="1" applyFont="1" applyBorder="1" applyAlignment="1">
      <alignment horizontal="center" wrapText="1"/>
    </xf>
    <xf numFmtId="166" fontId="4" fillId="0" borderId="19" xfId="0" applyNumberFormat="1" applyFont="1" applyBorder="1" applyAlignment="1">
      <alignment horizontal="center" wrapText="1"/>
    </xf>
    <xf numFmtId="0" fontId="5" fillId="0" borderId="30" xfId="0" applyFont="1" applyBorder="1" applyAlignment="1">
      <alignment horizontal="center"/>
    </xf>
    <xf numFmtId="0" fontId="5" fillId="0" borderId="23" xfId="0" applyFont="1" applyBorder="1" applyAlignment="1">
      <alignment horizontal="center"/>
    </xf>
    <xf numFmtId="44" fontId="5" fillId="0" borderId="6" xfId="0" applyNumberFormat="1" applyFont="1" applyBorder="1" applyAlignment="1">
      <alignment wrapText="1"/>
    </xf>
    <xf numFmtId="0" fontId="5" fillId="0" borderId="9" xfId="0" applyFont="1" applyBorder="1" applyAlignment="1">
      <alignment horizontal="center" wrapText="1"/>
    </xf>
    <xf numFmtId="44" fontId="5" fillId="0" borderId="9" xfId="2" applyFont="1" applyFill="1" applyBorder="1" applyAlignment="1">
      <alignment horizontal="center"/>
    </xf>
    <xf numFmtId="44" fontId="5" fillId="0" borderId="10" xfId="2" applyFont="1" applyFill="1" applyBorder="1" applyAlignment="1">
      <alignment horizontal="center"/>
    </xf>
    <xf numFmtId="168" fontId="5" fillId="0" borderId="8" xfId="0" applyNumberFormat="1" applyFont="1" applyBorder="1" applyAlignment="1">
      <alignment horizontal="center"/>
    </xf>
    <xf numFmtId="44" fontId="5" fillId="0" borderId="10" xfId="2" applyFont="1" applyFill="1" applyBorder="1"/>
    <xf numFmtId="0" fontId="5" fillId="0" borderId="10" xfId="0" applyFont="1" applyBorder="1" applyAlignment="1">
      <alignment horizontal="center"/>
    </xf>
    <xf numFmtId="0" fontId="5" fillId="0" borderId="4" xfId="0" applyFont="1" applyBorder="1" applyAlignment="1">
      <alignment vertical="center" wrapText="1"/>
    </xf>
    <xf numFmtId="0" fontId="5" fillId="0" borderId="4" xfId="0" applyFont="1" applyBorder="1" applyAlignment="1">
      <alignment horizontal="right" vertical="center"/>
    </xf>
    <xf numFmtId="43" fontId="5" fillId="0" borderId="0" xfId="1" applyFont="1" applyFill="1" applyAlignment="1">
      <alignment horizontal="center"/>
    </xf>
    <xf numFmtId="0" fontId="5" fillId="0" borderId="10" xfId="0" applyFont="1" applyBorder="1" applyAlignment="1">
      <alignment horizontal="right" vertical="center"/>
    </xf>
    <xf numFmtId="3" fontId="5" fillId="0" borderId="8" xfId="0" applyNumberFormat="1" applyFont="1" applyBorder="1"/>
    <xf numFmtId="3" fontId="5" fillId="0" borderId="21" xfId="0" applyNumberFormat="1" applyFont="1" applyBorder="1"/>
    <xf numFmtId="44" fontId="5" fillId="0" borderId="0" xfId="0" applyNumberFormat="1" applyFont="1"/>
    <xf numFmtId="9" fontId="5" fillId="0" borderId="0" xfId="3" applyFont="1" applyFill="1" applyBorder="1" applyAlignment="1"/>
    <xf numFmtId="2" fontId="5" fillId="0" borderId="6" xfId="0" applyNumberFormat="1" applyFont="1" applyBorder="1" applyAlignment="1">
      <alignment horizontal="center"/>
    </xf>
    <xf numFmtId="0" fontId="5" fillId="0" borderId="30" xfId="0" applyFont="1" applyBorder="1" applyAlignment="1">
      <alignment vertical="top" wrapText="1"/>
    </xf>
    <xf numFmtId="0" fontId="5" fillId="0" borderId="31" xfId="0" applyFont="1" applyBorder="1" applyAlignment="1">
      <alignment vertical="top" wrapText="1"/>
    </xf>
    <xf numFmtId="0" fontId="5" fillId="0" borderId="23" xfId="0" applyFont="1" applyBorder="1" applyAlignment="1">
      <alignment vertical="top" wrapText="1"/>
    </xf>
    <xf numFmtId="0" fontId="4" fillId="0" borderId="0" xfId="0" applyFont="1" applyAlignment="1">
      <alignment horizontal="center"/>
    </xf>
    <xf numFmtId="0" fontId="5" fillId="0" borderId="10" xfId="0" applyFont="1" applyBorder="1" applyAlignment="1">
      <alignment horizontal="center" vertical="center"/>
    </xf>
    <xf numFmtId="165" fontId="5" fillId="0" borderId="9" xfId="0" applyNumberFormat="1" applyFont="1" applyBorder="1" applyAlignment="1">
      <alignment horizontal="center" vertical="center"/>
    </xf>
    <xf numFmtId="166" fontId="5" fillId="0" borderId="6" xfId="0" applyNumberFormat="1" applyFont="1" applyBorder="1" applyAlignment="1">
      <alignment horizontal="right" vertical="center" wrapText="1"/>
    </xf>
    <xf numFmtId="3" fontId="5" fillId="0" borderId="0" xfId="0" applyNumberFormat="1" applyFont="1"/>
    <xf numFmtId="166" fontId="5" fillId="0" borderId="6" xfId="0" applyNumberFormat="1" applyFont="1" applyBorder="1" applyAlignment="1">
      <alignment horizontal="center" vertical="center" wrapText="1"/>
    </xf>
    <xf numFmtId="44" fontId="5" fillId="0" borderId="4" xfId="0" applyNumberFormat="1" applyFont="1" applyBorder="1" applyAlignment="1">
      <alignment horizontal="center"/>
    </xf>
    <xf numFmtId="164" fontId="5" fillId="0" borderId="4" xfId="0" applyNumberFormat="1" applyFont="1" applyBorder="1" applyAlignment="1">
      <alignment horizontal="right"/>
    </xf>
    <xf numFmtId="0" fontId="5" fillId="0" borderId="0" xfId="0" applyFont="1" applyAlignment="1">
      <alignment horizontal="center" vertical="top" wrapText="1"/>
    </xf>
    <xf numFmtId="44" fontId="5" fillId="0" borderId="4" xfId="2" applyFont="1" applyFill="1" applyBorder="1" applyAlignment="1">
      <alignment horizontal="center"/>
    </xf>
    <xf numFmtId="0" fontId="5" fillId="0" borderId="9" xfId="0" applyFont="1" applyBorder="1" applyAlignment="1">
      <alignment wrapText="1"/>
    </xf>
    <xf numFmtId="0" fontId="5" fillId="0" borderId="30" xfId="0" applyFont="1" applyBorder="1" applyAlignment="1">
      <alignment wrapText="1"/>
    </xf>
    <xf numFmtId="0" fontId="5" fillId="0" borderId="31" xfId="0" applyFont="1" applyBorder="1" applyAlignment="1">
      <alignment wrapText="1"/>
    </xf>
    <xf numFmtId="44" fontId="5" fillId="0" borderId="6" xfId="2" applyFont="1" applyFill="1" applyBorder="1" applyAlignment="1">
      <alignment horizontal="center" wrapText="1"/>
    </xf>
    <xf numFmtId="164" fontId="5" fillId="0" borderId="6" xfId="2" applyNumberFormat="1" applyFont="1" applyFill="1" applyBorder="1"/>
    <xf numFmtId="169" fontId="5" fillId="0" borderId="6" xfId="0" applyNumberFormat="1" applyFont="1" applyBorder="1" applyAlignment="1">
      <alignment horizontal="right"/>
    </xf>
    <xf numFmtId="37" fontId="5" fillId="0" borderId="6" xfId="0" applyNumberFormat="1" applyFont="1" applyBorder="1" applyAlignment="1">
      <alignment horizontal="center"/>
    </xf>
    <xf numFmtId="165" fontId="5" fillId="0" borderId="6" xfId="0" applyNumberFormat="1" applyFont="1" applyBorder="1"/>
    <xf numFmtId="3" fontId="5" fillId="0" borderId="6" xfId="0" applyNumberFormat="1" applyFont="1" applyBorder="1" applyAlignment="1">
      <alignment horizontal="center"/>
    </xf>
    <xf numFmtId="168" fontId="5" fillId="0" borderId="10" xfId="0" applyNumberFormat="1" applyFont="1" applyBorder="1" applyAlignment="1">
      <alignment vertical="center" wrapText="1"/>
    </xf>
    <xf numFmtId="0" fontId="5" fillId="0" borderId="9" xfId="0" applyFont="1" applyBorder="1" applyAlignment="1">
      <alignment vertical="center" wrapText="1"/>
    </xf>
    <xf numFmtId="169" fontId="5" fillId="0" borderId="0" xfId="1" applyNumberFormat="1" applyFont="1" applyFill="1" applyAlignment="1">
      <alignment horizontal="center"/>
    </xf>
    <xf numFmtId="166" fontId="5" fillId="0" borderId="8" xfId="0" applyNumberFormat="1" applyFont="1" applyBorder="1" applyAlignment="1">
      <alignment horizontal="center"/>
    </xf>
    <xf numFmtId="166" fontId="5" fillId="0" borderId="9" xfId="0" applyNumberFormat="1" applyFont="1" applyBorder="1" applyAlignment="1">
      <alignment horizontal="center"/>
    </xf>
    <xf numFmtId="8" fontId="5" fillId="0" borderId="6" xfId="2" applyNumberFormat="1" applyFont="1" applyFill="1" applyBorder="1" applyAlignment="1">
      <alignment horizontal="right"/>
    </xf>
    <xf numFmtId="169" fontId="5" fillId="0" borderId="6" xfId="1" applyNumberFormat="1" applyFont="1" applyFill="1" applyBorder="1" applyAlignment="1">
      <alignment horizontal="center"/>
    </xf>
    <xf numFmtId="0" fontId="5" fillId="0" borderId="19" xfId="0" applyFont="1" applyBorder="1" applyAlignment="1">
      <alignment horizontal="center" vertical="center"/>
    </xf>
    <xf numFmtId="0" fontId="4" fillId="0" borderId="22"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6" xfId="0" applyFont="1" applyBorder="1" applyAlignment="1">
      <alignment vertical="center" wrapText="1"/>
    </xf>
    <xf numFmtId="0" fontId="5" fillId="0" borderId="30" xfId="0" applyFont="1" applyBorder="1" applyAlignment="1">
      <alignment horizontal="left" vertical="top" wrapText="1"/>
    </xf>
    <xf numFmtId="0" fontId="5" fillId="0" borderId="31" xfId="0" applyFont="1" applyBorder="1" applyAlignment="1">
      <alignment horizontal="left" vertical="top" wrapText="1"/>
    </xf>
    <xf numFmtId="0" fontId="5" fillId="0" borderId="23" xfId="0" applyFont="1" applyBorder="1" applyAlignment="1">
      <alignment horizontal="left" vertical="top" wrapText="1"/>
    </xf>
    <xf numFmtId="0" fontId="13" fillId="0" borderId="6" xfId="0" applyFont="1" applyBorder="1" applyAlignment="1">
      <alignment vertical="top" wrapText="1"/>
    </xf>
    <xf numFmtId="0" fontId="5" fillId="0" borderId="4" xfId="0" applyFont="1" applyBorder="1" applyAlignment="1">
      <alignment horizontal="left" vertical="top" wrapText="1"/>
    </xf>
    <xf numFmtId="2" fontId="5" fillId="0" borderId="8" xfId="0" applyNumberFormat="1" applyFont="1" applyBorder="1"/>
    <xf numFmtId="1" fontId="5" fillId="0" borderId="10" xfId="0" applyNumberFormat="1" applyFont="1" applyBorder="1" applyAlignment="1">
      <alignment vertical="center"/>
    </xf>
    <xf numFmtId="9" fontId="5" fillId="0" borderId="6" xfId="0" applyNumberFormat="1" applyFont="1" applyBorder="1"/>
    <xf numFmtId="0" fontId="13" fillId="0" borderId="6" xfId="0" applyFont="1" applyBorder="1" applyAlignment="1">
      <alignment horizontal="center" vertical="center"/>
    </xf>
    <xf numFmtId="0" fontId="5" fillId="0" borderId="31" xfId="0" applyFont="1" applyBorder="1" applyAlignment="1">
      <alignment vertical="center" wrapText="1"/>
    </xf>
    <xf numFmtId="169" fontId="5" fillId="0" borderId="30" xfId="0" applyNumberFormat="1" applyFont="1" applyBorder="1" applyAlignment="1">
      <alignment horizontal="center"/>
    </xf>
    <xf numFmtId="2" fontId="5" fillId="0" borderId="9" xfId="0" applyNumberFormat="1" applyFont="1" applyBorder="1" applyAlignment="1">
      <alignment horizontal="center"/>
    </xf>
    <xf numFmtId="166" fontId="5" fillId="0" borderId="8" xfId="0" applyNumberFormat="1" applyFont="1" applyBorder="1"/>
    <xf numFmtId="0" fontId="4" fillId="0" borderId="23" xfId="0" applyFont="1" applyBorder="1" applyAlignment="1">
      <alignment horizontal="center" vertical="center" wrapText="1"/>
    </xf>
    <xf numFmtId="3" fontId="5" fillId="0" borderId="31" xfId="0" applyNumberFormat="1" applyFont="1" applyBorder="1" applyAlignment="1">
      <alignment vertical="center"/>
    </xf>
    <xf numFmtId="9" fontId="5" fillId="0" borderId="8" xfId="0" applyNumberFormat="1" applyFont="1" applyBorder="1"/>
    <xf numFmtId="169" fontId="5" fillId="0" borderId="10" xfId="0" applyNumberFormat="1" applyFont="1" applyBorder="1" applyAlignment="1">
      <alignment vertical="center" wrapText="1"/>
    </xf>
    <xf numFmtId="0" fontId="4" fillId="0" borderId="0" xfId="0" applyFont="1" applyAlignment="1">
      <alignment horizontal="center" wrapText="1"/>
    </xf>
    <xf numFmtId="3" fontId="5" fillId="0" borderId="0" xfId="0" applyNumberFormat="1" applyFont="1" applyAlignment="1">
      <alignment horizontal="center" vertical="center" wrapText="1"/>
    </xf>
    <xf numFmtId="3" fontId="5" fillId="0" borderId="6" xfId="0" applyNumberFormat="1" applyFont="1" applyBorder="1" applyAlignment="1">
      <alignment horizontal="center" vertical="center" wrapText="1"/>
    </xf>
    <xf numFmtId="44" fontId="5" fillId="0" borderId="9" xfId="0" applyNumberFormat="1" applyFont="1" applyBorder="1" applyAlignment="1">
      <alignment horizontal="right" vertical="center" wrapText="1"/>
    </xf>
    <xf numFmtId="44" fontId="5" fillId="0" borderId="0" xfId="2" applyFont="1" applyFill="1" applyAlignment="1">
      <alignment horizontal="center"/>
    </xf>
    <xf numFmtId="44" fontId="5" fillId="0" borderId="8" xfId="2" applyFont="1" applyFill="1" applyBorder="1" applyAlignment="1">
      <alignment vertical="center"/>
    </xf>
    <xf numFmtId="164" fontId="5" fillId="0" borderId="4" xfId="0" applyNumberFormat="1" applyFont="1" applyBorder="1" applyAlignment="1">
      <alignment horizontal="center"/>
    </xf>
    <xf numFmtId="44" fontId="5" fillId="0" borderId="4" xfId="2" applyFont="1" applyFill="1" applyBorder="1" applyAlignment="1">
      <alignment horizontal="right"/>
    </xf>
    <xf numFmtId="3" fontId="5" fillId="0" borderId="8" xfId="0" applyNumberFormat="1" applyFont="1" applyBorder="1" applyAlignment="1">
      <alignment horizontal="center"/>
    </xf>
    <xf numFmtId="44" fontId="5" fillId="0" borderId="0" xfId="0" applyNumberFormat="1" applyFont="1" applyAlignment="1">
      <alignment horizontal="left" vertical="top" wrapText="1"/>
    </xf>
    <xf numFmtId="16" fontId="5" fillId="0" borderId="6" xfId="0" quotePrefix="1" applyNumberFormat="1" applyFont="1" applyBorder="1" applyAlignment="1">
      <alignment horizontal="center"/>
    </xf>
    <xf numFmtId="44" fontId="5" fillId="0" borderId="0" xfId="0" applyNumberFormat="1" applyFont="1" applyAlignment="1">
      <alignment vertical="top" wrapText="1"/>
    </xf>
    <xf numFmtId="39" fontId="5" fillId="0" borderId="6" xfId="2" applyNumberFormat="1" applyFont="1" applyFill="1" applyBorder="1" applyAlignment="1">
      <alignment horizontal="right"/>
    </xf>
    <xf numFmtId="164" fontId="5" fillId="0" borderId="0" xfId="2" applyNumberFormat="1" applyFont="1" applyFill="1" applyAlignment="1">
      <alignment horizontal="left"/>
    </xf>
    <xf numFmtId="39" fontId="5" fillId="0" borderId="6" xfId="2" applyNumberFormat="1" applyFont="1" applyFill="1" applyBorder="1"/>
    <xf numFmtId="174" fontId="5" fillId="0" borderId="6" xfId="1" applyNumberFormat="1" applyFont="1" applyFill="1" applyBorder="1"/>
    <xf numFmtId="175" fontId="5" fillId="0" borderId="6" xfId="1" applyNumberFormat="1" applyFont="1" applyFill="1" applyBorder="1"/>
    <xf numFmtId="44" fontId="5" fillId="0" borderId="0" xfId="2" applyFont="1" applyFill="1" applyAlignment="1">
      <alignment horizontal="right"/>
    </xf>
    <xf numFmtId="169" fontId="5" fillId="0" borderId="10" xfId="1" applyNumberFormat="1" applyFont="1" applyFill="1" applyBorder="1" applyAlignment="1">
      <alignment horizontal="center"/>
    </xf>
    <xf numFmtId="164" fontId="5" fillId="0" borderId="0" xfId="0" applyNumberFormat="1" applyFont="1" applyAlignment="1">
      <alignment wrapText="1"/>
    </xf>
    <xf numFmtId="0" fontId="4" fillId="0" borderId="31" xfId="0" applyFont="1" applyBorder="1" applyAlignment="1">
      <alignment horizontal="center" wrapText="1"/>
    </xf>
    <xf numFmtId="164" fontId="5" fillId="0" borderId="0" xfId="0" applyNumberFormat="1" applyFont="1" applyAlignment="1">
      <alignment vertical="top" wrapText="1"/>
    </xf>
    <xf numFmtId="0" fontId="5" fillId="0" borderId="64" xfId="0" applyFont="1" applyBorder="1" applyAlignment="1">
      <alignment horizontal="center"/>
    </xf>
    <xf numFmtId="0" fontId="5" fillId="0" borderId="4" xfId="0" applyFont="1" applyBorder="1" applyAlignment="1">
      <alignment wrapText="1"/>
    </xf>
    <xf numFmtId="2" fontId="5" fillId="0" borderId="5" xfId="0" applyNumberFormat="1" applyFont="1" applyBorder="1" applyAlignment="1">
      <alignment horizontal="center"/>
    </xf>
    <xf numFmtId="0" fontId="5" fillId="0" borderId="15" xfId="0" applyFont="1" applyBorder="1" applyAlignment="1">
      <alignment horizontal="center"/>
    </xf>
    <xf numFmtId="164" fontId="5" fillId="0" borderId="6" xfId="0" applyNumberFormat="1" applyFont="1" applyBorder="1" applyAlignment="1">
      <alignment horizontal="right"/>
    </xf>
    <xf numFmtId="164" fontId="5" fillId="0" borderId="6" xfId="2" quotePrefix="1" applyNumberFormat="1" applyFont="1" applyFill="1" applyBorder="1" applyAlignment="1">
      <alignment horizontal="right"/>
    </xf>
    <xf numFmtId="0" fontId="5" fillId="0" borderId="10" xfId="0" applyFont="1" applyBorder="1" applyAlignment="1">
      <alignment wrapText="1"/>
    </xf>
    <xf numFmtId="7" fontId="5" fillId="0" borderId="6" xfId="2" applyNumberFormat="1" applyFont="1" applyFill="1" applyBorder="1" applyAlignment="1">
      <alignment horizontal="right"/>
    </xf>
    <xf numFmtId="169" fontId="5" fillId="0" borderId="0" xfId="1" applyNumberFormat="1" applyFont="1" applyFill="1" applyAlignment="1"/>
    <xf numFmtId="166"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7"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wrapText="1"/>
    </xf>
    <xf numFmtId="164" fontId="5" fillId="0" borderId="17" xfId="0" applyNumberFormat="1" applyFont="1" applyBorder="1" applyAlignment="1">
      <alignment horizontal="right"/>
    </xf>
    <xf numFmtId="166" fontId="5" fillId="0" borderId="17" xfId="0" applyNumberFormat="1" applyFont="1" applyBorder="1" applyAlignment="1">
      <alignment horizontal="center"/>
    </xf>
    <xf numFmtId="0" fontId="5" fillId="0" borderId="18" xfId="0" applyFont="1" applyBorder="1" applyAlignment="1">
      <alignment horizontal="center"/>
    </xf>
    <xf numFmtId="170" fontId="5" fillId="0" borderId="10" xfId="1" applyNumberFormat="1" applyFont="1" applyFill="1" applyBorder="1" applyAlignment="1">
      <alignment horizontal="center" vertical="center"/>
    </xf>
    <xf numFmtId="2" fontId="5" fillId="0" borderId="0" xfId="0" applyNumberFormat="1" applyFont="1" applyAlignment="1">
      <alignment horizontal="center"/>
    </xf>
    <xf numFmtId="3" fontId="5" fillId="0" borderId="30" xfId="0" applyNumberFormat="1" applyFont="1" applyBorder="1" applyAlignment="1">
      <alignment horizontal="center"/>
    </xf>
    <xf numFmtId="166" fontId="5" fillId="0" borderId="6" xfId="2" applyNumberFormat="1" applyFont="1" applyFill="1" applyBorder="1" applyAlignment="1">
      <alignment horizontal="center"/>
    </xf>
    <xf numFmtId="164" fontId="5" fillId="0" borderId="6" xfId="2" applyNumberFormat="1" applyFont="1" applyFill="1" applyBorder="1" applyAlignment="1">
      <alignment horizontal="center"/>
    </xf>
    <xf numFmtId="0" fontId="4" fillId="0" borderId="6" xfId="0" applyFont="1" applyBorder="1"/>
    <xf numFmtId="0" fontId="5" fillId="0" borderId="31" xfId="0" applyFont="1" applyBorder="1" applyAlignment="1">
      <alignment horizontal="center" vertical="center"/>
    </xf>
    <xf numFmtId="44" fontId="5" fillId="0" borderId="0" xfId="2" applyFont="1" applyFill="1" applyAlignment="1">
      <alignment horizontal="left"/>
    </xf>
    <xf numFmtId="0" fontId="5" fillId="0" borderId="0" xfId="0" applyFont="1" applyAlignment="1">
      <alignment horizontal="center" vertical="top"/>
    </xf>
    <xf numFmtId="164" fontId="5" fillId="0" borderId="0" xfId="0" applyNumberFormat="1" applyFont="1" applyAlignment="1">
      <alignment horizontal="center" vertical="top"/>
    </xf>
    <xf numFmtId="176" fontId="5" fillId="0" borderId="8" xfId="0" applyNumberFormat="1" applyFont="1" applyBorder="1" applyAlignment="1">
      <alignment horizontal="center"/>
    </xf>
    <xf numFmtId="0" fontId="4" fillId="0" borderId="27" xfId="0" applyFont="1" applyBorder="1"/>
    <xf numFmtId="0" fontId="5" fillId="0" borderId="10" xfId="0" applyFont="1" applyBorder="1" applyAlignment="1">
      <alignment horizontal="center" vertical="top" wrapText="1"/>
    </xf>
    <xf numFmtId="164" fontId="5" fillId="0" borderId="0" xfId="0" applyNumberFormat="1" applyFont="1"/>
    <xf numFmtId="3" fontId="5" fillId="0" borderId="0" xfId="0" applyNumberFormat="1" applyFont="1" applyAlignment="1">
      <alignment horizontal="center"/>
    </xf>
    <xf numFmtId="0" fontId="4" fillId="0" borderId="27" xfId="0" applyFont="1" applyBorder="1" applyAlignment="1">
      <alignment horizontal="center"/>
    </xf>
    <xf numFmtId="0" fontId="4" fillId="0" borderId="21" xfId="0" applyFont="1" applyBorder="1" applyAlignment="1">
      <alignment horizontal="center"/>
    </xf>
    <xf numFmtId="0" fontId="4" fillId="0" borderId="37" xfId="0" applyFont="1" applyBorder="1" applyAlignment="1">
      <alignment horizontal="center"/>
    </xf>
    <xf numFmtId="0" fontId="4" fillId="0" borderId="19" xfId="0" applyFont="1" applyBorder="1"/>
    <xf numFmtId="0" fontId="5" fillId="0" borderId="27" xfId="0" applyFont="1" applyBorder="1" applyAlignment="1">
      <alignment horizontal="center" vertical="center"/>
    </xf>
    <xf numFmtId="3" fontId="5" fillId="0" borderId="0" xfId="0" applyNumberFormat="1" applyFont="1" applyAlignment="1">
      <alignment vertical="top" wrapText="1"/>
    </xf>
    <xf numFmtId="0" fontId="5" fillId="0" borderId="31" xfId="0" applyFont="1" applyBorder="1" applyAlignment="1">
      <alignment horizontal="center" vertical="top" wrapText="1"/>
    </xf>
    <xf numFmtId="164" fontId="5" fillId="0" borderId="0" xfId="0" applyNumberFormat="1" applyFont="1" applyAlignment="1">
      <alignment horizontal="center"/>
    </xf>
    <xf numFmtId="1" fontId="5" fillId="0" borderId="8" xfId="0" applyNumberFormat="1" applyFont="1" applyBorder="1" applyAlignment="1">
      <alignment horizontal="center"/>
    </xf>
    <xf numFmtId="164" fontId="5" fillId="0" borderId="0" xfId="0" applyNumberFormat="1" applyFont="1" applyAlignment="1">
      <alignment horizontal="left"/>
    </xf>
    <xf numFmtId="0" fontId="4" fillId="0" borderId="29"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vertical="center"/>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4" fillId="0" borderId="15" xfId="0" applyFont="1" applyBorder="1" applyAlignment="1">
      <alignment horizontal="center" wrapText="1"/>
    </xf>
    <xf numFmtId="0" fontId="4" fillId="0" borderId="65" xfId="0" applyFont="1" applyBorder="1" applyAlignment="1">
      <alignment horizontal="center"/>
    </xf>
    <xf numFmtId="0" fontId="5" fillId="0" borderId="67" xfId="0" applyFont="1" applyBorder="1" applyAlignment="1">
      <alignment horizontal="center"/>
    </xf>
    <xf numFmtId="164" fontId="5" fillId="0" borderId="0" xfId="0" applyNumberFormat="1" applyFont="1" applyAlignment="1">
      <alignment vertical="center" wrapText="1"/>
    </xf>
    <xf numFmtId="164" fontId="5" fillId="0" borderId="0" xfId="0" applyNumberFormat="1" applyFont="1" applyAlignment="1">
      <alignment vertical="center"/>
    </xf>
    <xf numFmtId="177" fontId="5" fillId="0" borderId="10" xfId="1" applyNumberFormat="1" applyFont="1" applyFill="1" applyBorder="1" applyAlignment="1">
      <alignment horizontal="center" vertical="center"/>
    </xf>
    <xf numFmtId="0" fontId="5" fillId="0" borderId="0" xfId="0" applyFont="1" applyAlignment="1">
      <alignment horizontal="center" wrapText="1"/>
    </xf>
    <xf numFmtId="0" fontId="5" fillId="0" borderId="0" xfId="0" applyFont="1" applyAlignment="1">
      <alignment horizontal="right" wrapText="1"/>
    </xf>
    <xf numFmtId="3" fontId="5" fillId="0" borderId="10" xfId="0" applyNumberFormat="1" applyFont="1" applyBorder="1" applyAlignment="1">
      <alignment horizontal="center" vertical="center"/>
    </xf>
    <xf numFmtId="43" fontId="5" fillId="0" borderId="0" xfId="0" applyNumberFormat="1" applyFont="1"/>
    <xf numFmtId="15" fontId="4" fillId="0" borderId="0" xfId="0" applyNumberFormat="1" applyFont="1" applyAlignment="1">
      <alignment horizontal="center"/>
    </xf>
    <xf numFmtId="39" fontId="5" fillId="0" borderId="6" xfId="1" applyNumberFormat="1" applyFont="1" applyFill="1" applyBorder="1"/>
    <xf numFmtId="178" fontId="5" fillId="0" borderId="6" xfId="0" applyNumberFormat="1" applyFont="1" applyBorder="1" applyAlignment="1">
      <alignment horizontal="center"/>
    </xf>
    <xf numFmtId="2" fontId="5" fillId="0" borderId="8" xfId="0" applyNumberFormat="1" applyFont="1" applyBorder="1" applyAlignment="1">
      <alignment horizontal="center"/>
    </xf>
    <xf numFmtId="2" fontId="5" fillId="0" borderId="30" xfId="0" applyNumberFormat="1" applyFont="1" applyBorder="1" applyAlignment="1">
      <alignment horizontal="center"/>
    </xf>
    <xf numFmtId="3" fontId="5" fillId="0" borderId="6" xfId="0" applyNumberFormat="1" applyFont="1" applyBorder="1"/>
    <xf numFmtId="170" fontId="5" fillId="0" borderId="9" xfId="1" applyNumberFormat="1" applyFont="1" applyFill="1" applyBorder="1" applyAlignment="1">
      <alignment horizontal="right" vertical="center"/>
    </xf>
    <xf numFmtId="0" fontId="4" fillId="0" borderId="6" xfId="0" applyFont="1" applyBorder="1" applyAlignment="1">
      <alignment horizontal="center" vertical="center" wrapText="1"/>
    </xf>
    <xf numFmtId="3" fontId="5" fillId="0" borderId="29" xfId="0" applyNumberFormat="1" applyFont="1" applyBorder="1" applyAlignment="1">
      <alignment vertical="center"/>
    </xf>
    <xf numFmtId="0" fontId="4" fillId="0" borderId="23" xfId="0" applyFont="1" applyBorder="1" applyAlignment="1">
      <alignment horizontal="center" wrapText="1"/>
    </xf>
    <xf numFmtId="44" fontId="5" fillId="0" borderId="23" xfId="2" applyFont="1" applyFill="1" applyBorder="1" applyAlignment="1">
      <alignment horizontal="center"/>
    </xf>
    <xf numFmtId="44" fontId="5" fillId="0" borderId="9" xfId="2" applyFont="1" applyFill="1" applyBorder="1" applyAlignment="1">
      <alignment horizontal="left" wrapText="1"/>
    </xf>
    <xf numFmtId="180" fontId="5" fillId="0" borderId="6" xfId="2" applyNumberFormat="1" applyFont="1" applyFill="1" applyBorder="1"/>
    <xf numFmtId="3" fontId="5" fillId="0" borderId="23" xfId="0" applyNumberFormat="1" applyFont="1" applyBorder="1" applyAlignment="1">
      <alignment vertical="center"/>
    </xf>
    <xf numFmtId="0" fontId="4" fillId="0" borderId="8" xfId="0" applyFont="1" applyBorder="1" applyAlignment="1">
      <alignment horizontal="right"/>
    </xf>
    <xf numFmtId="2" fontId="5" fillId="0" borderId="27" xfId="0" applyNumberFormat="1" applyFont="1" applyBorder="1" applyAlignment="1">
      <alignment horizontal="center"/>
    </xf>
    <xf numFmtId="0" fontId="5" fillId="0" borderId="30" xfId="0" applyFont="1" applyBorder="1" applyAlignment="1">
      <alignment horizontal="right"/>
    </xf>
    <xf numFmtId="3" fontId="5" fillId="0" borderId="9" xfId="0" applyNumberFormat="1" applyFont="1" applyBorder="1" applyAlignment="1">
      <alignment vertical="center"/>
    </xf>
    <xf numFmtId="0" fontId="10" fillId="0" borderId="0" xfId="0" applyFont="1" applyAlignment="1">
      <alignment horizontal="left" vertical="top"/>
    </xf>
    <xf numFmtId="169" fontId="5" fillId="0" borderId="6" xfId="1" applyNumberFormat="1" applyFont="1" applyFill="1" applyBorder="1" applyAlignment="1">
      <alignment horizontal="center" vertical="center"/>
    </xf>
    <xf numFmtId="0" fontId="5" fillId="0" borderId="10" xfId="0" applyFont="1" applyBorder="1"/>
    <xf numFmtId="0" fontId="4" fillId="0" borderId="30" xfId="0" applyFont="1" applyBorder="1" applyAlignment="1">
      <alignment horizontal="center" vertical="center" wrapText="1"/>
    </xf>
    <xf numFmtId="44" fontId="5" fillId="0" borderId="8" xfId="0" applyNumberFormat="1" applyFont="1" applyBorder="1" applyAlignment="1">
      <alignment horizontal="center"/>
    </xf>
    <xf numFmtId="164" fontId="5" fillId="0" borderId="6" xfId="0" applyNumberFormat="1" applyFont="1" applyBorder="1" applyAlignment="1">
      <alignment horizontal="center"/>
    </xf>
    <xf numFmtId="44" fontId="5" fillId="0" borderId="20" xfId="2" applyFont="1" applyFill="1" applyBorder="1" applyAlignment="1">
      <alignment horizontal="right"/>
    </xf>
    <xf numFmtId="44" fontId="5" fillId="0" borderId="27" xfId="2" applyFont="1" applyFill="1" applyBorder="1" applyAlignment="1">
      <alignment horizontal="right"/>
    </xf>
    <xf numFmtId="169" fontId="5" fillId="0" borderId="6" xfId="0" applyNumberFormat="1" applyFont="1" applyBorder="1" applyAlignment="1">
      <alignment horizontal="right" vertical="center"/>
    </xf>
    <xf numFmtId="37" fontId="5" fillId="0" borderId="6" xfId="0" applyNumberFormat="1" applyFont="1" applyBorder="1" applyAlignment="1">
      <alignment horizontal="center" vertical="center"/>
    </xf>
    <xf numFmtId="44" fontId="5" fillId="0" borderId="6" xfId="0" applyNumberFormat="1" applyFont="1" applyBorder="1" applyAlignment="1">
      <alignment horizontal="right" vertical="center"/>
    </xf>
    <xf numFmtId="0" fontId="5" fillId="0" borderId="9" xfId="0" applyFont="1" applyBorder="1"/>
    <xf numFmtId="0" fontId="5" fillId="0" borderId="43" xfId="0" applyFont="1" applyBorder="1" applyAlignment="1">
      <alignment horizontal="left"/>
    </xf>
    <xf numFmtId="3" fontId="5" fillId="0" borderId="9" xfId="0" applyNumberFormat="1" applyFont="1" applyBorder="1" applyAlignment="1">
      <alignment horizontal="right" vertical="center"/>
    </xf>
    <xf numFmtId="0" fontId="4" fillId="0" borderId="10" xfId="0" applyFont="1" applyBorder="1" applyAlignment="1">
      <alignment horizontal="right"/>
    </xf>
    <xf numFmtId="179" fontId="5" fillId="0" borderId="6" xfId="0" applyNumberFormat="1" applyFont="1" applyBorder="1"/>
    <xf numFmtId="172" fontId="5" fillId="0" borderId="20" xfId="0" applyNumberFormat="1" applyFont="1" applyBorder="1"/>
    <xf numFmtId="44" fontId="5" fillId="0" borderId="8" xfId="2" applyFont="1" applyFill="1" applyBorder="1"/>
    <xf numFmtId="0" fontId="5" fillId="0" borderId="38" xfId="0" applyFont="1" applyBorder="1" applyAlignment="1">
      <alignment horizontal="center"/>
    </xf>
    <xf numFmtId="169" fontId="5" fillId="0" borderId="9" xfId="1" applyNumberFormat="1" applyFont="1" applyFill="1" applyBorder="1" applyAlignment="1">
      <alignment horizontal="right" vertical="center" wrapText="1"/>
    </xf>
    <xf numFmtId="8" fontId="5" fillId="0" borderId="9" xfId="0" applyNumberFormat="1" applyFont="1" applyBorder="1" applyAlignment="1">
      <alignment vertical="center" wrapText="1"/>
    </xf>
    <xf numFmtId="8" fontId="5" fillId="0" borderId="6" xfId="2" applyNumberFormat="1" applyFont="1" applyFill="1" applyBorder="1" applyAlignment="1">
      <alignment horizontal="right" vertical="center"/>
    </xf>
    <xf numFmtId="3" fontId="5" fillId="0" borderId="10" xfId="0" applyNumberFormat="1" applyFont="1" applyBorder="1" applyAlignment="1">
      <alignment vertical="center" wrapText="1"/>
    </xf>
    <xf numFmtId="0" fontId="5" fillId="0" borderId="19" xfId="0" applyFont="1" applyBorder="1" applyAlignment="1">
      <alignment horizontal="left"/>
    </xf>
    <xf numFmtId="44" fontId="5" fillId="0" borderId="19" xfId="2" applyFont="1" applyFill="1" applyBorder="1" applyAlignment="1">
      <alignment horizontal="center"/>
    </xf>
    <xf numFmtId="0" fontId="5" fillId="0" borderId="38" xfId="0" applyFont="1" applyBorder="1"/>
    <xf numFmtId="0" fontId="5" fillId="0" borderId="38" xfId="0" applyFont="1" applyBorder="1" applyAlignment="1">
      <alignment horizontal="center" wrapText="1"/>
    </xf>
    <xf numFmtId="166" fontId="5" fillId="0" borderId="9" xfId="0" applyNumberFormat="1" applyFont="1" applyBorder="1"/>
    <xf numFmtId="0" fontId="5" fillId="0" borderId="46" xfId="0" applyFont="1" applyBorder="1" applyAlignment="1">
      <alignment horizontal="center"/>
    </xf>
    <xf numFmtId="0" fontId="5" fillId="0" borderId="46" xfId="0" applyFont="1" applyBorder="1"/>
    <xf numFmtId="166" fontId="5" fillId="0" borderId="22" xfId="0" applyNumberFormat="1" applyFont="1" applyBorder="1"/>
    <xf numFmtId="3" fontId="5" fillId="0" borderId="10" xfId="0" applyNumberFormat="1" applyFont="1" applyBorder="1"/>
    <xf numFmtId="0" fontId="5" fillId="0" borderId="71" xfId="0" applyFont="1" applyBorder="1" applyAlignment="1">
      <alignment horizontal="center"/>
    </xf>
    <xf numFmtId="0" fontId="5" fillId="0" borderId="71" xfId="0" applyFont="1" applyBorder="1"/>
    <xf numFmtId="0" fontId="5" fillId="0" borderId="38" xfId="0" applyFont="1" applyBorder="1" applyAlignment="1">
      <alignment horizontal="left"/>
    </xf>
    <xf numFmtId="0" fontId="5" fillId="0" borderId="38" xfId="0" applyFont="1" applyBorder="1" applyAlignment="1">
      <alignment vertical="top" wrapText="1"/>
    </xf>
    <xf numFmtId="0" fontId="13" fillId="0" borderId="22" xfId="0" applyFont="1" applyBorder="1" applyAlignment="1">
      <alignment horizontal="left" vertical="top" wrapText="1"/>
    </xf>
    <xf numFmtId="0" fontId="13" fillId="0" borderId="46" xfId="0" applyFont="1" applyBorder="1" applyAlignment="1">
      <alignment vertical="top" wrapText="1"/>
    </xf>
    <xf numFmtId="0" fontId="5" fillId="0" borderId="22" xfId="0" applyFont="1" applyBorder="1"/>
    <xf numFmtId="0" fontId="5" fillId="0" borderId="72" xfId="0" applyFont="1" applyBorder="1"/>
    <xf numFmtId="44" fontId="5" fillId="0" borderId="0" xfId="2" applyFont="1" applyFill="1" applyAlignment="1">
      <alignment horizontal="left" wrapText="1"/>
    </xf>
    <xf numFmtId="169" fontId="5" fillId="0" borderId="4" xfId="1" applyNumberFormat="1" applyFont="1" applyFill="1" applyBorder="1" applyAlignment="1">
      <alignment horizontal="center"/>
    </xf>
    <xf numFmtId="37" fontId="5" fillId="0" borderId="8" xfId="2" applyNumberFormat="1" applyFont="1" applyFill="1" applyBorder="1"/>
    <xf numFmtId="179" fontId="5" fillId="0" borderId="6" xfId="0" applyNumberFormat="1" applyFont="1" applyBorder="1" applyAlignment="1">
      <alignment horizontal="center"/>
    </xf>
    <xf numFmtId="169" fontId="4" fillId="0" borderId="6" xfId="0" applyNumberFormat="1" applyFont="1" applyBorder="1"/>
    <xf numFmtId="4" fontId="5" fillId="0" borderId="6" xfId="0" applyNumberFormat="1" applyFont="1" applyBorder="1" applyAlignment="1">
      <alignment horizontal="center"/>
    </xf>
    <xf numFmtId="164" fontId="5" fillId="0" borderId="6" xfId="2" applyNumberFormat="1" applyFont="1" applyFill="1" applyBorder="1" applyAlignment="1"/>
    <xf numFmtId="0" fontId="13" fillId="0" borderId="6" xfId="0" applyFont="1" applyBorder="1" applyAlignment="1">
      <alignment horizontal="center"/>
    </xf>
    <xf numFmtId="0" fontId="13" fillId="0" borderId="8" xfId="0" applyFont="1" applyBorder="1" applyAlignment="1">
      <alignment horizontal="left"/>
    </xf>
    <xf numFmtId="0" fontId="13" fillId="0" borderId="10" xfId="0" applyFont="1" applyBorder="1" applyAlignment="1">
      <alignment horizontal="left"/>
    </xf>
    <xf numFmtId="0" fontId="13" fillId="0" borderId="9" xfId="0" applyFont="1" applyBorder="1" applyAlignment="1">
      <alignment horizontal="left"/>
    </xf>
    <xf numFmtId="44" fontId="5" fillId="0" borderId="19" xfId="0" applyNumberFormat="1" applyFont="1" applyBorder="1"/>
    <xf numFmtId="3" fontId="5" fillId="0" borderId="10" xfId="0" applyNumberFormat="1" applyFont="1" applyBorder="1" applyAlignment="1">
      <alignment horizontal="right" vertical="center"/>
    </xf>
    <xf numFmtId="3" fontId="5" fillId="0" borderId="10" xfId="0" applyNumberFormat="1" applyFont="1" applyBorder="1" applyAlignment="1">
      <alignment horizontal="right" vertical="center" wrapText="1"/>
    </xf>
    <xf numFmtId="0" fontId="5" fillId="0" borderId="20" xfId="0" applyFont="1" applyBorder="1" applyAlignment="1">
      <alignment horizontal="center" vertical="center"/>
    </xf>
    <xf numFmtId="0" fontId="4" fillId="0" borderId="20" xfId="0" applyFont="1" applyBorder="1" applyAlignment="1">
      <alignment horizontal="right"/>
    </xf>
    <xf numFmtId="177" fontId="0" fillId="0" borderId="0" xfId="1" applyNumberFormat="1" applyFont="1" applyFill="1"/>
    <xf numFmtId="0" fontId="13" fillId="0" borderId="10" xfId="0" applyFont="1" applyBorder="1"/>
    <xf numFmtId="7" fontId="5" fillId="0" borderId="23" xfId="2" applyNumberFormat="1" applyFont="1" applyFill="1" applyBorder="1" applyAlignment="1">
      <alignment horizontal="right"/>
    </xf>
    <xf numFmtId="7" fontId="5" fillId="0" borderId="4" xfId="2" applyNumberFormat="1" applyFont="1" applyFill="1" applyBorder="1" applyAlignment="1">
      <alignment horizontal="right"/>
    </xf>
    <xf numFmtId="7" fontId="5" fillId="0" borderId="0" xfId="2" applyNumberFormat="1" applyFont="1" applyFill="1" applyAlignment="1">
      <alignment horizontal="right"/>
    </xf>
    <xf numFmtId="7" fontId="5" fillId="0" borderId="9" xfId="2" applyNumberFormat="1" applyFont="1" applyFill="1" applyBorder="1" applyAlignment="1">
      <alignment horizontal="right" wrapText="1"/>
    </xf>
    <xf numFmtId="0" fontId="13" fillId="0" borderId="6" xfId="0" applyFont="1" applyBorder="1"/>
    <xf numFmtId="0" fontId="13" fillId="0" borderId="6" xfId="0" applyFont="1" applyBorder="1" applyAlignment="1">
      <alignment horizontal="left"/>
    </xf>
    <xf numFmtId="7" fontId="5" fillId="0" borderId="23" xfId="2" applyNumberFormat="1" applyFont="1" applyFill="1" applyBorder="1" applyAlignment="1">
      <alignment horizontal="center"/>
    </xf>
    <xf numFmtId="7" fontId="5" fillId="0" borderId="6" xfId="2" applyNumberFormat="1" applyFont="1" applyFill="1" applyBorder="1" applyAlignment="1">
      <alignment horizontal="center"/>
    </xf>
    <xf numFmtId="7" fontId="5" fillId="0" borderId="9" xfId="2" applyNumberFormat="1" applyFont="1" applyFill="1" applyBorder="1" applyAlignment="1">
      <alignment horizontal="center" wrapText="1"/>
    </xf>
    <xf numFmtId="7" fontId="5" fillId="0" borderId="8" xfId="2" applyNumberFormat="1" applyFont="1" applyFill="1" applyBorder="1"/>
    <xf numFmtId="7" fontId="5" fillId="0" borderId="8" xfId="0" applyNumberFormat="1" applyFont="1" applyBorder="1"/>
    <xf numFmtId="44" fontId="5" fillId="0" borderId="0" xfId="2" applyFont="1" applyFill="1" applyBorder="1" applyAlignment="1">
      <alignment horizontal="left"/>
    </xf>
    <xf numFmtId="8" fontId="5" fillId="0" borderId="0" xfId="0" applyNumberFormat="1" applyFont="1" applyAlignment="1">
      <alignment horizontal="left"/>
    </xf>
    <xf numFmtId="169" fontId="5" fillId="0" borderId="6" xfId="1" applyNumberFormat="1" applyFont="1" applyFill="1" applyBorder="1" applyAlignment="1">
      <alignment horizontal="right"/>
    </xf>
    <xf numFmtId="7" fontId="5" fillId="0" borderId="10" xfId="2" applyNumberFormat="1" applyFont="1" applyFill="1" applyBorder="1" applyAlignment="1">
      <alignment horizontal="right"/>
    </xf>
    <xf numFmtId="169" fontId="5" fillId="0" borderId="10" xfId="1" applyNumberFormat="1" applyFont="1" applyFill="1" applyBorder="1" applyAlignment="1">
      <alignment horizontal="right"/>
    </xf>
    <xf numFmtId="166" fontId="5" fillId="0" borderId="8" xfId="0" applyNumberFormat="1" applyFont="1" applyBorder="1" applyAlignment="1">
      <alignment horizontal="right"/>
    </xf>
    <xf numFmtId="166" fontId="5" fillId="0" borderId="9" xfId="0" applyNumberFormat="1" applyFont="1" applyBorder="1" applyAlignment="1">
      <alignment horizontal="right"/>
    </xf>
    <xf numFmtId="169" fontId="5" fillId="0" borderId="10" xfId="0" applyNumberFormat="1" applyFont="1" applyBorder="1" applyAlignment="1">
      <alignment horizontal="left" vertical="center" wrapText="1"/>
    </xf>
    <xf numFmtId="166" fontId="5" fillId="0" borderId="8" xfId="0" applyNumberFormat="1" applyFont="1" applyBorder="1" applyAlignment="1">
      <alignment vertical="center"/>
    </xf>
    <xf numFmtId="7" fontId="5" fillId="0" borderId="6" xfId="2" applyNumberFormat="1" applyFont="1" applyFill="1" applyBorder="1" applyAlignment="1">
      <alignment horizontal="right" vertical="center"/>
    </xf>
    <xf numFmtId="169" fontId="5" fillId="0" borderId="6" xfId="1" applyNumberFormat="1" applyFont="1" applyFill="1" applyBorder="1" applyAlignment="1">
      <alignment horizontal="right" vertical="center"/>
    </xf>
    <xf numFmtId="166" fontId="5" fillId="0" borderId="10" xfId="0" applyNumberFormat="1" applyFont="1" applyBorder="1" applyAlignment="1">
      <alignment horizontal="center"/>
    </xf>
    <xf numFmtId="169" fontId="5" fillId="0" borderId="0" xfId="1" applyNumberFormat="1" applyFont="1" applyFill="1" applyAlignment="1">
      <alignment horizontal="right" vertical="center"/>
    </xf>
    <xf numFmtId="2" fontId="5" fillId="0" borderId="6" xfId="0" applyNumberFormat="1" applyFont="1" applyBorder="1" applyAlignment="1">
      <alignment horizontal="center" wrapText="1"/>
    </xf>
    <xf numFmtId="0" fontId="5" fillId="0" borderId="11" xfId="0" applyFont="1" applyBorder="1" applyAlignment="1">
      <alignment horizontal="center" vertical="center" wrapText="1"/>
    </xf>
    <xf numFmtId="164" fontId="5" fillId="0" borderId="20" xfId="0" applyNumberFormat="1" applyFont="1" applyBorder="1" applyAlignment="1">
      <alignment horizontal="left" wrapText="1"/>
    </xf>
    <xf numFmtId="8" fontId="5" fillId="0" borderId="20" xfId="0" applyNumberFormat="1" applyFont="1" applyBorder="1" applyAlignment="1">
      <alignment wrapText="1"/>
    </xf>
    <xf numFmtId="0" fontId="5" fillId="0" borderId="20" xfId="0" applyFont="1" applyBorder="1" applyAlignment="1">
      <alignment horizontal="center" wrapText="1"/>
    </xf>
    <xf numFmtId="169" fontId="4" fillId="0" borderId="6" xfId="0" applyNumberFormat="1" applyFont="1" applyBorder="1" applyAlignment="1">
      <alignment horizontal="right"/>
    </xf>
    <xf numFmtId="169" fontId="5" fillId="0" borderId="6" xfId="0" applyNumberFormat="1" applyFont="1" applyBorder="1" applyAlignment="1">
      <alignment horizontal="center" vertical="center"/>
    </xf>
    <xf numFmtId="2" fontId="5" fillId="0" borderId="6" xfId="0" applyNumberFormat="1" applyFont="1" applyBorder="1" applyAlignment="1">
      <alignment horizontal="center" vertical="center" wrapText="1"/>
    </xf>
    <xf numFmtId="8" fontId="5" fillId="0" borderId="6" xfId="0" applyNumberFormat="1" applyFont="1" applyBorder="1" applyAlignment="1">
      <alignment horizontal="right" vertical="center" wrapText="1"/>
    </xf>
    <xf numFmtId="0" fontId="5" fillId="0" borderId="6" xfId="0" applyFont="1" applyBorder="1" applyAlignment="1">
      <alignment horizontal="right" vertical="center" wrapText="1"/>
    </xf>
    <xf numFmtId="8" fontId="5" fillId="0" borderId="8" xfId="0" applyNumberFormat="1" applyFont="1" applyBorder="1" applyAlignment="1">
      <alignment horizontal="right" vertical="center" wrapText="1"/>
    </xf>
    <xf numFmtId="8" fontId="5" fillId="0" borderId="8" xfId="0" applyNumberFormat="1" applyFont="1" applyBorder="1" applyAlignment="1">
      <alignment vertical="center" wrapText="1"/>
    </xf>
    <xf numFmtId="8" fontId="8" fillId="0" borderId="46" xfId="0" applyNumberFormat="1" applyFont="1" applyBorder="1" applyAlignment="1">
      <alignment horizontal="center" vertical="center"/>
    </xf>
    <xf numFmtId="0" fontId="7" fillId="0" borderId="39" xfId="0" applyFont="1" applyBorder="1" applyAlignment="1">
      <alignment horizontal="center" vertical="center" wrapText="1"/>
    </xf>
    <xf numFmtId="8" fontId="8" fillId="0" borderId="6" xfId="0" applyNumberFormat="1" applyFont="1" applyBorder="1" applyAlignment="1">
      <alignment horizontal="center" vertical="center"/>
    </xf>
    <xf numFmtId="8" fontId="8" fillId="0" borderId="6" xfId="0" applyNumberFormat="1" applyFont="1" applyBorder="1" applyAlignment="1">
      <alignment horizontal="center" vertical="center" wrapText="1"/>
    </xf>
    <xf numFmtId="0" fontId="8" fillId="0" borderId="0" xfId="0" applyFont="1" applyAlignment="1">
      <alignment vertical="center"/>
    </xf>
    <xf numFmtId="0" fontId="7" fillId="0" borderId="0" xfId="0" applyFont="1" applyAlignment="1">
      <alignment vertical="center"/>
    </xf>
    <xf numFmtId="0" fontId="5" fillId="0" borderId="30" xfId="0" applyFont="1" applyBorder="1" applyAlignment="1">
      <alignment horizontal="center" wrapText="1"/>
    </xf>
    <xf numFmtId="0" fontId="4" fillId="0" borderId="11" xfId="0" applyFont="1" applyBorder="1" applyAlignment="1">
      <alignment horizontal="center"/>
    </xf>
    <xf numFmtId="0" fontId="4" fillId="0" borderId="22" xfId="0" applyFont="1" applyBorder="1" applyAlignment="1">
      <alignment horizontal="center"/>
    </xf>
    <xf numFmtId="164" fontId="5" fillId="0" borderId="11" xfId="0" applyNumberFormat="1" applyFont="1" applyBorder="1" applyAlignment="1">
      <alignment horizontal="right" wrapText="1"/>
    </xf>
    <xf numFmtId="3" fontId="5" fillId="0" borderId="6" xfId="0" applyNumberFormat="1" applyFont="1" applyBorder="1" applyAlignment="1">
      <alignment horizontal="center" wrapText="1"/>
    </xf>
    <xf numFmtId="3" fontId="5" fillId="0" borderId="11" xfId="0" applyNumberFormat="1" applyFont="1" applyBorder="1" applyAlignment="1">
      <alignment horizontal="center" wrapText="1"/>
    </xf>
    <xf numFmtId="164" fontId="5" fillId="0" borderId="8" xfId="0" applyNumberFormat="1" applyFont="1" applyBorder="1" applyAlignment="1">
      <alignment horizontal="right"/>
    </xf>
    <xf numFmtId="164" fontId="5" fillId="0" borderId="6" xfId="1" applyNumberFormat="1" applyFont="1" applyFill="1" applyBorder="1" applyAlignment="1">
      <alignment horizontal="center"/>
    </xf>
    <xf numFmtId="164" fontId="5" fillId="0" borderId="6" xfId="2" applyNumberFormat="1" applyFont="1" applyFill="1" applyBorder="1" applyAlignment="1">
      <alignment horizontal="righ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5" fillId="0" borderId="13" xfId="0" applyFont="1" applyBorder="1" applyAlignment="1">
      <alignment vertical="center"/>
    </xf>
    <xf numFmtId="0" fontId="5" fillId="0" borderId="13" xfId="0" applyFont="1" applyBorder="1" applyAlignment="1">
      <alignment horizontal="center" vertical="center" wrapText="1"/>
    </xf>
    <xf numFmtId="169" fontId="5" fillId="0" borderId="13" xfId="1" applyNumberFormat="1" applyFont="1" applyFill="1" applyBorder="1" applyAlignment="1">
      <alignment horizontal="center" vertical="center"/>
    </xf>
    <xf numFmtId="0" fontId="5" fillId="0" borderId="7" xfId="0" applyFont="1" applyBorder="1" applyAlignment="1">
      <alignment horizontal="center" vertical="center"/>
    </xf>
    <xf numFmtId="0" fontId="5" fillId="0" borderId="17" xfId="0" applyFont="1" applyBorder="1" applyAlignment="1">
      <alignment vertical="center" wrapText="1"/>
    </xf>
    <xf numFmtId="169" fontId="5" fillId="0" borderId="17" xfId="0" applyNumberFormat="1" applyFont="1" applyBorder="1" applyAlignment="1">
      <alignment vertical="center" wrapText="1"/>
    </xf>
    <xf numFmtId="0" fontId="5" fillId="0" borderId="17" xfId="0" applyFont="1" applyBorder="1"/>
    <xf numFmtId="0" fontId="4" fillId="0" borderId="17" xfId="0" applyFont="1" applyBorder="1" applyAlignment="1">
      <alignment horizontal="center"/>
    </xf>
    <xf numFmtId="8" fontId="5" fillId="0" borderId="17" xfId="2" applyNumberFormat="1" applyFont="1" applyFill="1" applyBorder="1"/>
    <xf numFmtId="0" fontId="5" fillId="0" borderId="18" xfId="0" applyFont="1" applyBorder="1" applyAlignment="1">
      <alignment horizontal="center" vertical="center"/>
    </xf>
    <xf numFmtId="164" fontId="5" fillId="0" borderId="6" xfId="0" applyNumberFormat="1" applyFont="1" applyBorder="1" applyAlignment="1">
      <alignment vertical="center"/>
    </xf>
    <xf numFmtId="164" fontId="5" fillId="0" borderId="6" xfId="2" applyNumberFormat="1" applyFont="1" applyFill="1" applyBorder="1" applyAlignment="1">
      <alignment vertical="center"/>
    </xf>
    <xf numFmtId="44" fontId="5" fillId="0" borderId="6" xfId="2" applyFont="1" applyFill="1" applyBorder="1" applyAlignment="1">
      <alignment horizontal="center" vertical="center" wrapText="1"/>
    </xf>
    <xf numFmtId="8" fontId="5" fillId="0" borderId="9" xfId="0" applyNumberFormat="1" applyFont="1" applyBorder="1" applyAlignment="1">
      <alignment horizontal="right" vertical="center" wrapText="1"/>
    </xf>
    <xf numFmtId="3" fontId="5" fillId="0" borderId="29" xfId="0" applyNumberFormat="1" applyFont="1" applyBorder="1" applyAlignment="1">
      <alignment horizontal="center" vertical="center"/>
    </xf>
    <xf numFmtId="0" fontId="5" fillId="0" borderId="6" xfId="2" applyNumberFormat="1" applyFont="1" applyFill="1" applyBorder="1"/>
    <xf numFmtId="1" fontId="5" fillId="0" borderId="6" xfId="2" applyNumberFormat="1" applyFont="1" applyFill="1" applyBorder="1" applyAlignment="1">
      <alignment vertical="center"/>
    </xf>
    <xf numFmtId="44" fontId="5" fillId="0" borderId="6" xfId="0" applyNumberFormat="1" applyFont="1" applyBorder="1"/>
    <xf numFmtId="17" fontId="5" fillId="0" borderId="6" xfId="0" quotePrefix="1" applyNumberFormat="1" applyFont="1" applyBorder="1" applyAlignment="1">
      <alignment horizontal="center"/>
    </xf>
    <xf numFmtId="17" fontId="5" fillId="0" borderId="19" xfId="0" quotePrefix="1" applyNumberFormat="1" applyFont="1" applyBorder="1" applyAlignment="1">
      <alignment horizontal="center"/>
    </xf>
    <xf numFmtId="0" fontId="5" fillId="0" borderId="20" xfId="0" applyFont="1" applyBorder="1" applyAlignment="1">
      <alignment horizontal="left"/>
    </xf>
    <xf numFmtId="0" fontId="5" fillId="0" borderId="22" xfId="0" applyFont="1" applyBorder="1" applyAlignment="1">
      <alignment horizontal="left"/>
    </xf>
    <xf numFmtId="44" fontId="5" fillId="0" borderId="0" xfId="2" applyFont="1" applyFill="1" applyBorder="1" applyAlignment="1">
      <alignment horizontal="center"/>
    </xf>
    <xf numFmtId="44" fontId="5" fillId="0" borderId="0" xfId="0" applyNumberFormat="1" applyFont="1" applyAlignment="1">
      <alignment horizontal="left" vertical="center" wrapText="1"/>
    </xf>
    <xf numFmtId="169" fontId="5" fillId="0" borderId="0" xfId="1" applyNumberFormat="1" applyFont="1" applyFill="1" applyBorder="1" applyAlignment="1">
      <alignment vertical="center"/>
    </xf>
    <xf numFmtId="166" fontId="5" fillId="0" borderId="0" xfId="0" applyNumberFormat="1" applyFont="1" applyAlignment="1">
      <alignment horizontal="center" wrapText="1"/>
    </xf>
    <xf numFmtId="44" fontId="5" fillId="0" borderId="0" xfId="0" applyNumberFormat="1" applyFont="1" applyAlignment="1">
      <alignment horizontal="left" wrapText="1"/>
    </xf>
    <xf numFmtId="8" fontId="5" fillId="0" borderId="0" xfId="0" applyNumberFormat="1" applyFont="1" applyAlignment="1">
      <alignment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5" xfId="0" applyFont="1" applyBorder="1" applyAlignment="1">
      <alignment horizontal="center" vertical="center" wrapText="1"/>
    </xf>
    <xf numFmtId="9" fontId="5" fillId="0" borderId="6" xfId="0" applyNumberFormat="1" applyFont="1" applyBorder="1" applyAlignment="1">
      <alignment horizontal="center"/>
    </xf>
    <xf numFmtId="0" fontId="4" fillId="0" borderId="21" xfId="0" applyFont="1" applyBorder="1" applyAlignment="1">
      <alignment horizontal="center" wrapText="1"/>
    </xf>
    <xf numFmtId="44" fontId="5" fillId="0" borderId="6" xfId="2" applyFont="1" applyFill="1" applyBorder="1" applyAlignment="1">
      <alignment vertical="center" wrapText="1"/>
    </xf>
    <xf numFmtId="44" fontId="5" fillId="0" borderId="6" xfId="0" applyNumberFormat="1" applyFont="1" applyBorder="1" applyAlignment="1">
      <alignment vertical="center" wrapText="1"/>
    </xf>
    <xf numFmtId="166" fontId="5" fillId="0" borderId="10" xfId="0" applyNumberFormat="1" applyFont="1" applyBorder="1" applyAlignment="1">
      <alignment horizontal="center" vertical="center"/>
    </xf>
    <xf numFmtId="1" fontId="5" fillId="0" borderId="30" xfId="0" applyNumberFormat="1" applyFont="1" applyBorder="1" applyAlignment="1">
      <alignment horizontal="center"/>
    </xf>
    <xf numFmtId="0" fontId="5" fillId="0" borderId="31" xfId="0" applyFont="1" applyBorder="1" applyAlignment="1">
      <alignment vertical="center"/>
    </xf>
    <xf numFmtId="169" fontId="5" fillId="0" borderId="11" xfId="0" applyNumberFormat="1" applyFont="1" applyBorder="1" applyAlignment="1">
      <alignment horizontal="center"/>
    </xf>
    <xf numFmtId="169" fontId="5" fillId="0" borderId="20" xfId="0" applyNumberFormat="1" applyFont="1" applyBorder="1" applyAlignment="1">
      <alignment horizontal="center"/>
    </xf>
    <xf numFmtId="169" fontId="5" fillId="0" borderId="22" xfId="0" applyNumberFormat="1" applyFont="1" applyBorder="1" applyAlignment="1">
      <alignment horizontal="center"/>
    </xf>
    <xf numFmtId="169" fontId="5" fillId="0" borderId="23" xfId="1" applyNumberFormat="1" applyFont="1" applyFill="1" applyBorder="1" applyAlignment="1">
      <alignment vertical="center"/>
    </xf>
    <xf numFmtId="169" fontId="5" fillId="0" borderId="43" xfId="0" applyNumberFormat="1" applyFont="1" applyBorder="1" applyAlignment="1">
      <alignment horizontal="center"/>
    </xf>
    <xf numFmtId="169" fontId="5" fillId="0" borderId="44" xfId="0" applyNumberFormat="1" applyFont="1" applyBorder="1" applyAlignment="1">
      <alignment horizontal="center"/>
    </xf>
    <xf numFmtId="169" fontId="5" fillId="0" borderId="45" xfId="0" applyNumberFormat="1" applyFont="1" applyBorder="1" applyAlignment="1">
      <alignment horizontal="center"/>
    </xf>
    <xf numFmtId="49" fontId="5" fillId="0" borderId="6" xfId="0" applyNumberFormat="1" applyFont="1" applyBorder="1" applyAlignment="1">
      <alignment horizontal="center"/>
    </xf>
    <xf numFmtId="0" fontId="4" fillId="0" borderId="0" xfId="0" applyFont="1" applyAlignment="1">
      <alignment horizontal="right" vertical="center"/>
    </xf>
    <xf numFmtId="169" fontId="5" fillId="0" borderId="30" xfId="1" applyNumberFormat="1" applyFont="1" applyFill="1" applyBorder="1" applyAlignment="1">
      <alignment vertical="center"/>
    </xf>
    <xf numFmtId="0" fontId="5" fillId="0" borderId="73" xfId="0" applyFont="1" applyBorder="1" applyAlignment="1">
      <alignment horizontal="center" vertical="center"/>
    </xf>
    <xf numFmtId="165" fontId="5" fillId="0" borderId="30" xfId="0" applyNumberFormat="1" applyFont="1" applyBorder="1" applyAlignment="1">
      <alignment vertical="center"/>
    </xf>
    <xf numFmtId="44" fontId="5" fillId="0" borderId="38" xfId="2" applyFont="1" applyFill="1" applyBorder="1" applyAlignment="1">
      <alignment vertical="center"/>
    </xf>
    <xf numFmtId="44" fontId="5" fillId="0" borderId="4" xfId="2" applyFont="1" applyFill="1" applyBorder="1"/>
    <xf numFmtId="0" fontId="5" fillId="0" borderId="6" xfId="0" quotePrefix="1" applyFont="1" applyBorder="1" applyAlignment="1">
      <alignment horizontal="center"/>
    </xf>
    <xf numFmtId="0" fontId="5" fillId="0" borderId="20" xfId="0" applyFont="1" applyBorder="1" applyAlignment="1">
      <alignment vertical="center" wrapText="1"/>
    </xf>
    <xf numFmtId="169" fontId="5" fillId="0" borderId="20" xfId="0" applyNumberFormat="1" applyFont="1" applyBorder="1" applyAlignment="1">
      <alignment vertical="center" wrapText="1"/>
    </xf>
    <xf numFmtId="0" fontId="5" fillId="0" borderId="22" xfId="0" applyFont="1" applyBorder="1" applyAlignment="1">
      <alignment vertical="center" wrapText="1"/>
    </xf>
    <xf numFmtId="8" fontId="5" fillId="0" borderId="19" xfId="2" applyNumberFormat="1" applyFont="1" applyFill="1" applyBorder="1"/>
    <xf numFmtId="166" fontId="5" fillId="0" borderId="4" xfId="0" applyNumberFormat="1" applyFont="1" applyBorder="1" applyAlignment="1">
      <alignment horizontal="center"/>
    </xf>
    <xf numFmtId="0" fontId="4" fillId="0" borderId="4" xfId="0" applyFont="1" applyBorder="1" applyAlignment="1">
      <alignment horizontal="center" wrapText="1"/>
    </xf>
    <xf numFmtId="44" fontId="5" fillId="0" borderId="30" xfId="2" applyFont="1" applyFill="1" applyBorder="1" applyAlignment="1">
      <alignment horizontal="center"/>
    </xf>
    <xf numFmtId="44" fontId="5" fillId="0" borderId="30" xfId="0" applyNumberFormat="1" applyFont="1" applyBorder="1" applyAlignment="1">
      <alignment horizontal="center"/>
    </xf>
    <xf numFmtId="3" fontId="5" fillId="0" borderId="0" xfId="0" applyNumberFormat="1" applyFont="1" applyAlignment="1">
      <alignment vertical="center" wrapText="1"/>
    </xf>
    <xf numFmtId="43" fontId="5" fillId="0" borderId="6" xfId="0" applyNumberFormat="1" applyFont="1" applyBorder="1"/>
    <xf numFmtId="3" fontId="5" fillId="0" borderId="31" xfId="0" applyNumberFormat="1" applyFont="1" applyBorder="1" applyAlignment="1">
      <alignment horizontal="right" vertical="center"/>
    </xf>
    <xf numFmtId="8" fontId="5" fillId="0" borderId="0" xfId="2" applyNumberFormat="1" applyFont="1" applyFill="1" applyBorder="1" applyAlignment="1">
      <alignment horizontal="center" wrapText="1"/>
    </xf>
    <xf numFmtId="44" fontId="5" fillId="0" borderId="0" xfId="2" applyFont="1" applyFill="1" applyAlignment="1">
      <alignment horizont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169" fontId="8" fillId="0" borderId="10" xfId="0" applyNumberFormat="1" applyFont="1" applyBorder="1" applyAlignment="1">
      <alignment vertical="center"/>
    </xf>
    <xf numFmtId="0" fontId="7" fillId="0" borderId="6" xfId="0" applyFont="1" applyBorder="1" applyAlignment="1">
      <alignment horizontal="center"/>
    </xf>
    <xf numFmtId="0" fontId="7" fillId="0" borderId="4" xfId="0" applyFont="1" applyBorder="1" applyAlignment="1">
      <alignment horizontal="center"/>
    </xf>
    <xf numFmtId="16" fontId="8" fillId="0" borderId="6" xfId="0" quotePrefix="1" applyNumberFormat="1" applyFont="1" applyBorder="1" applyAlignment="1">
      <alignment horizontal="center"/>
    </xf>
    <xf numFmtId="44" fontId="8" fillId="0" borderId="6" xfId="0" applyNumberFormat="1" applyFont="1" applyBorder="1" applyAlignment="1">
      <alignment horizontal="center"/>
    </xf>
    <xf numFmtId="0" fontId="8" fillId="0" borderId="4" xfId="0" applyFont="1" applyBorder="1" applyAlignment="1">
      <alignment horizontal="center"/>
    </xf>
    <xf numFmtId="0" fontId="8" fillId="0" borderId="30" xfId="0" applyFont="1" applyBorder="1" applyAlignment="1">
      <alignment horizontal="center"/>
    </xf>
    <xf numFmtId="0" fontId="8" fillId="0" borderId="23" xfId="0" applyFont="1" applyBorder="1" applyAlignment="1">
      <alignment horizontal="center"/>
    </xf>
    <xf numFmtId="0" fontId="8" fillId="0" borderId="6" xfId="0" applyFont="1" applyBorder="1" applyAlignment="1">
      <alignment horizontal="center"/>
    </xf>
    <xf numFmtId="17" fontId="8" fillId="0" borderId="6" xfId="0" quotePrefix="1" applyNumberFormat="1" applyFont="1" applyBorder="1" applyAlignment="1">
      <alignment horizontal="center"/>
    </xf>
    <xf numFmtId="166" fontId="8" fillId="0" borderId="6" xfId="0" applyNumberFormat="1" applyFont="1" applyBorder="1" applyAlignment="1">
      <alignment horizontal="center"/>
    </xf>
    <xf numFmtId="0" fontId="8" fillId="0" borderId="6" xfId="0" quotePrefix="1" applyFont="1" applyBorder="1" applyAlignment="1">
      <alignment horizontal="center"/>
    </xf>
    <xf numFmtId="0" fontId="8" fillId="0" borderId="6" xfId="0" applyFont="1" applyBorder="1"/>
    <xf numFmtId="44" fontId="8" fillId="0" borderId="6" xfId="0" applyNumberFormat="1" applyFont="1" applyBorder="1"/>
    <xf numFmtId="0" fontId="8" fillId="0" borderId="9" xfId="0" applyFont="1" applyBorder="1" applyAlignment="1">
      <alignment vertical="center"/>
    </xf>
    <xf numFmtId="169" fontId="8" fillId="0" borderId="10" xfId="0" applyNumberFormat="1" applyFont="1" applyBorder="1" applyAlignment="1">
      <alignment horizontal="right" vertical="center"/>
    </xf>
    <xf numFmtId="0" fontId="7" fillId="0" borderId="6" xfId="0" applyFont="1" applyBorder="1" applyAlignment="1">
      <alignment horizontal="center" wrapText="1"/>
    </xf>
    <xf numFmtId="164" fontId="5" fillId="0" borderId="6" xfId="1" applyNumberFormat="1" applyFont="1" applyFill="1" applyBorder="1" applyAlignment="1">
      <alignment horizontal="center" vertical="center"/>
    </xf>
    <xf numFmtId="43" fontId="5" fillId="0" borderId="6" xfId="0" applyNumberFormat="1" applyFont="1" applyBorder="1" applyAlignment="1">
      <alignment horizontal="center"/>
    </xf>
    <xf numFmtId="169" fontId="5" fillId="0" borderId="10" xfId="1" applyNumberFormat="1" applyFont="1" applyFill="1" applyBorder="1" applyAlignment="1">
      <alignment horizontal="right" vertical="center"/>
    </xf>
    <xf numFmtId="181" fontId="5" fillId="0" borderId="6" xfId="0" applyNumberFormat="1" applyFont="1" applyBorder="1" applyAlignment="1">
      <alignment horizontal="center"/>
    </xf>
    <xf numFmtId="0" fontId="5" fillId="0" borderId="21" xfId="0" applyFont="1" applyBorder="1" applyAlignment="1">
      <alignment horizontal="center"/>
    </xf>
    <xf numFmtId="0" fontId="5" fillId="0" borderId="37" xfId="0" applyFont="1" applyBorder="1" applyAlignment="1">
      <alignment horizontal="center"/>
    </xf>
    <xf numFmtId="8" fontId="5" fillId="0" borderId="0" xfId="2" applyNumberFormat="1" applyFont="1" applyFill="1" applyBorder="1" applyAlignment="1">
      <alignment wrapText="1"/>
    </xf>
    <xf numFmtId="0" fontId="7" fillId="0" borderId="6" xfId="0" applyFont="1" applyBorder="1" applyAlignment="1">
      <alignment horizontal="right"/>
    </xf>
    <xf numFmtId="0" fontId="3" fillId="0" borderId="8" xfId="0" applyFont="1" applyBorder="1" applyAlignment="1">
      <alignment horizontal="center" vertical="center"/>
    </xf>
    <xf numFmtId="0" fontId="3" fillId="0" borderId="9" xfId="0" applyFont="1" applyBorder="1" applyAlignment="1">
      <alignment horizontal="center" vertical="center"/>
    </xf>
    <xf numFmtId="16" fontId="5" fillId="0" borderId="19" xfId="0" quotePrefix="1" applyNumberFormat="1" applyFont="1" applyBorder="1" applyAlignment="1">
      <alignment horizontal="center"/>
    </xf>
    <xf numFmtId="0" fontId="5" fillId="0" borderId="27" xfId="0" applyFont="1" applyBorder="1" applyAlignment="1">
      <alignment horizontal="center"/>
    </xf>
    <xf numFmtId="169" fontId="5" fillId="0" borderId="10" xfId="1" applyNumberFormat="1" applyFont="1" applyFill="1" applyBorder="1" applyAlignment="1"/>
    <xf numFmtId="169" fontId="5" fillId="0" borderId="6" xfId="0" applyNumberFormat="1" applyFont="1" applyBorder="1" applyAlignment="1">
      <alignment vertical="center" wrapText="1"/>
    </xf>
    <xf numFmtId="44" fontId="8" fillId="0" borderId="4" xfId="0" applyNumberFormat="1" applyFont="1" applyBorder="1" applyAlignment="1">
      <alignment horizontal="center"/>
    </xf>
    <xf numFmtId="169" fontId="8" fillId="0" borderId="30" xfId="0" applyNumberFormat="1" applyFont="1" applyBorder="1"/>
    <xf numFmtId="0" fontId="8" fillId="0" borderId="8" xfId="0" applyFont="1" applyBorder="1" applyAlignment="1">
      <alignment horizontal="center"/>
    </xf>
    <xf numFmtId="0" fontId="8" fillId="0" borderId="9" xfId="0" applyFont="1" applyBorder="1" applyAlignment="1">
      <alignment horizontal="center"/>
    </xf>
    <xf numFmtId="16" fontId="8" fillId="0" borderId="6" xfId="0" applyNumberFormat="1" applyFont="1" applyBorder="1" applyAlignment="1">
      <alignment horizontal="center"/>
    </xf>
    <xf numFmtId="44" fontId="5" fillId="0" borderId="6" xfId="2" applyFont="1" applyFill="1" applyBorder="1" applyAlignment="1">
      <alignment horizontal="left"/>
    </xf>
    <xf numFmtId="166" fontId="5" fillId="0" borderId="22" xfId="0" applyNumberFormat="1" applyFont="1" applyBorder="1" applyAlignment="1">
      <alignment horizontal="center"/>
    </xf>
    <xf numFmtId="16" fontId="5" fillId="0" borderId="8" xfId="0" quotePrefix="1" applyNumberFormat="1" applyFont="1" applyBorder="1" applyAlignment="1">
      <alignment horizontal="center"/>
    </xf>
    <xf numFmtId="166" fontId="5" fillId="0" borderId="19" xfId="0" applyNumberFormat="1" applyFont="1" applyBorder="1" applyAlignment="1">
      <alignment horizontal="center"/>
    </xf>
    <xf numFmtId="9" fontId="5" fillId="0" borderId="8" xfId="3" applyFont="1" applyFill="1" applyBorder="1" applyAlignment="1">
      <alignment horizontal="center"/>
    </xf>
    <xf numFmtId="8" fontId="5" fillId="0" borderId="0" xfId="2" applyNumberFormat="1" applyFont="1" applyFill="1" applyBorder="1" applyAlignment="1"/>
    <xf numFmtId="169" fontId="5" fillId="0" borderId="8" xfId="1" applyNumberFormat="1" applyFont="1" applyFill="1" applyBorder="1" applyAlignment="1">
      <alignment horizontal="center"/>
    </xf>
    <xf numFmtId="0" fontId="4" fillId="0" borderId="30" xfId="0" applyFont="1" applyBorder="1" applyAlignment="1">
      <alignment horizontal="center" wrapText="1"/>
    </xf>
    <xf numFmtId="0" fontId="16" fillId="0" borderId="6" xfId="0" applyFont="1" applyBorder="1" applyAlignment="1">
      <alignment horizontal="center" wrapText="1"/>
    </xf>
    <xf numFmtId="0" fontId="5" fillId="0" borderId="8" xfId="3" applyNumberFormat="1" applyFont="1" applyFill="1" applyBorder="1" applyAlignment="1">
      <alignment horizontal="center"/>
    </xf>
    <xf numFmtId="182" fontId="5" fillId="0" borderId="4" xfId="2" applyNumberFormat="1" applyFont="1" applyFill="1" applyBorder="1" applyAlignment="1">
      <alignment horizontal="center"/>
    </xf>
    <xf numFmtId="5" fontId="5" fillId="0" borderId="4" xfId="2" applyNumberFormat="1" applyFont="1" applyFill="1" applyBorder="1" applyAlignment="1">
      <alignment horizontal="center"/>
    </xf>
    <xf numFmtId="7" fontId="5" fillId="0" borderId="4" xfId="0" applyNumberFormat="1" applyFont="1" applyBorder="1" applyAlignment="1">
      <alignment horizontal="center"/>
    </xf>
    <xf numFmtId="44" fontId="5" fillId="0" borderId="27" xfId="0" applyNumberFormat="1" applyFont="1" applyBorder="1" applyAlignment="1">
      <alignment horizontal="center"/>
    </xf>
    <xf numFmtId="44" fontId="5" fillId="0" borderId="27" xfId="2" applyFont="1" applyFill="1" applyBorder="1" applyAlignment="1">
      <alignment horizontal="center"/>
    </xf>
    <xf numFmtId="16" fontId="5" fillId="0" borderId="4" xfId="0" quotePrefix="1" applyNumberFormat="1" applyFont="1" applyBorder="1" applyAlignment="1">
      <alignment horizontal="center"/>
    </xf>
    <xf numFmtId="0" fontId="5" fillId="0" borderId="8" xfId="0" applyFont="1" applyBorder="1" applyAlignment="1">
      <alignment horizontal="center" vertical="top" wrapText="1"/>
    </xf>
    <xf numFmtId="0" fontId="5" fillId="0" borderId="9" xfId="0" applyFont="1" applyBorder="1" applyAlignment="1">
      <alignment horizontal="center" vertical="top" wrapText="1"/>
    </xf>
    <xf numFmtId="0" fontId="5" fillId="0" borderId="30" xfId="0" applyFont="1" applyBorder="1" applyAlignment="1">
      <alignment horizontal="center" vertical="top" wrapText="1"/>
    </xf>
    <xf numFmtId="0" fontId="5" fillId="0" borderId="23" xfId="0" applyFont="1" applyBorder="1" applyAlignment="1">
      <alignment horizontal="center" vertical="top" wrapText="1"/>
    </xf>
    <xf numFmtId="3" fontId="5" fillId="0" borderId="9" xfId="0" applyNumberFormat="1" applyFont="1" applyBorder="1" applyAlignment="1">
      <alignment horizontal="center" vertical="center" wrapText="1"/>
    </xf>
    <xf numFmtId="2" fontId="5" fillId="0" borderId="19" xfId="2" applyNumberFormat="1" applyFont="1" applyFill="1" applyBorder="1" applyAlignment="1">
      <alignment horizontal="center"/>
    </xf>
    <xf numFmtId="16" fontId="5" fillId="0" borderId="38" xfId="0" quotePrefix="1" applyNumberFormat="1" applyFont="1" applyBorder="1" applyAlignment="1">
      <alignment horizontal="center"/>
    </xf>
    <xf numFmtId="44" fontId="5" fillId="0" borderId="38" xfId="2" applyFont="1" applyFill="1" applyBorder="1" applyAlignment="1">
      <alignment horizontal="center"/>
    </xf>
    <xf numFmtId="44" fontId="5" fillId="0" borderId="38" xfId="2" applyFont="1" applyFill="1" applyBorder="1"/>
    <xf numFmtId="166" fontId="5" fillId="0" borderId="38" xfId="0" applyNumberFormat="1" applyFont="1" applyBorder="1"/>
    <xf numFmtId="166" fontId="5" fillId="0" borderId="46" xfId="0" applyNumberFormat="1" applyFont="1" applyBorder="1"/>
    <xf numFmtId="44" fontId="5" fillId="0" borderId="46" xfId="0" applyNumberFormat="1" applyFont="1" applyBorder="1"/>
    <xf numFmtId="169" fontId="5" fillId="0" borderId="31" xfId="1" applyNumberFormat="1" applyFont="1" applyFill="1" applyBorder="1" applyAlignment="1"/>
    <xf numFmtId="179" fontId="5" fillId="0" borderId="6" xfId="0" applyNumberFormat="1" applyFont="1" applyBorder="1" applyAlignment="1">
      <alignment horizontal="center" wrapText="1"/>
    </xf>
    <xf numFmtId="8" fontId="5" fillId="0" borderId="8" xfId="0" applyNumberFormat="1" applyFont="1" applyBorder="1" applyAlignment="1">
      <alignment wrapText="1"/>
    </xf>
    <xf numFmtId="8" fontId="5" fillId="0" borderId="6" xfId="2" applyNumberFormat="1" applyFont="1" applyFill="1" applyBorder="1" applyAlignment="1">
      <alignment horizontal="right" wrapText="1"/>
    </xf>
    <xf numFmtId="8" fontId="5" fillId="0" borderId="6" xfId="2" applyNumberFormat="1" applyFont="1" applyFill="1" applyBorder="1" applyAlignment="1">
      <alignment horizontal="center"/>
    </xf>
    <xf numFmtId="44" fontId="5" fillId="0" borderId="10" xfId="2" applyFont="1" applyFill="1" applyBorder="1" applyAlignment="1">
      <alignment horizontal="left"/>
    </xf>
    <xf numFmtId="44" fontId="5" fillId="0" borderId="0" xfId="0" applyNumberFormat="1" applyFont="1" applyAlignment="1">
      <alignment horizontal="center"/>
    </xf>
    <xf numFmtId="179" fontId="5" fillId="0" borderId="8" xfId="0" applyNumberFormat="1" applyFont="1" applyBorder="1" applyAlignment="1">
      <alignment horizontal="center"/>
    </xf>
    <xf numFmtId="17" fontId="5" fillId="0" borderId="8" xfId="0" quotePrefix="1" applyNumberFormat="1" applyFont="1" applyBorder="1" applyAlignment="1">
      <alignment horizontal="center"/>
    </xf>
    <xf numFmtId="17" fontId="5" fillId="0" borderId="11" xfId="0" quotePrefix="1" applyNumberFormat="1" applyFont="1" applyBorder="1" applyAlignment="1">
      <alignment horizontal="center"/>
    </xf>
    <xf numFmtId="0" fontId="5" fillId="0" borderId="46" xfId="0" applyFont="1" applyBorder="1" applyAlignment="1">
      <alignment horizontal="left"/>
    </xf>
    <xf numFmtId="2" fontId="5" fillId="0" borderId="38" xfId="0" applyNumberFormat="1" applyFont="1" applyBorder="1" applyAlignment="1">
      <alignment horizontal="center"/>
    </xf>
    <xf numFmtId="44" fontId="5" fillId="0" borderId="38" xfId="0" applyNumberFormat="1" applyFont="1" applyBorder="1" applyAlignment="1">
      <alignment horizontal="center"/>
    </xf>
    <xf numFmtId="0" fontId="5" fillId="0" borderId="41" xfId="0" applyFont="1" applyBorder="1" applyAlignment="1">
      <alignment horizontal="left"/>
    </xf>
    <xf numFmtId="169" fontId="5" fillId="0" borderId="31" xfId="1" applyNumberFormat="1" applyFont="1" applyFill="1" applyBorder="1" applyAlignment="1">
      <alignment horizontal="center" vertical="center"/>
    </xf>
    <xf numFmtId="169" fontId="5" fillId="0" borderId="6" xfId="1" applyNumberFormat="1" applyFont="1" applyFill="1" applyBorder="1" applyAlignment="1">
      <alignment horizontal="left"/>
    </xf>
    <xf numFmtId="169" fontId="5" fillId="0" borderId="10" xfId="1" applyNumberFormat="1" applyFont="1" applyFill="1" applyBorder="1" applyAlignment="1">
      <alignment horizontal="center" vertical="top"/>
    </xf>
    <xf numFmtId="177" fontId="0" fillId="0" borderId="4" xfId="1" applyNumberFormat="1" applyFont="1" applyFill="1" applyBorder="1" applyAlignment="1">
      <alignment vertical="center"/>
    </xf>
    <xf numFmtId="44" fontId="0" fillId="0" borderId="6" xfId="2" applyFont="1" applyFill="1" applyBorder="1"/>
    <xf numFmtId="0" fontId="0" fillId="0" borderId="6" xfId="0" applyBorder="1"/>
    <xf numFmtId="44" fontId="0" fillId="0" borderId="6" xfId="0" applyNumberFormat="1" applyBorder="1"/>
    <xf numFmtId="44" fontId="0" fillId="0" borderId="0" xfId="0" applyNumberFormat="1"/>
    <xf numFmtId="4" fontId="5" fillId="0" borderId="6" xfId="0" applyNumberFormat="1" applyFont="1" applyBorder="1" applyAlignment="1">
      <alignment wrapText="1"/>
    </xf>
    <xf numFmtId="164" fontId="5" fillId="0" borderId="6" xfId="0" applyNumberFormat="1" applyFont="1" applyBorder="1" applyAlignment="1">
      <alignment wrapText="1"/>
    </xf>
    <xf numFmtId="164" fontId="5" fillId="0" borderId="6" xfId="0" applyNumberFormat="1" applyFont="1" applyBorder="1"/>
    <xf numFmtId="164" fontId="4" fillId="0" borderId="6" xfId="0" applyNumberFormat="1" applyFont="1" applyBorder="1" applyAlignment="1">
      <alignment horizontal="right"/>
    </xf>
    <xf numFmtId="44" fontId="4" fillId="0" borderId="6" xfId="2" applyFont="1" applyFill="1" applyBorder="1"/>
    <xf numFmtId="0" fontId="5" fillId="0" borderId="21" xfId="0" applyFont="1" applyBorder="1" applyAlignment="1">
      <alignment vertical="top" wrapText="1"/>
    </xf>
    <xf numFmtId="0" fontId="5" fillId="0" borderId="37" xfId="0" applyFont="1" applyBorder="1" applyAlignment="1">
      <alignment vertical="top" wrapText="1"/>
    </xf>
    <xf numFmtId="169" fontId="5" fillId="0" borderId="10" xfId="0" applyNumberFormat="1" applyFont="1" applyBorder="1" applyAlignment="1">
      <alignment horizontal="center" wrapText="1"/>
    </xf>
    <xf numFmtId="37" fontId="5" fillId="0" borderId="10" xfId="1" applyNumberFormat="1" applyFont="1" applyFill="1" applyBorder="1" applyAlignment="1">
      <alignment vertical="center"/>
    </xf>
    <xf numFmtId="2" fontId="5" fillId="0" borderId="19" xfId="0" applyNumberFormat="1" applyFont="1" applyBorder="1" applyAlignment="1">
      <alignment horizontal="center"/>
    </xf>
    <xf numFmtId="164" fontId="5" fillId="0" borderId="0" xfId="0" applyNumberFormat="1" applyFont="1" applyAlignment="1">
      <alignment horizontal="right" vertical="center"/>
    </xf>
    <xf numFmtId="0" fontId="5" fillId="0" borderId="0" xfId="0" applyFont="1" applyAlignment="1">
      <alignment horizontal="right" vertical="center"/>
    </xf>
    <xf numFmtId="2" fontId="5" fillId="0" borderId="38" xfId="2" applyNumberFormat="1" applyFont="1" applyFill="1" applyBorder="1" applyAlignment="1">
      <alignment horizontal="center"/>
    </xf>
    <xf numFmtId="17" fontId="5" fillId="0" borderId="38" xfId="0" quotePrefix="1" applyNumberFormat="1" applyFont="1" applyBorder="1" applyAlignment="1">
      <alignment horizontal="center"/>
    </xf>
    <xf numFmtId="3" fontId="5" fillId="0" borderId="4" xfId="0" applyNumberFormat="1" applyFont="1" applyBorder="1" applyAlignment="1">
      <alignment horizontal="center"/>
    </xf>
    <xf numFmtId="183" fontId="5" fillId="0" borderId="30" xfId="0" applyNumberFormat="1" applyFont="1" applyBorder="1" applyAlignment="1">
      <alignment horizontal="center"/>
    </xf>
    <xf numFmtId="173" fontId="5" fillId="0" borderId="4" xfId="0" applyNumberFormat="1" applyFont="1" applyBorder="1" applyAlignment="1">
      <alignment horizontal="right"/>
    </xf>
    <xf numFmtId="166" fontId="5" fillId="0" borderId="30" xfId="0" applyNumberFormat="1" applyFont="1" applyBorder="1" applyAlignment="1">
      <alignment horizontal="center"/>
    </xf>
    <xf numFmtId="184" fontId="5" fillId="0" borderId="4" xfId="0" applyNumberFormat="1" applyFont="1" applyBorder="1" applyAlignment="1">
      <alignment horizontal="center"/>
    </xf>
    <xf numFmtId="43" fontId="5" fillId="0" borderId="10" xfId="1" applyFont="1" applyFill="1" applyBorder="1" applyAlignment="1"/>
    <xf numFmtId="185" fontId="5" fillId="0" borderId="4" xfId="0" applyNumberFormat="1" applyFont="1" applyBorder="1" applyAlignment="1">
      <alignment horizontal="center"/>
    </xf>
    <xf numFmtId="184" fontId="5" fillId="0" borderId="6" xfId="0" applyNumberFormat="1" applyFont="1" applyBorder="1" applyAlignment="1">
      <alignment horizontal="center"/>
    </xf>
    <xf numFmtId="186" fontId="5" fillId="0" borderId="19" xfId="2" applyNumberFormat="1" applyFont="1" applyFill="1" applyBorder="1"/>
    <xf numFmtId="8" fontId="5" fillId="0" borderId="10" xfId="2" applyNumberFormat="1" applyFont="1" applyFill="1" applyBorder="1" applyAlignment="1"/>
    <xf numFmtId="184" fontId="5" fillId="0" borderId="6" xfId="2" applyNumberFormat="1" applyFont="1" applyFill="1" applyBorder="1"/>
    <xf numFmtId="186" fontId="5" fillId="0" borderId="46" xfId="0" applyNumberFormat="1" applyFont="1" applyBorder="1"/>
    <xf numFmtId="179" fontId="5" fillId="0" borderId="30" xfId="0" applyNumberFormat="1" applyFont="1" applyBorder="1" applyAlignment="1">
      <alignment horizontal="center"/>
    </xf>
    <xf numFmtId="179" fontId="5" fillId="0" borderId="21" xfId="0" applyNumberFormat="1" applyFont="1" applyBorder="1" applyAlignment="1">
      <alignment horizontal="center"/>
    </xf>
    <xf numFmtId="179" fontId="13" fillId="0" borderId="0" xfId="0" applyNumberFormat="1" applyFont="1" applyAlignment="1">
      <alignment horizontal="center"/>
    </xf>
    <xf numFmtId="37" fontId="5" fillId="0" borderId="30" xfId="0" applyNumberFormat="1" applyFont="1" applyBorder="1" applyAlignment="1">
      <alignment horizontal="center"/>
    </xf>
    <xf numFmtId="169" fontId="5" fillId="0" borderId="30" xfId="1" applyNumberFormat="1" applyFont="1" applyFill="1" applyBorder="1" applyAlignment="1">
      <alignment horizontal="center"/>
    </xf>
    <xf numFmtId="43" fontId="5" fillId="0" borderId="30" xfId="1" applyFont="1" applyFill="1" applyBorder="1" applyAlignment="1">
      <alignment horizontal="center"/>
    </xf>
    <xf numFmtId="8" fontId="5" fillId="0" borderId="4" xfId="2" applyNumberFormat="1" applyFont="1" applyFill="1" applyBorder="1" applyAlignment="1">
      <alignment horizontal="center"/>
    </xf>
    <xf numFmtId="169" fontId="5" fillId="0" borderId="30" xfId="1" applyNumberFormat="1" applyFont="1" applyFill="1" applyBorder="1" applyAlignment="1"/>
    <xf numFmtId="0" fontId="5" fillId="0" borderId="38" xfId="0" applyFont="1" applyBorder="1" applyAlignment="1">
      <alignment wrapText="1"/>
    </xf>
    <xf numFmtId="177" fontId="5" fillId="0" borderId="10" xfId="1" applyNumberFormat="1" applyFont="1" applyFill="1" applyBorder="1" applyAlignment="1">
      <alignment horizontal="right" vertical="center"/>
    </xf>
    <xf numFmtId="44" fontId="5" fillId="0" borderId="4" xfId="0" applyNumberFormat="1" applyFont="1" applyBorder="1" applyAlignment="1">
      <alignment horizontal="right"/>
    </xf>
    <xf numFmtId="168" fontId="5" fillId="0" borderId="30" xfId="0" applyNumberFormat="1" applyFont="1" applyBorder="1" applyAlignment="1">
      <alignment horizontal="center"/>
    </xf>
    <xf numFmtId="2" fontId="5" fillId="0" borderId="6" xfId="0" applyNumberFormat="1" applyFont="1" applyBorder="1" applyAlignment="1">
      <alignment vertical="center"/>
    </xf>
    <xf numFmtId="44" fontId="5" fillId="0" borderId="38" xfId="0" applyNumberFormat="1" applyFont="1" applyBorder="1" applyAlignment="1">
      <alignment vertical="center" wrapText="1"/>
    </xf>
    <xf numFmtId="0" fontId="5" fillId="0" borderId="38" xfId="0" applyFont="1" applyBorder="1" applyAlignment="1">
      <alignment vertical="center" wrapText="1"/>
    </xf>
    <xf numFmtId="2" fontId="5" fillId="0" borderId="9" xfId="0" applyNumberFormat="1" applyFont="1" applyBorder="1" applyAlignment="1">
      <alignment vertical="center"/>
    </xf>
    <xf numFmtId="169" fontId="5" fillId="0" borderId="8" xfId="1" applyNumberFormat="1" applyFont="1" applyFill="1" applyBorder="1" applyAlignment="1"/>
    <xf numFmtId="169" fontId="5" fillId="0" borderId="21" xfId="1" applyNumberFormat="1" applyFont="1" applyFill="1" applyBorder="1" applyAlignment="1"/>
    <xf numFmtId="0" fontId="5" fillId="0" borderId="37" xfId="0" applyFont="1" applyBorder="1" applyAlignment="1">
      <alignment horizontal="center" wrapText="1"/>
    </xf>
    <xf numFmtId="0" fontId="4" fillId="0" borderId="60" xfId="0" applyFont="1" applyBorder="1" applyAlignment="1">
      <alignment horizontal="center" vertical="center"/>
    </xf>
    <xf numFmtId="0" fontId="4" fillId="0" borderId="37" xfId="0" applyFont="1" applyBorder="1" applyAlignment="1">
      <alignment horizontal="center" vertical="center"/>
    </xf>
    <xf numFmtId="0" fontId="5" fillId="0" borderId="21"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8" xfId="0" applyFont="1" applyBorder="1" applyAlignment="1">
      <alignment horizontal="center" vertical="center"/>
    </xf>
    <xf numFmtId="44" fontId="5" fillId="0" borderId="19" xfId="2" applyFont="1" applyFill="1" applyBorder="1" applyAlignment="1">
      <alignment vertical="center"/>
    </xf>
    <xf numFmtId="169" fontId="5" fillId="0" borderId="19" xfId="1" applyNumberFormat="1" applyFont="1" applyFill="1" applyBorder="1" applyAlignment="1">
      <alignment vertical="center"/>
    </xf>
    <xf numFmtId="164" fontId="5" fillId="0" borderId="19" xfId="0" applyNumberFormat="1" applyFont="1" applyBorder="1" applyAlignment="1">
      <alignment horizontal="center" vertical="center" wrapText="1"/>
    </xf>
    <xf numFmtId="0" fontId="5" fillId="0" borderId="51" xfId="0" applyFont="1" applyBorder="1" applyAlignment="1">
      <alignment vertical="center"/>
    </xf>
    <xf numFmtId="3" fontId="8" fillId="0" borderId="8" xfId="0" applyNumberFormat="1" applyFont="1" applyBorder="1"/>
    <xf numFmtId="3" fontId="8" fillId="0" borderId="30" xfId="0" applyNumberFormat="1" applyFont="1" applyBorder="1"/>
    <xf numFmtId="43" fontId="5" fillId="0" borderId="30" xfId="1" applyFont="1" applyFill="1" applyBorder="1" applyAlignment="1"/>
    <xf numFmtId="174" fontId="5" fillId="0" borderId="6" xfId="1" applyNumberFormat="1" applyFont="1" applyFill="1" applyBorder="1" applyAlignment="1">
      <alignment horizontal="center"/>
    </xf>
    <xf numFmtId="43" fontId="5" fillId="0" borderId="10" xfId="1" applyFont="1" applyFill="1" applyBorder="1" applyAlignment="1">
      <alignment horizontal="center"/>
    </xf>
    <xf numFmtId="8" fontId="5" fillId="0" borderId="19" xfId="2" applyNumberFormat="1" applyFont="1" applyFill="1" applyBorder="1" applyAlignment="1"/>
    <xf numFmtId="44" fontId="5" fillId="0" borderId="4" xfId="2" applyFont="1" applyFill="1" applyBorder="1" applyAlignment="1">
      <alignment horizontal="center" vertical="center"/>
    </xf>
    <xf numFmtId="0" fontId="5" fillId="0" borderId="23" xfId="0" applyFont="1" applyBorder="1" applyAlignment="1">
      <alignment horizontal="center" vertical="center"/>
    </xf>
    <xf numFmtId="2" fontId="5" fillId="0" borderId="9" xfId="2" applyNumberFormat="1" applyFont="1" applyFill="1" applyBorder="1" applyAlignment="1">
      <alignment horizontal="center" vertical="center"/>
    </xf>
    <xf numFmtId="44" fontId="5" fillId="0" borderId="9" xfId="2" applyFont="1" applyFill="1" applyBorder="1"/>
    <xf numFmtId="44" fontId="5" fillId="0" borderId="0" xfId="2" applyFont="1" applyFill="1" applyBorder="1" applyAlignment="1">
      <alignment horizontal="center" wrapText="1"/>
    </xf>
    <xf numFmtId="44" fontId="5" fillId="0" borderId="0" xfId="2" applyFont="1" applyFill="1" applyBorder="1" applyAlignment="1">
      <alignment horizontal="left" wrapText="1"/>
    </xf>
    <xf numFmtId="37" fontId="5" fillId="0" borderId="10" xfId="1" applyNumberFormat="1" applyFont="1" applyFill="1" applyBorder="1" applyAlignment="1">
      <alignment horizontal="center" vertical="center"/>
    </xf>
    <xf numFmtId="169" fontId="5" fillId="0" borderId="31" xfId="1" applyNumberFormat="1" applyFont="1" applyFill="1" applyBorder="1" applyAlignment="1">
      <alignment horizontal="right" vertical="center"/>
    </xf>
    <xf numFmtId="0" fontId="4" fillId="0" borderId="73" xfId="0" applyFont="1" applyBorder="1" applyAlignment="1">
      <alignment horizontal="center" vertical="center"/>
    </xf>
    <xf numFmtId="8" fontId="8" fillId="0" borderId="6" xfId="0" applyNumberFormat="1" applyFont="1" applyBorder="1" applyAlignment="1">
      <alignment wrapText="1"/>
    </xf>
    <xf numFmtId="2" fontId="5" fillId="0" borderId="6" xfId="0" applyNumberFormat="1" applyFont="1" applyBorder="1" applyAlignment="1">
      <alignment vertical="center" wrapText="1"/>
    </xf>
    <xf numFmtId="164" fontId="5" fillId="0" borderId="6" xfId="2" applyNumberFormat="1" applyFont="1" applyFill="1" applyBorder="1" applyAlignment="1">
      <alignment vertical="center" wrapText="1"/>
    </xf>
    <xf numFmtId="44" fontId="4" fillId="0" borderId="0" xfId="2" applyFont="1" applyFill="1" applyBorder="1" applyAlignment="1">
      <alignment horizontal="center" vertical="center"/>
    </xf>
    <xf numFmtId="8" fontId="5" fillId="0" borderId="6" xfId="2" applyNumberFormat="1" applyFont="1" applyFill="1" applyBorder="1" applyAlignment="1">
      <alignment vertical="center" wrapText="1"/>
    </xf>
    <xf numFmtId="0" fontId="5" fillId="0" borderId="6" xfId="0" quotePrefix="1" applyFont="1" applyBorder="1" applyAlignment="1">
      <alignment horizontal="left"/>
    </xf>
    <xf numFmtId="8" fontId="5" fillId="0" borderId="0" xfId="2" applyNumberFormat="1" applyFont="1" applyFill="1"/>
    <xf numFmtId="0" fontId="5" fillId="0" borderId="30" xfId="1" applyNumberFormat="1" applyFont="1" applyFill="1" applyBorder="1" applyAlignment="1">
      <alignment horizontal="center"/>
    </xf>
    <xf numFmtId="187" fontId="5" fillId="0" borderId="10" xfId="1" applyNumberFormat="1" applyFont="1" applyFill="1" applyBorder="1" applyAlignment="1">
      <alignment horizontal="center" vertical="center"/>
    </xf>
    <xf numFmtId="37" fontId="5" fillId="0" borderId="10" xfId="1" applyNumberFormat="1" applyFont="1" applyFill="1" applyBorder="1" applyAlignment="1">
      <alignment horizontal="right" vertical="center"/>
    </xf>
    <xf numFmtId="174" fontId="5" fillId="0" borderId="30" xfId="0" applyNumberFormat="1" applyFont="1" applyBorder="1" applyAlignment="1">
      <alignment horizontal="center"/>
    </xf>
    <xf numFmtId="0" fontId="4" fillId="0" borderId="9" xfId="0" applyFont="1" applyBorder="1" applyAlignment="1">
      <alignment wrapText="1"/>
    </xf>
    <xf numFmtId="43" fontId="5" fillId="0" borderId="30" xfId="0" applyNumberFormat="1" applyFont="1" applyBorder="1" applyAlignment="1">
      <alignment horizontal="center"/>
    </xf>
    <xf numFmtId="44" fontId="5" fillId="0" borderId="72" xfId="0" applyNumberFormat="1" applyFont="1" applyBorder="1"/>
    <xf numFmtId="44" fontId="4" fillId="0" borderId="4" xfId="2" applyFont="1" applyFill="1" applyBorder="1" applyAlignment="1">
      <alignment horizontal="center"/>
    </xf>
    <xf numFmtId="44" fontId="5" fillId="0" borderId="0" xfId="2" applyFont="1" applyFill="1" applyBorder="1" applyAlignment="1">
      <alignment vertical="top" wrapText="1"/>
    </xf>
    <xf numFmtId="44" fontId="5" fillId="0" borderId="19" xfId="0" applyNumberFormat="1" applyFont="1" applyBorder="1" applyAlignment="1">
      <alignment wrapText="1"/>
    </xf>
    <xf numFmtId="0" fontId="4" fillId="0" borderId="21" xfId="0" applyFont="1" applyBorder="1" applyAlignment="1">
      <alignment horizontal="center" vertical="center"/>
    </xf>
    <xf numFmtId="0" fontId="5" fillId="0" borderId="21" xfId="0" applyFont="1" applyBorder="1" applyAlignment="1">
      <alignment horizontal="center" vertical="center"/>
    </xf>
    <xf numFmtId="0" fontId="5" fillId="0" borderId="73" xfId="0" applyFont="1" applyBorder="1" applyAlignment="1">
      <alignment horizontal="center" vertical="center" wrapText="1"/>
    </xf>
    <xf numFmtId="169" fontId="5" fillId="0" borderId="73" xfId="1" applyNumberFormat="1" applyFont="1" applyFill="1" applyBorder="1" applyAlignment="1">
      <alignment vertical="center"/>
    </xf>
    <xf numFmtId="0" fontId="5" fillId="0" borderId="73" xfId="0" applyFont="1" applyBorder="1" applyAlignment="1">
      <alignment vertical="center"/>
    </xf>
    <xf numFmtId="2" fontId="5" fillId="0" borderId="8" xfId="0" applyNumberFormat="1" applyFont="1" applyBorder="1" applyAlignment="1">
      <alignment horizontal="center" wrapText="1"/>
    </xf>
    <xf numFmtId="16" fontId="8" fillId="0" borderId="19" xfId="0" quotePrefix="1" applyNumberFormat="1" applyFont="1" applyBorder="1" applyAlignment="1">
      <alignment horizontal="center"/>
    </xf>
    <xf numFmtId="44" fontId="8" fillId="0" borderId="19" xfId="0" applyNumberFormat="1" applyFont="1" applyBorder="1" applyAlignment="1">
      <alignment horizontal="center"/>
    </xf>
    <xf numFmtId="0" fontId="8" fillId="0" borderId="4" xfId="0" applyFont="1" applyBorder="1"/>
    <xf numFmtId="1" fontId="5" fillId="0" borderId="6" xfId="2" applyNumberFormat="1" applyFont="1" applyFill="1" applyBorder="1" applyAlignment="1">
      <alignment horizontal="center" vertical="center"/>
    </xf>
    <xf numFmtId="0" fontId="5" fillId="0" borderId="13" xfId="0" applyFont="1" applyBorder="1" applyAlignment="1">
      <alignment vertical="center" wrapText="1"/>
    </xf>
    <xf numFmtId="169" fontId="5" fillId="0" borderId="13" xfId="1" applyNumberFormat="1" applyFont="1" applyFill="1" applyBorder="1" applyAlignment="1">
      <alignment vertical="center"/>
    </xf>
    <xf numFmtId="0" fontId="5" fillId="0" borderId="16" xfId="0" applyFont="1" applyBorder="1"/>
    <xf numFmtId="8" fontId="5" fillId="0" borderId="17" xfId="2" applyNumberFormat="1" applyFont="1" applyFill="1" applyBorder="1" applyAlignment="1"/>
    <xf numFmtId="169" fontId="4" fillId="0" borderId="19" xfId="0" applyNumberFormat="1" applyFont="1" applyBorder="1"/>
    <xf numFmtId="44" fontId="5" fillId="0" borderId="9" xfId="0" applyNumberFormat="1" applyFont="1" applyBorder="1" applyAlignment="1">
      <alignment horizontal="left"/>
    </xf>
    <xf numFmtId="0" fontId="5" fillId="0" borderId="8" xfId="2" applyNumberFormat="1" applyFont="1" applyFill="1" applyBorder="1" applyAlignment="1">
      <alignment horizontal="center"/>
    </xf>
    <xf numFmtId="8" fontId="5" fillId="0" borderId="6" xfId="2" applyNumberFormat="1" applyFont="1" applyFill="1" applyBorder="1" applyAlignment="1">
      <alignment horizontal="center" vertical="center"/>
    </xf>
    <xf numFmtId="185" fontId="5" fillId="0" borderId="6" xfId="0" applyNumberFormat="1" applyFont="1" applyBorder="1"/>
    <xf numFmtId="0" fontId="2" fillId="0" borderId="0" xfId="0" applyFont="1" applyAlignment="1">
      <alignment horizontal="left" vertical="top" wrapText="1"/>
    </xf>
    <xf numFmtId="0" fontId="4" fillId="2" borderId="6" xfId="0" applyFont="1" applyFill="1" applyBorder="1" applyAlignment="1">
      <alignment horizontal="center" wrapText="1"/>
    </xf>
    <xf numFmtId="0" fontId="4" fillId="2" borderId="19" xfId="0" applyFont="1" applyFill="1" applyBorder="1" applyAlignment="1">
      <alignment horizontal="center" wrapText="1"/>
    </xf>
    <xf numFmtId="0" fontId="4" fillId="0" borderId="7" xfId="0" applyFont="1" applyBorder="1" applyAlignment="1">
      <alignment horizontal="center" wrapText="1"/>
    </xf>
    <xf numFmtId="0" fontId="18" fillId="0" borderId="0" xfId="0" applyFont="1" applyAlignment="1">
      <alignment horizontal="center" wrapText="1"/>
    </xf>
    <xf numFmtId="44" fontId="5" fillId="0" borderId="0" xfId="2" applyFont="1" applyBorder="1"/>
    <xf numFmtId="0" fontId="5" fillId="0" borderId="15" xfId="0" applyFont="1" applyBorder="1" applyAlignment="1">
      <alignment horizontal="center" wrapText="1"/>
    </xf>
    <xf numFmtId="15" fontId="5" fillId="0" borderId="6" xfId="0" applyNumberFormat="1" applyFont="1" applyBorder="1" applyAlignment="1">
      <alignment horizontal="center" wrapText="1"/>
    </xf>
    <xf numFmtId="0" fontId="5" fillId="3" borderId="19" xfId="0" applyFont="1" applyFill="1" applyBorder="1" applyAlignment="1">
      <alignment horizontal="center" wrapText="1"/>
    </xf>
    <xf numFmtId="166" fontId="5" fillId="0" borderId="65" xfId="0" applyNumberFormat="1" applyFont="1" applyBorder="1" applyAlignment="1">
      <alignment horizontal="center"/>
    </xf>
    <xf numFmtId="166" fontId="19" fillId="0" borderId="0" xfId="0" applyNumberFormat="1" applyFont="1" applyAlignment="1">
      <alignment horizontal="center" vertical="center" wrapText="1"/>
    </xf>
    <xf numFmtId="0" fontId="5" fillId="3" borderId="27" xfId="0" applyFont="1" applyFill="1" applyBorder="1" applyAlignment="1">
      <alignment horizontal="center" wrapText="1"/>
    </xf>
    <xf numFmtId="0" fontId="5" fillId="0" borderId="15" xfId="0" applyFont="1" applyBorder="1" applyAlignment="1">
      <alignment horizontal="left" wrapText="1"/>
    </xf>
    <xf numFmtId="0" fontId="5" fillId="3" borderId="27" xfId="0" applyFont="1" applyFill="1" applyBorder="1" applyAlignment="1">
      <alignment horizontal="center"/>
    </xf>
    <xf numFmtId="166" fontId="19" fillId="0" borderId="0" xfId="0" applyNumberFormat="1" applyFont="1" applyAlignment="1">
      <alignment horizontal="center" vertical="center"/>
    </xf>
    <xf numFmtId="166" fontId="5" fillId="0" borderId="0" xfId="0" applyNumberFormat="1" applyFont="1"/>
    <xf numFmtId="166" fontId="19" fillId="0" borderId="0" xfId="0" applyNumberFormat="1" applyFont="1"/>
    <xf numFmtId="0" fontId="5" fillId="3" borderId="27" xfId="0" applyFont="1" applyFill="1" applyBorder="1"/>
    <xf numFmtId="179" fontId="5" fillId="3" borderId="27" xfId="0" applyNumberFormat="1" applyFont="1" applyFill="1" applyBorder="1" applyAlignment="1">
      <alignment horizontal="center"/>
    </xf>
    <xf numFmtId="15" fontId="5" fillId="0" borderId="6" xfId="0" applyNumberFormat="1" applyFont="1" applyBorder="1" applyAlignment="1">
      <alignment horizontal="center"/>
    </xf>
    <xf numFmtId="2" fontId="5" fillId="0" borderId="11" xfId="0" applyNumberFormat="1" applyFont="1" applyBorder="1" applyAlignment="1">
      <alignment horizontal="center"/>
    </xf>
    <xf numFmtId="0" fontId="5" fillId="0" borderId="15" xfId="0" applyFont="1" applyBorder="1" applyAlignment="1">
      <alignment horizontal="left"/>
    </xf>
    <xf numFmtId="0" fontId="5" fillId="0" borderId="78" xfId="0" applyFont="1" applyBorder="1" applyAlignment="1">
      <alignment horizontal="left"/>
    </xf>
    <xf numFmtId="15" fontId="5" fillId="0" borderId="19" xfId="0" applyNumberFormat="1" applyFont="1" applyBorder="1" applyAlignment="1">
      <alignment horizontal="center"/>
    </xf>
    <xf numFmtId="179" fontId="5" fillId="3" borderId="4" xfId="0" applyNumberFormat="1" applyFont="1" applyFill="1" applyBorder="1" applyAlignment="1">
      <alignment horizontal="center"/>
    </xf>
    <xf numFmtId="179" fontId="5" fillId="0" borderId="23" xfId="0" applyNumberFormat="1" applyFont="1" applyBorder="1" applyAlignment="1">
      <alignment horizontal="center"/>
    </xf>
    <xf numFmtId="166" fontId="5" fillId="0" borderId="7" xfId="0" applyNumberFormat="1" applyFont="1" applyBorder="1" applyAlignment="1">
      <alignment horizontal="center"/>
    </xf>
    <xf numFmtId="179" fontId="5" fillId="0" borderId="22" xfId="0" applyNumberFormat="1" applyFont="1" applyBorder="1" applyAlignment="1">
      <alignment horizontal="center"/>
    </xf>
    <xf numFmtId="0" fontId="5" fillId="0" borderId="60" xfId="0" applyFont="1" applyBorder="1" applyAlignment="1">
      <alignment horizontal="left"/>
    </xf>
    <xf numFmtId="0" fontId="5" fillId="4" borderId="62" xfId="0" applyFont="1" applyFill="1" applyBorder="1" applyAlignment="1">
      <alignment horizontal="left"/>
    </xf>
    <xf numFmtId="0" fontId="5" fillId="4" borderId="25" xfId="0" applyFont="1" applyFill="1" applyBorder="1"/>
    <xf numFmtId="0" fontId="5" fillId="4" borderId="25" xfId="0" applyFont="1" applyFill="1" applyBorder="1" applyAlignment="1">
      <alignment horizontal="center"/>
    </xf>
    <xf numFmtId="179" fontId="5" fillId="4" borderId="25" xfId="0" applyNumberFormat="1" applyFont="1" applyFill="1" applyBorder="1" applyAlignment="1">
      <alignment horizontal="center"/>
    </xf>
    <xf numFmtId="166" fontId="4" fillId="4" borderId="63" xfId="0" applyNumberFormat="1" applyFont="1" applyFill="1" applyBorder="1" applyAlignment="1">
      <alignment horizontal="center"/>
    </xf>
    <xf numFmtId="0" fontId="20" fillId="0" borderId="0" xfId="4" applyAlignment="1">
      <alignment vertical="center" wrapText="1"/>
    </xf>
    <xf numFmtId="0" fontId="21" fillId="3" borderId="79" xfId="0" applyFont="1" applyFill="1" applyBorder="1" applyAlignment="1">
      <alignment horizontal="center"/>
    </xf>
    <xf numFmtId="0" fontId="5" fillId="0" borderId="60" xfId="0" applyFont="1" applyBorder="1"/>
    <xf numFmtId="0" fontId="4" fillId="0" borderId="80" xfId="0" applyFont="1" applyBorder="1" applyAlignment="1">
      <alignment horizontal="center" wrapText="1"/>
    </xf>
    <xf numFmtId="0" fontId="4" fillId="3" borderId="79" xfId="0" applyFont="1" applyFill="1" applyBorder="1" applyAlignment="1">
      <alignment horizontal="center" wrapText="1"/>
    </xf>
    <xf numFmtId="0" fontId="6" fillId="0" borderId="60" xfId="5" applyFont="1" applyBorder="1"/>
    <xf numFmtId="0" fontId="6" fillId="0" borderId="0" xfId="5" applyFont="1"/>
    <xf numFmtId="49" fontId="4" fillId="0" borderId="81" xfId="6" applyNumberFormat="1" applyFont="1" applyBorder="1" applyAlignment="1">
      <alignment horizontal="center" vertical="center" wrapText="1"/>
    </xf>
    <xf numFmtId="49" fontId="4" fillId="0" borderId="82" xfId="6" applyNumberFormat="1" applyFont="1" applyBorder="1" applyAlignment="1">
      <alignment horizontal="center" vertical="center" wrapText="1"/>
    </xf>
    <xf numFmtId="49" fontId="4" fillId="0" borderId="26" xfId="6"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Border="1" applyAlignment="1">
      <alignment horizontal="center" vertical="center"/>
    </xf>
    <xf numFmtId="0" fontId="4" fillId="0" borderId="17" xfId="0" applyFont="1" applyBorder="1" applyAlignment="1">
      <alignment horizontal="center" vertical="center" wrapText="1"/>
    </xf>
    <xf numFmtId="179" fontId="4" fillId="0" borderId="17" xfId="0" applyNumberFormat="1" applyFont="1" applyBorder="1" applyAlignment="1">
      <alignment horizontal="center" vertical="center" wrapText="1"/>
    </xf>
    <xf numFmtId="0" fontId="4" fillId="0" borderId="83" xfId="0" applyFont="1" applyBorder="1" applyAlignment="1">
      <alignment horizontal="center" vertical="center" wrapText="1"/>
    </xf>
    <xf numFmtId="0" fontId="4" fillId="3" borderId="84" xfId="0" applyFont="1" applyFill="1" applyBorder="1" applyAlignment="1">
      <alignment horizontal="center" vertical="center" wrapText="1"/>
    </xf>
    <xf numFmtId="0" fontId="5" fillId="0" borderId="60" xfId="5" applyFont="1" applyBorder="1" applyAlignment="1">
      <alignment horizontal="center" vertical="top" wrapText="1"/>
    </xf>
    <xf numFmtId="0" fontId="5" fillId="0" borderId="0" xfId="5" applyFont="1" applyAlignment="1">
      <alignment horizontal="center" vertical="top" wrapText="1"/>
    </xf>
    <xf numFmtId="0" fontId="5" fillId="0" borderId="6" xfId="0" applyFont="1" applyBorder="1" applyAlignment="1">
      <alignment horizontal="left" indent="1"/>
    </xf>
    <xf numFmtId="0" fontId="5" fillId="0" borderId="23" xfId="5" applyFont="1" applyBorder="1" applyAlignment="1">
      <alignment horizontal="center"/>
    </xf>
    <xf numFmtId="0" fontId="5" fillId="0" borderId="4" xfId="5" applyFont="1" applyBorder="1" applyAlignment="1">
      <alignment horizontal="center"/>
    </xf>
    <xf numFmtId="0" fontId="5" fillId="0" borderId="14" xfId="5" applyFont="1" applyBorder="1" applyAlignment="1">
      <alignment horizontal="center"/>
    </xf>
    <xf numFmtId="0" fontId="5" fillId="0" borderId="5" xfId="5" applyFont="1" applyBorder="1" applyAlignment="1">
      <alignment horizontal="center"/>
    </xf>
    <xf numFmtId="0" fontId="5" fillId="0" borderId="79" xfId="5" applyFont="1" applyBorder="1" applyAlignment="1">
      <alignment horizontal="center"/>
    </xf>
    <xf numFmtId="166" fontId="5" fillId="3" borderId="79" xfId="5" applyNumberFormat="1" applyFont="1" applyFill="1" applyBorder="1" applyAlignment="1">
      <alignment horizontal="center"/>
    </xf>
    <xf numFmtId="0" fontId="5" fillId="0" borderId="9" xfId="5" applyFont="1" applyBorder="1" applyAlignment="1">
      <alignment horizontal="center"/>
    </xf>
    <xf numFmtId="0" fontId="5" fillId="0" borderId="7" xfId="5" applyFont="1" applyBorder="1" applyAlignment="1">
      <alignment horizontal="center"/>
    </xf>
    <xf numFmtId="0" fontId="5" fillId="0" borderId="6" xfId="5" applyFont="1" applyBorder="1" applyAlignment="1">
      <alignment horizontal="center"/>
    </xf>
    <xf numFmtId="0" fontId="5" fillId="0" borderId="80" xfId="5" applyFont="1" applyBorder="1" applyAlignment="1">
      <alignment horizontal="center"/>
    </xf>
    <xf numFmtId="166" fontId="5" fillId="3" borderId="85" xfId="5" applyNumberFormat="1" applyFont="1" applyFill="1" applyBorder="1" applyAlignment="1">
      <alignment horizontal="center"/>
    </xf>
    <xf numFmtId="0" fontId="5" fillId="0" borderId="9" xfId="5" quotePrefix="1" applyFont="1" applyBorder="1" applyAlignment="1">
      <alignment horizontal="center"/>
    </xf>
    <xf numFmtId="0" fontId="4" fillId="0" borderId="0" xfId="0" applyFont="1"/>
    <xf numFmtId="49" fontId="5" fillId="0" borderId="0" xfId="0" applyNumberFormat="1" applyFont="1"/>
    <xf numFmtId="188" fontId="5" fillId="0" borderId="0" xfId="0" applyNumberFormat="1" applyFont="1"/>
    <xf numFmtId="0" fontId="3" fillId="0" borderId="3" xfId="0" applyFont="1" applyBorder="1" applyAlignment="1">
      <alignment horizontal="center" vertical="center" wrapText="1"/>
    </xf>
    <xf numFmtId="0" fontId="0" fillId="0" borderId="86" xfId="0" applyBorder="1" applyAlignment="1">
      <alignment vertical="center" wrapText="1"/>
    </xf>
    <xf numFmtId="0" fontId="0" fillId="0" borderId="0" xfId="0" applyAlignment="1">
      <alignment vertical="center" wrapText="1"/>
    </xf>
    <xf numFmtId="0" fontId="0" fillId="0" borderId="87" xfId="0" applyBorder="1" applyAlignment="1">
      <alignment vertical="center" wrapText="1"/>
    </xf>
    <xf numFmtId="0" fontId="0" fillId="0" borderId="63" xfId="0" applyBorder="1" applyAlignment="1">
      <alignment vertical="center" wrapText="1"/>
    </xf>
    <xf numFmtId="0" fontId="0" fillId="0" borderId="3" xfId="0" applyBorder="1" applyAlignment="1">
      <alignment vertical="center" wrapText="1"/>
    </xf>
    <xf numFmtId="0" fontId="0" fillId="0" borderId="0" xfId="0" applyAlignment="1">
      <alignment vertical="center"/>
    </xf>
    <xf numFmtId="0" fontId="0" fillId="0" borderId="6" xfId="0" applyBorder="1" applyAlignment="1">
      <alignment vertical="top"/>
    </xf>
    <xf numFmtId="0" fontId="0" fillId="0" borderId="6" xfId="0" applyBorder="1" applyAlignment="1">
      <alignment horizontal="left" vertical="top" wrapText="1"/>
    </xf>
    <xf numFmtId="0" fontId="0" fillId="0" borderId="6" xfId="0" applyBorder="1" applyAlignment="1">
      <alignment horizontal="left" vertical="center"/>
    </xf>
    <xf numFmtId="0" fontId="0" fillId="0" borderId="6" xfId="0" applyBorder="1" applyAlignment="1">
      <alignment horizontal="center" vertical="center" wrapText="1"/>
    </xf>
    <xf numFmtId="0" fontId="0" fillId="0" borderId="6" xfId="0" applyBorder="1" applyAlignment="1">
      <alignment wrapText="1"/>
    </xf>
    <xf numFmtId="0" fontId="3" fillId="0" borderId="0" xfId="0" applyFont="1"/>
    <xf numFmtId="0" fontId="28" fillId="5" borderId="6" xfId="0" applyFont="1" applyFill="1" applyBorder="1" applyAlignment="1">
      <alignment horizontal="center"/>
    </xf>
    <xf numFmtId="0" fontId="0" fillId="0" borderId="6" xfId="0" applyBorder="1" applyAlignment="1">
      <alignment horizontal="center" vertical="center"/>
    </xf>
    <xf numFmtId="0" fontId="0" fillId="0" borderId="0" xfId="0" applyAlignment="1">
      <alignment horizontal="center" vertical="center"/>
    </xf>
    <xf numFmtId="0" fontId="0" fillId="0" borderId="0" xfId="0" applyAlignment="1">
      <alignment horizontal="left"/>
    </xf>
    <xf numFmtId="0" fontId="3" fillId="0" borderId="0" xfId="0" applyFont="1" applyAlignment="1">
      <alignment horizontal="left"/>
    </xf>
    <xf numFmtId="0" fontId="0" fillId="0" borderId="0" xfId="0" applyAlignment="1">
      <alignment horizontal="left" wrapText="1"/>
    </xf>
    <xf numFmtId="0" fontId="0" fillId="0" borderId="0" xfId="0" applyAlignment="1">
      <alignment horizontal="center"/>
    </xf>
    <xf numFmtId="0" fontId="0" fillId="0" borderId="0" xfId="0" applyAlignment="1">
      <alignment wrapText="1"/>
    </xf>
    <xf numFmtId="0" fontId="26" fillId="0" borderId="0" xfId="0" applyFont="1"/>
    <xf numFmtId="0" fontId="5" fillId="0" borderId="11" xfId="0" applyFont="1" applyBorder="1" applyAlignment="1">
      <alignment horizontal="left" wrapText="1"/>
    </xf>
    <xf numFmtId="0" fontId="5" fillId="0" borderId="20" xfId="0" applyFont="1" applyBorder="1" applyAlignment="1">
      <alignment horizontal="left" wrapText="1"/>
    </xf>
    <xf numFmtId="0" fontId="5" fillId="0" borderId="22" xfId="0" applyFont="1" applyBorder="1" applyAlignment="1">
      <alignment horizontal="left"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8" xfId="0" applyFont="1" applyBorder="1" applyAlignment="1">
      <alignment vertical="center"/>
    </xf>
    <xf numFmtId="0" fontId="4" fillId="0" borderId="9" xfId="0" applyFont="1" applyBorder="1" applyAlignment="1">
      <alignment vertical="center"/>
    </xf>
    <xf numFmtId="0" fontId="4" fillId="0" borderId="36"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8" xfId="0" applyFont="1" applyBorder="1" applyAlignment="1">
      <alignment horizontal="left"/>
    </xf>
    <xf numFmtId="0" fontId="4" fillId="0" borderId="10" xfId="0" applyFont="1" applyBorder="1" applyAlignment="1">
      <alignment horizontal="left"/>
    </xf>
    <xf numFmtId="0" fontId="4" fillId="0" borderId="9" xfId="0" applyFont="1" applyBorder="1" applyAlignment="1">
      <alignment horizontal="left"/>
    </xf>
    <xf numFmtId="0" fontId="4" fillId="0" borderId="30" xfId="0" applyFont="1" applyBorder="1" applyAlignment="1">
      <alignment horizontal="center"/>
    </xf>
    <xf numFmtId="0" fontId="4" fillId="0" borderId="23"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5" fillId="0" borderId="6" xfId="0" applyFont="1" applyBorder="1" applyAlignment="1">
      <alignment horizontal="left" vertical="center" wrapText="1"/>
    </xf>
    <xf numFmtId="166" fontId="5" fillId="0" borderId="6" xfId="0" applyNumberFormat="1" applyFont="1" applyBorder="1" applyAlignment="1">
      <alignment horizontal="center" vertical="center" wrapText="1"/>
    </xf>
    <xf numFmtId="0" fontId="5" fillId="0" borderId="30" xfId="0" applyFont="1" applyBorder="1" applyAlignment="1">
      <alignment horizontal="left" wrapText="1"/>
    </xf>
    <xf numFmtId="0" fontId="5" fillId="0" borderId="31" xfId="0" applyFont="1" applyBorder="1" applyAlignment="1">
      <alignment horizontal="left" wrapText="1"/>
    </xf>
    <xf numFmtId="0" fontId="5" fillId="0" borderId="23" xfId="0" applyFont="1" applyBorder="1" applyAlignment="1">
      <alignment horizontal="left" wrapText="1"/>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4" xfId="0" applyFont="1" applyBorder="1" applyAlignment="1">
      <alignment horizontal="center" vertical="center" wrapText="1"/>
    </xf>
    <xf numFmtId="0" fontId="4" fillId="0" borderId="6" xfId="0" applyFont="1" applyBorder="1" applyAlignment="1">
      <alignment horizontal="left" wrapText="1"/>
    </xf>
    <xf numFmtId="0" fontId="4" fillId="0" borderId="6" xfId="0" applyFont="1" applyBorder="1" applyAlignment="1">
      <alignment horizontal="center"/>
    </xf>
    <xf numFmtId="0" fontId="4" fillId="0" borderId="6" xfId="0" applyFont="1" applyBorder="1" applyAlignment="1">
      <alignment horizontal="center" wrapText="1"/>
    </xf>
    <xf numFmtId="0" fontId="5" fillId="0" borderId="8" xfId="0" applyFont="1" applyBorder="1" applyAlignment="1">
      <alignment horizontal="left"/>
    </xf>
    <xf numFmtId="0" fontId="5" fillId="0" borderId="10" xfId="0" applyFont="1" applyBorder="1" applyAlignment="1">
      <alignment horizontal="left"/>
    </xf>
    <xf numFmtId="0" fontId="5" fillId="0" borderId="9" xfId="0" applyFont="1" applyBorder="1" applyAlignment="1">
      <alignment horizontal="left"/>
    </xf>
    <xf numFmtId="0" fontId="5" fillId="0" borderId="1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right" wrapText="1"/>
    </xf>
    <xf numFmtId="0" fontId="5" fillId="0" borderId="6" xfId="0" applyFont="1" applyBorder="1" applyAlignment="1">
      <alignment horizontal="right"/>
    </xf>
    <xf numFmtId="0" fontId="4" fillId="0" borderId="43" xfId="0" applyFont="1" applyBorder="1" applyAlignment="1">
      <alignment horizontal="right"/>
    </xf>
    <xf numFmtId="0" fontId="4" fillId="0" borderId="44" xfId="0" applyFont="1" applyBorder="1" applyAlignment="1">
      <alignment horizontal="right"/>
    </xf>
    <xf numFmtId="0" fontId="4" fillId="0" borderId="45" xfId="0" applyFont="1" applyBorder="1" applyAlignment="1">
      <alignment horizontal="right"/>
    </xf>
    <xf numFmtId="0" fontId="5" fillId="0" borderId="8" xfId="0" applyFont="1" applyBorder="1" applyAlignment="1">
      <alignment horizontal="left" wrapText="1"/>
    </xf>
    <xf numFmtId="0" fontId="5" fillId="0" borderId="10" xfId="0" applyFont="1" applyBorder="1" applyAlignment="1">
      <alignment horizontal="left" wrapText="1"/>
    </xf>
    <xf numFmtId="0" fontId="5" fillId="0" borderId="9" xfId="0" applyFont="1" applyBorder="1" applyAlignment="1">
      <alignment horizontal="left" wrapText="1"/>
    </xf>
    <xf numFmtId="169" fontId="5" fillId="0" borderId="8" xfId="0" applyNumberFormat="1" applyFont="1" applyBorder="1" applyAlignment="1">
      <alignment horizontal="right"/>
    </xf>
    <xf numFmtId="169" fontId="5" fillId="0" borderId="10" xfId="0" applyNumberFormat="1" applyFont="1" applyBorder="1" applyAlignment="1">
      <alignment horizontal="right"/>
    </xf>
    <xf numFmtId="169" fontId="5" fillId="0" borderId="9" xfId="0" applyNumberFormat="1" applyFont="1" applyBorder="1" applyAlignment="1">
      <alignment horizontal="right"/>
    </xf>
    <xf numFmtId="0" fontId="5" fillId="0" borderId="46" xfId="0" applyFont="1" applyBorder="1" applyAlignment="1">
      <alignment horizontal="right"/>
    </xf>
    <xf numFmtId="169" fontId="4" fillId="0" borderId="11" xfId="0" applyNumberFormat="1" applyFont="1" applyBorder="1" applyAlignment="1">
      <alignment horizontal="right"/>
    </xf>
    <xf numFmtId="169" fontId="4" fillId="0" borderId="20" xfId="0" applyNumberFormat="1" applyFont="1" applyBorder="1" applyAlignment="1">
      <alignment horizontal="right"/>
    </xf>
    <xf numFmtId="169" fontId="4" fillId="0" borderId="22" xfId="0" applyNumberFormat="1" applyFont="1" applyBorder="1" applyAlignment="1">
      <alignment horizontal="right"/>
    </xf>
    <xf numFmtId="0" fontId="4" fillId="0" borderId="8" xfId="0" applyFont="1" applyBorder="1" applyAlignment="1">
      <alignment horizontal="left" vertical="center"/>
    </xf>
    <xf numFmtId="0" fontId="4" fillId="0" borderId="9" xfId="0" applyFont="1" applyBorder="1" applyAlignment="1">
      <alignment horizontal="left" vertical="center"/>
    </xf>
    <xf numFmtId="0" fontId="5" fillId="0" borderId="6" xfId="0" applyFont="1" applyBorder="1" applyAlignment="1">
      <alignment horizontal="left"/>
    </xf>
    <xf numFmtId="0" fontId="4" fillId="0" borderId="4" xfId="0" applyFont="1" applyBorder="1" applyAlignment="1">
      <alignment vertical="center"/>
    </xf>
    <xf numFmtId="169" fontId="4" fillId="0" borderId="43" xfId="0" applyNumberFormat="1" applyFont="1" applyBorder="1" applyAlignment="1">
      <alignment horizontal="right"/>
    </xf>
    <xf numFmtId="169" fontId="4" fillId="0" borderId="44" xfId="0" applyNumberFormat="1" applyFont="1" applyBorder="1" applyAlignment="1">
      <alignment horizontal="right"/>
    </xf>
    <xf numFmtId="169" fontId="4" fillId="0" borderId="45" xfId="0" applyNumberFormat="1" applyFont="1" applyBorder="1" applyAlignment="1">
      <alignment horizontal="right"/>
    </xf>
    <xf numFmtId="0" fontId="5" fillId="0" borderId="17" xfId="0" applyFont="1" applyBorder="1" applyAlignment="1">
      <alignment horizontal="left" wrapText="1"/>
    </xf>
    <xf numFmtId="0" fontId="5" fillId="0" borderId="62" xfId="0" applyFont="1" applyBorder="1" applyAlignment="1">
      <alignment horizontal="left"/>
    </xf>
    <xf numFmtId="0" fontId="5" fillId="0" borderId="25" xfId="0" applyFont="1" applyBorder="1" applyAlignment="1">
      <alignment horizontal="left"/>
    </xf>
    <xf numFmtId="0" fontId="5" fillId="0" borderId="63" xfId="0" applyFont="1" applyBorder="1" applyAlignment="1">
      <alignment horizontal="left"/>
    </xf>
    <xf numFmtId="0" fontId="5" fillId="0" borderId="57" xfId="0" applyFont="1" applyBorder="1" applyAlignment="1">
      <alignment horizontal="center"/>
    </xf>
    <xf numFmtId="0" fontId="5" fillId="0" borderId="58" xfId="0" applyFont="1" applyBorder="1" applyAlignment="1">
      <alignment horizontal="center"/>
    </xf>
    <xf numFmtId="0" fontId="5" fillId="0" borderId="59" xfId="0" applyFont="1" applyBorder="1" applyAlignment="1">
      <alignment horizontal="center"/>
    </xf>
    <xf numFmtId="0" fontId="4" fillId="0" borderId="13" xfId="0" applyFont="1" applyBorder="1" applyAlignment="1">
      <alignment vertical="center" wrapText="1"/>
    </xf>
    <xf numFmtId="0" fontId="4" fillId="0" borderId="7" xfId="0" applyFont="1" applyBorder="1" applyAlignment="1">
      <alignment horizontal="center"/>
    </xf>
    <xf numFmtId="0" fontId="7" fillId="0" borderId="43" xfId="0" applyFont="1" applyBorder="1" applyAlignment="1">
      <alignment horizontal="right"/>
    </xf>
    <xf numFmtId="0" fontId="7" fillId="0" borderId="44" xfId="0" applyFont="1" applyBorder="1" applyAlignment="1">
      <alignment horizontal="right"/>
    </xf>
    <xf numFmtId="0" fontId="7" fillId="0" borderId="45" xfId="0" applyFont="1" applyBorder="1" applyAlignment="1">
      <alignment horizontal="right"/>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8" fillId="0" borderId="11" xfId="0" applyFont="1" applyBorder="1" applyAlignment="1">
      <alignment horizontal="left" wrapText="1"/>
    </xf>
    <xf numFmtId="0" fontId="8" fillId="0" borderId="20" xfId="0" applyFont="1" applyBorder="1" applyAlignment="1">
      <alignment horizontal="left" wrapText="1"/>
    </xf>
    <xf numFmtId="0" fontId="8" fillId="0" borderId="22" xfId="0" applyFont="1" applyBorder="1" applyAlignment="1">
      <alignment horizontal="left" wrapText="1"/>
    </xf>
    <xf numFmtId="0" fontId="5" fillId="0" borderId="38" xfId="0" applyFont="1" applyBorder="1" applyAlignment="1">
      <alignment horizontal="left" wrapText="1"/>
    </xf>
    <xf numFmtId="0" fontId="7" fillId="0" borderId="8" xfId="0" applyFont="1" applyBorder="1" applyAlignment="1">
      <alignment vertical="center"/>
    </xf>
    <xf numFmtId="0" fontId="7" fillId="0" borderId="9" xfId="0" applyFont="1" applyBorder="1" applyAlignment="1">
      <alignment vertical="center"/>
    </xf>
    <xf numFmtId="0" fontId="7" fillId="0" borderId="8" xfId="0" applyFont="1" applyBorder="1" applyAlignment="1">
      <alignment horizontal="left"/>
    </xf>
    <xf numFmtId="0" fontId="7" fillId="0" borderId="10" xfId="0" applyFont="1" applyBorder="1" applyAlignment="1">
      <alignment horizontal="left"/>
    </xf>
    <xf numFmtId="0" fontId="7" fillId="0" borderId="9" xfId="0" applyFont="1" applyBorder="1" applyAlignment="1">
      <alignment horizontal="left"/>
    </xf>
    <xf numFmtId="0" fontId="7" fillId="0" borderId="30" xfId="0" applyFont="1" applyBorder="1" applyAlignment="1">
      <alignment horizontal="center"/>
    </xf>
    <xf numFmtId="0" fontId="7" fillId="0" borderId="23" xfId="0" applyFont="1" applyBorder="1" applyAlignment="1">
      <alignment horizontal="center"/>
    </xf>
    <xf numFmtId="0" fontId="8" fillId="0" borderId="8" xfId="0" applyFont="1" applyBorder="1" applyAlignment="1">
      <alignment horizontal="left" wrapText="1"/>
    </xf>
    <xf numFmtId="0" fontId="8" fillId="0" borderId="10" xfId="0" applyFont="1" applyBorder="1" applyAlignment="1">
      <alignment horizontal="left" wrapText="1"/>
    </xf>
    <xf numFmtId="0" fontId="8" fillId="0" borderId="9" xfId="0" applyFont="1" applyBorder="1" applyAlignment="1">
      <alignment horizontal="left" wrapText="1"/>
    </xf>
    <xf numFmtId="2" fontId="5" fillId="0" borderId="8" xfId="0" applyNumberFormat="1" applyFont="1" applyBorder="1" applyAlignment="1">
      <alignment horizontal="center" wrapText="1"/>
    </xf>
    <xf numFmtId="2" fontId="5" fillId="0" borderId="9" xfId="0" applyNumberFormat="1" applyFont="1" applyBorder="1" applyAlignment="1">
      <alignment horizontal="center" wrapText="1"/>
    </xf>
    <xf numFmtId="44" fontId="5" fillId="0" borderId="6" xfId="0" applyNumberFormat="1" applyFont="1" applyBorder="1" applyAlignment="1">
      <alignment horizontal="left" wrapText="1"/>
    </xf>
    <xf numFmtId="1" fontId="5" fillId="0" borderId="8" xfId="0" applyNumberFormat="1" applyFont="1" applyBorder="1" applyAlignment="1">
      <alignment horizontal="center" wrapText="1"/>
    </xf>
    <xf numFmtId="1" fontId="5" fillId="0" borderId="9" xfId="0" applyNumberFormat="1"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44" fontId="5" fillId="0" borderId="19" xfId="0" applyNumberFormat="1" applyFont="1" applyBorder="1" applyAlignment="1">
      <alignment horizontal="left" wrapText="1"/>
    </xf>
    <xf numFmtId="166" fontId="5" fillId="0" borderId="11" xfId="0" applyNumberFormat="1" applyFont="1" applyBorder="1" applyAlignment="1">
      <alignment horizontal="center" wrapText="1"/>
    </xf>
    <xf numFmtId="166" fontId="5" fillId="0" borderId="22" xfId="0" applyNumberFormat="1" applyFont="1" applyBorder="1" applyAlignment="1">
      <alignment horizontal="center" wrapText="1"/>
    </xf>
    <xf numFmtId="0" fontId="4" fillId="0" borderId="30" xfId="0" applyFont="1" applyBorder="1" applyAlignment="1">
      <alignment vertical="center"/>
    </xf>
    <xf numFmtId="0" fontId="4" fillId="0" borderId="23" xfId="0" applyFont="1" applyBorder="1" applyAlignment="1">
      <alignment vertical="center"/>
    </xf>
    <xf numFmtId="0" fontId="4" fillId="0" borderId="0" xfId="0" applyFont="1" applyAlignment="1">
      <alignment horizontal="center" vertical="center" wrapText="1"/>
    </xf>
    <xf numFmtId="0" fontId="4" fillId="0" borderId="37" xfId="0" applyFont="1" applyBorder="1" applyAlignment="1">
      <alignment horizontal="center" vertical="center" wrapText="1"/>
    </xf>
    <xf numFmtId="0" fontId="5" fillId="0" borderId="33" xfId="0" applyFont="1" applyBorder="1" applyAlignment="1">
      <alignment horizontal="center"/>
    </xf>
    <xf numFmtId="0" fontId="5" fillId="0" borderId="34" xfId="0" applyFont="1" applyBorder="1" applyAlignment="1">
      <alignment horizontal="center"/>
    </xf>
    <xf numFmtId="0" fontId="5" fillId="0" borderId="35" xfId="0" applyFont="1" applyBorder="1" applyAlignment="1">
      <alignment horizontal="center"/>
    </xf>
    <xf numFmtId="0" fontId="4" fillId="0" borderId="73" xfId="0" applyFont="1" applyBorder="1" applyAlignment="1">
      <alignment vertical="center"/>
    </xf>
    <xf numFmtId="0" fontId="4" fillId="0" borderId="21" xfId="0" applyFont="1" applyBorder="1" applyAlignment="1">
      <alignment vertical="center"/>
    </xf>
    <xf numFmtId="0" fontId="4" fillId="0" borderId="37" xfId="0" applyFont="1" applyBorder="1" applyAlignment="1">
      <alignment vertical="center"/>
    </xf>
    <xf numFmtId="7" fontId="5" fillId="0" borderId="6" xfId="0" applyNumberFormat="1" applyFont="1" applyBorder="1" applyAlignment="1">
      <alignment horizontal="center" wrapText="1"/>
    </xf>
    <xf numFmtId="166" fontId="5" fillId="0" borderId="8" xfId="0" applyNumberFormat="1" applyFont="1" applyBorder="1" applyAlignment="1">
      <alignment horizontal="center" wrapText="1"/>
    </xf>
    <xf numFmtId="166" fontId="5" fillId="0" borderId="9" xfId="0" applyNumberFormat="1" applyFont="1" applyBorder="1" applyAlignment="1">
      <alignment horizontal="center" wrapText="1"/>
    </xf>
    <xf numFmtId="0" fontId="5" fillId="0" borderId="10" xfId="0" applyFont="1" applyBorder="1" applyAlignment="1">
      <alignment horizontal="right"/>
    </xf>
    <xf numFmtId="0" fontId="5" fillId="0" borderId="9" xfId="0" applyFont="1" applyBorder="1" applyAlignment="1">
      <alignment horizontal="right"/>
    </xf>
    <xf numFmtId="0" fontId="4" fillId="0" borderId="31" xfId="0" applyFont="1" applyBorder="1" applyAlignment="1">
      <alignment horizontal="center" vertical="center" wrapText="1"/>
    </xf>
    <xf numFmtId="0" fontId="4" fillId="0" borderId="23" xfId="0" applyFont="1" applyBorder="1" applyAlignment="1">
      <alignment horizontal="center" vertical="center" wrapText="1"/>
    </xf>
    <xf numFmtId="166" fontId="5" fillId="0" borderId="8" xfId="0" applyNumberFormat="1" applyFont="1" applyBorder="1" applyAlignment="1">
      <alignment horizontal="center"/>
    </xf>
    <xf numFmtId="166" fontId="5" fillId="0" borderId="9" xfId="0" applyNumberFormat="1" applyFont="1" applyBorder="1" applyAlignment="1">
      <alignment horizontal="center"/>
    </xf>
    <xf numFmtId="0" fontId="5" fillId="0" borderId="6" xfId="0" applyFont="1" applyBorder="1" applyAlignment="1">
      <alignment horizontal="left" wrapText="1"/>
    </xf>
    <xf numFmtId="0" fontId="5" fillId="0" borderId="43" xfId="0" applyFont="1" applyBorder="1" applyAlignment="1">
      <alignment horizontal="left" wrapText="1"/>
    </xf>
    <xf numFmtId="0" fontId="5" fillId="0" borderId="44" xfId="0" applyFont="1" applyBorder="1" applyAlignment="1">
      <alignment horizontal="left" wrapText="1"/>
    </xf>
    <xf numFmtId="0" fontId="5" fillId="0" borderId="45" xfId="0" applyFont="1" applyBorder="1" applyAlignment="1">
      <alignment horizontal="left" wrapText="1"/>
    </xf>
    <xf numFmtId="0" fontId="5" fillId="0" borderId="43" xfId="0" applyFont="1" applyBorder="1" applyAlignment="1">
      <alignment horizontal="center"/>
    </xf>
    <xf numFmtId="0" fontId="5" fillId="0" borderId="45" xfId="0" applyFont="1" applyBorder="1" applyAlignment="1">
      <alignment horizontal="center"/>
    </xf>
    <xf numFmtId="0" fontId="5" fillId="0" borderId="43" xfId="0" applyFont="1" applyBorder="1" applyAlignment="1">
      <alignment horizontal="left"/>
    </xf>
    <xf numFmtId="0" fontId="5" fillId="0" borderId="44" xfId="0" applyFont="1" applyBorder="1" applyAlignment="1">
      <alignment horizontal="left"/>
    </xf>
    <xf numFmtId="0" fontId="5" fillId="0" borderId="45" xfId="0" applyFont="1" applyBorder="1" applyAlignment="1">
      <alignment horizontal="left"/>
    </xf>
    <xf numFmtId="0" fontId="5" fillId="0" borderId="8" xfId="0" applyFont="1" applyBorder="1" applyAlignment="1">
      <alignment horizontal="left" vertical="center"/>
    </xf>
    <xf numFmtId="0" fontId="5" fillId="0" borderId="10" xfId="0" applyFont="1" applyBorder="1" applyAlignment="1">
      <alignment horizontal="left" vertical="center"/>
    </xf>
    <xf numFmtId="0" fontId="5" fillId="0" borderId="9" xfId="0" applyFont="1" applyBorder="1" applyAlignment="1">
      <alignment horizontal="left" vertical="center"/>
    </xf>
    <xf numFmtId="0" fontId="5" fillId="0" borderId="11" xfId="0" applyFont="1" applyBorder="1" applyAlignment="1">
      <alignment horizontal="left" vertical="top" wrapText="1"/>
    </xf>
    <xf numFmtId="0" fontId="5" fillId="0" borderId="20" xfId="0" applyFont="1" applyBorder="1" applyAlignment="1">
      <alignment horizontal="left" vertical="top" wrapText="1"/>
    </xf>
    <xf numFmtId="0" fontId="5" fillId="0" borderId="22" xfId="0" applyFont="1" applyBorder="1" applyAlignment="1">
      <alignment horizontal="left" vertical="top" wrapText="1"/>
    </xf>
    <xf numFmtId="0" fontId="5" fillId="0" borderId="24"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6" xfId="0" applyFont="1" applyBorder="1" applyAlignment="1">
      <alignment horizontal="left" vertical="center"/>
    </xf>
    <xf numFmtId="0" fontId="5" fillId="0" borderId="8" xfId="0" applyFont="1" applyBorder="1" applyAlignment="1">
      <alignment wrapText="1"/>
    </xf>
    <xf numFmtId="0" fontId="5" fillId="0" borderId="10" xfId="0" applyFont="1" applyBorder="1" applyAlignment="1">
      <alignment wrapText="1"/>
    </xf>
    <xf numFmtId="0" fontId="5" fillId="0" borderId="9" xfId="0" applyFont="1" applyBorder="1" applyAlignment="1">
      <alignment wrapText="1"/>
    </xf>
    <xf numFmtId="0" fontId="4" fillId="0" borderId="11" xfId="0" applyFont="1" applyBorder="1" applyAlignment="1">
      <alignment horizontal="center" wrapText="1"/>
    </xf>
    <xf numFmtId="0" fontId="4" fillId="0" borderId="22" xfId="0" applyFont="1" applyBorder="1" applyAlignment="1">
      <alignment horizontal="center" wrapText="1"/>
    </xf>
    <xf numFmtId="0" fontId="5" fillId="0" borderId="8" xfId="0" quotePrefix="1"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166" fontId="5" fillId="0" borderId="8" xfId="0" applyNumberFormat="1" applyFont="1" applyBorder="1" applyAlignment="1">
      <alignment horizontal="center" vertical="center" wrapText="1"/>
    </xf>
    <xf numFmtId="166" fontId="5" fillId="0" borderId="9" xfId="0" applyNumberFormat="1" applyFont="1" applyBorder="1" applyAlignment="1">
      <alignment horizontal="center" vertical="center" wrapText="1"/>
    </xf>
    <xf numFmtId="0" fontId="8" fillId="0" borderId="8" xfId="0" quotePrefix="1" applyFont="1" applyBorder="1"/>
    <xf numFmtId="0" fontId="8" fillId="0" borderId="10" xfId="0" applyFont="1" applyBorder="1"/>
    <xf numFmtId="0" fontId="8" fillId="0" borderId="49" xfId="0" applyFont="1" applyBorder="1"/>
    <xf numFmtId="0" fontId="4" fillId="0" borderId="23" xfId="0" applyFont="1" applyBorder="1" applyAlignment="1">
      <alignment horizontal="center" wrapText="1"/>
    </xf>
    <xf numFmtId="0" fontId="4" fillId="0" borderId="6" xfId="0" applyFont="1" applyBorder="1" applyAlignment="1">
      <alignment horizontal="left"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8" fillId="0" borderId="8" xfId="0" quotePrefix="1" applyFont="1" applyBorder="1" applyAlignment="1">
      <alignment wrapText="1"/>
    </xf>
    <xf numFmtId="0" fontId="8" fillId="0" borderId="10" xfId="0" applyFont="1" applyBorder="1" applyAlignment="1">
      <alignment wrapText="1"/>
    </xf>
    <xf numFmtId="0" fontId="8" fillId="0" borderId="49" xfId="0" applyFont="1" applyBorder="1" applyAlignment="1">
      <alignment wrapText="1"/>
    </xf>
    <xf numFmtId="0" fontId="5" fillId="0" borderId="19" xfId="0" applyFont="1" applyBorder="1" applyAlignment="1">
      <alignment horizontal="left" wrapText="1"/>
    </xf>
    <xf numFmtId="0" fontId="4" fillId="0" borderId="30" xfId="0" applyFont="1" applyBorder="1" applyAlignment="1">
      <alignment vertical="center" wrapText="1"/>
    </xf>
    <xf numFmtId="0" fontId="4" fillId="0" borderId="23" xfId="0" applyFont="1" applyBorder="1" applyAlignment="1">
      <alignment vertical="center" wrapText="1"/>
    </xf>
    <xf numFmtId="0" fontId="4" fillId="0" borderId="73" xfId="0" applyFont="1" applyBorder="1" applyAlignment="1">
      <alignment horizontal="center" vertical="center"/>
    </xf>
    <xf numFmtId="0" fontId="5" fillId="0" borderId="8" xfId="0" applyFont="1" applyBorder="1" applyAlignment="1">
      <alignment horizontal="center" wrapText="1"/>
    </xf>
    <xf numFmtId="0" fontId="5" fillId="0" borderId="10" xfId="0" applyFont="1" applyBorder="1" applyAlignment="1">
      <alignment horizontal="center" wrapText="1"/>
    </xf>
    <xf numFmtId="0" fontId="5" fillId="0" borderId="9" xfId="0" applyFont="1" applyBorder="1" applyAlignment="1">
      <alignment horizontal="center" wrapText="1"/>
    </xf>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5" fillId="0" borderId="8" xfId="0" applyFont="1" applyBorder="1" applyAlignment="1">
      <alignment horizontal="left" vertical="center" wrapText="1"/>
    </xf>
    <xf numFmtId="0" fontId="5" fillId="0" borderId="38" xfId="0" applyFont="1" applyBorder="1" applyAlignment="1">
      <alignment horizontal="left" vertical="center" wrapText="1"/>
    </xf>
    <xf numFmtId="0" fontId="4" fillId="0" borderId="30" xfId="0" applyFont="1" applyBorder="1" applyAlignment="1">
      <alignment horizontal="left" vertical="center"/>
    </xf>
    <xf numFmtId="0" fontId="4" fillId="0" borderId="23" xfId="0" applyFont="1" applyBorder="1" applyAlignment="1">
      <alignment horizontal="left" vertical="center"/>
    </xf>
    <xf numFmtId="0" fontId="4" fillId="0" borderId="6" xfId="0" applyFont="1" applyBorder="1" applyAlignment="1">
      <alignment horizontal="left"/>
    </xf>
    <xf numFmtId="0" fontId="5" fillId="0" borderId="38" xfId="0" applyFont="1" applyBorder="1" applyAlignment="1">
      <alignment horizontal="center" vertical="center" wrapText="1"/>
    </xf>
    <xf numFmtId="0" fontId="5" fillId="0" borderId="38" xfId="0" applyFont="1" applyBorder="1" applyAlignment="1">
      <alignment horizontal="right" wrapText="1"/>
    </xf>
    <xf numFmtId="0" fontId="4" fillId="0" borderId="10" xfId="0" applyFont="1" applyBorder="1" applyAlignment="1">
      <alignment horizontal="left" vertical="center"/>
    </xf>
    <xf numFmtId="0" fontId="4" fillId="0" borderId="30" xfId="0" applyFont="1" applyBorder="1" applyAlignment="1">
      <alignment horizontal="center" vertical="center"/>
    </xf>
    <xf numFmtId="0" fontId="4" fillId="0" borderId="2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19" xfId="0" applyFont="1" applyBorder="1" applyAlignment="1">
      <alignment horizontal="left" vertical="center" wrapText="1"/>
    </xf>
    <xf numFmtId="0" fontId="4"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8" xfId="0" applyFont="1" applyBorder="1" applyAlignment="1">
      <alignment horizontal="center"/>
    </xf>
    <xf numFmtId="0" fontId="5" fillId="0" borderId="9" xfId="0" applyFont="1" applyBorder="1"/>
    <xf numFmtId="0" fontId="5" fillId="0" borderId="43" xfId="0" applyFont="1" applyBorder="1" applyAlignment="1">
      <alignment horizontal="left" vertical="center"/>
    </xf>
    <xf numFmtId="0" fontId="5" fillId="0" borderId="45" xfId="0" applyFont="1" applyBorder="1" applyAlignment="1">
      <alignment horizontal="left" vertical="center"/>
    </xf>
    <xf numFmtId="166" fontId="5" fillId="0" borderId="8" xfId="0" applyNumberFormat="1" applyFont="1" applyBorder="1" applyAlignment="1">
      <alignment horizontal="center" vertical="center"/>
    </xf>
    <xf numFmtId="166" fontId="5" fillId="0" borderId="9" xfId="0" applyNumberFormat="1" applyFont="1" applyBorder="1" applyAlignment="1">
      <alignment horizontal="center" vertical="center"/>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center" vertical="center" wrapText="1"/>
    </xf>
    <xf numFmtId="0" fontId="5" fillId="0" borderId="21" xfId="0" applyFont="1" applyBorder="1" applyAlignment="1">
      <alignment horizontal="left" vertical="top" wrapText="1"/>
    </xf>
    <xf numFmtId="0" fontId="5" fillId="0" borderId="0" xfId="0" applyFont="1" applyAlignment="1">
      <alignment horizontal="left" vertical="top" wrapText="1"/>
    </xf>
    <xf numFmtId="0" fontId="5" fillId="0" borderId="37" xfId="0" applyFont="1" applyBorder="1" applyAlignment="1">
      <alignment horizontal="left" vertical="top" wrapText="1"/>
    </xf>
    <xf numFmtId="0" fontId="4" fillId="0" borderId="19" xfId="0" applyFont="1" applyBorder="1" applyAlignment="1">
      <alignment horizontal="left" wrapText="1"/>
    </xf>
    <xf numFmtId="0" fontId="4" fillId="0" borderId="11" xfId="0" applyFont="1" applyBorder="1" applyAlignment="1">
      <alignment horizontal="center" vertical="center" wrapText="1"/>
    </xf>
    <xf numFmtId="0" fontId="4" fillId="0" borderId="22" xfId="0" applyFont="1" applyBorder="1" applyAlignment="1">
      <alignment horizontal="center" vertical="center" wrapText="1"/>
    </xf>
    <xf numFmtId="0" fontId="5" fillId="0" borderId="43" xfId="0" applyFont="1" applyBorder="1" applyAlignment="1">
      <alignment horizontal="center" vertical="top" wrapText="1"/>
    </xf>
    <xf numFmtId="0" fontId="5" fillId="0" borderId="44" xfId="0" applyFont="1" applyBorder="1" applyAlignment="1">
      <alignment horizontal="center" vertical="top" wrapText="1"/>
    </xf>
    <xf numFmtId="0" fontId="5" fillId="0" borderId="46" xfId="0" applyFont="1" applyBorder="1" applyAlignment="1">
      <alignment horizontal="left" vertical="top" wrapText="1"/>
    </xf>
    <xf numFmtId="0" fontId="5" fillId="0" borderId="8" xfId="0" applyFont="1" applyBorder="1" applyAlignment="1">
      <alignment horizontal="right"/>
    </xf>
    <xf numFmtId="169" fontId="4" fillId="0" borderId="54" xfId="0" applyNumberFormat="1" applyFont="1" applyBorder="1" applyAlignment="1">
      <alignment horizontal="right"/>
    </xf>
    <xf numFmtId="169" fontId="4" fillId="0" borderId="55" xfId="0" applyNumberFormat="1" applyFont="1" applyBorder="1" applyAlignment="1">
      <alignment horizontal="right"/>
    </xf>
    <xf numFmtId="169" fontId="4" fillId="0" borderId="56" xfId="0" applyNumberFormat="1" applyFont="1" applyBorder="1" applyAlignment="1">
      <alignment horizontal="right"/>
    </xf>
    <xf numFmtId="166" fontId="5" fillId="0" borderId="10" xfId="0" applyNumberFormat="1" applyFont="1" applyBorder="1" applyAlignment="1">
      <alignment horizontal="center" vertical="center" wrapText="1"/>
    </xf>
    <xf numFmtId="0" fontId="5" fillId="0" borderId="8" xfId="0" quotePrefix="1" applyFont="1" applyBorder="1" applyAlignment="1">
      <alignment horizontal="left"/>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5" fillId="0" borderId="9" xfId="0" applyFont="1" applyBorder="1" applyAlignment="1">
      <alignment horizontal="left" vertical="top"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5" fillId="0" borderId="43" xfId="0" applyFont="1" applyBorder="1" applyAlignment="1">
      <alignment horizontal="left" vertical="top" wrapText="1"/>
    </xf>
    <xf numFmtId="0" fontId="5" fillId="0" borderId="44" xfId="0" applyFont="1" applyBorder="1" applyAlignment="1">
      <alignment horizontal="left" vertical="top" wrapText="1"/>
    </xf>
    <xf numFmtId="0" fontId="5" fillId="0" borderId="45" xfId="0" applyFont="1" applyBorder="1" applyAlignment="1">
      <alignment horizontal="left" vertical="top" wrapText="1"/>
    </xf>
    <xf numFmtId="0" fontId="5" fillId="0" borderId="10" xfId="0" applyFont="1" applyBorder="1" applyAlignment="1">
      <alignment horizontal="center"/>
    </xf>
    <xf numFmtId="0" fontId="5" fillId="0" borderId="9" xfId="0" applyFont="1" applyBorder="1" applyAlignment="1">
      <alignment horizontal="center"/>
    </xf>
    <xf numFmtId="169" fontId="5" fillId="0" borderId="39" xfId="0" applyNumberFormat="1" applyFont="1" applyBorder="1" applyAlignment="1">
      <alignment horizontal="right"/>
    </xf>
    <xf numFmtId="169" fontId="5" fillId="0" borderId="40" xfId="0" applyNumberFormat="1" applyFont="1" applyBorder="1" applyAlignment="1">
      <alignment horizontal="right"/>
    </xf>
    <xf numFmtId="169" fontId="5" fillId="0" borderId="41" xfId="0" applyNumberFormat="1" applyFont="1" applyBorder="1" applyAlignment="1">
      <alignment horizontal="right"/>
    </xf>
    <xf numFmtId="0" fontId="0" fillId="0" borderId="6" xfId="0" applyBorder="1" applyAlignment="1">
      <alignment horizontal="left"/>
    </xf>
    <xf numFmtId="0" fontId="4" fillId="0" borderId="4" xfId="0" applyFont="1" applyBorder="1" applyAlignment="1">
      <alignment horizontal="left" vertical="center" wrapText="1"/>
    </xf>
    <xf numFmtId="0" fontId="5" fillId="0" borderId="27" xfId="0" applyFont="1" applyBorder="1" applyAlignment="1">
      <alignment horizontal="center" vertical="center" wrapText="1"/>
    </xf>
    <xf numFmtId="166" fontId="5" fillId="0" borderId="6" xfId="0" applyNumberFormat="1" applyFont="1" applyBorder="1" applyAlignment="1">
      <alignment horizontal="center"/>
    </xf>
    <xf numFmtId="0" fontId="5" fillId="0" borderId="30" xfId="0" applyFont="1" applyBorder="1" applyAlignment="1">
      <alignment horizontal="left" vertical="top" wrapText="1"/>
    </xf>
    <xf numFmtId="0" fontId="5" fillId="0" borderId="31" xfId="0" applyFont="1" applyBorder="1" applyAlignment="1">
      <alignment horizontal="left" vertical="top" wrapText="1"/>
    </xf>
    <xf numFmtId="0" fontId="5" fillId="0" borderId="23" xfId="0" applyFont="1" applyBorder="1" applyAlignment="1">
      <alignment horizontal="left" vertical="top" wrapText="1"/>
    </xf>
    <xf numFmtId="0" fontId="5" fillId="0" borderId="38" xfId="0" applyFont="1" applyBorder="1" applyAlignment="1">
      <alignment horizontal="left"/>
    </xf>
    <xf numFmtId="44" fontId="5" fillId="0" borderId="6" xfId="0" applyNumberFormat="1" applyFont="1" applyBorder="1" applyAlignment="1">
      <alignment horizontal="center" wrapText="1"/>
    </xf>
    <xf numFmtId="7" fontId="5" fillId="0" borderId="6" xfId="0" applyNumberFormat="1" applyFont="1" applyBorder="1" applyAlignment="1">
      <alignment horizontal="left" wrapText="1"/>
    </xf>
    <xf numFmtId="0" fontId="5" fillId="0" borderId="8" xfId="0" applyFont="1" applyBorder="1"/>
    <xf numFmtId="0" fontId="5" fillId="0" borderId="10" xfId="0" applyFont="1" applyBorder="1"/>
    <xf numFmtId="0" fontId="17" fillId="0" borderId="30" xfId="0" applyFont="1" applyBorder="1" applyAlignment="1">
      <alignment horizontal="left"/>
    </xf>
    <xf numFmtId="0" fontId="4" fillId="0" borderId="31" xfId="0" applyFont="1" applyBorder="1" applyAlignment="1">
      <alignment horizontal="left"/>
    </xf>
    <xf numFmtId="0" fontId="4" fillId="0" borderId="23" xfId="0" applyFont="1" applyBorder="1" applyAlignment="1">
      <alignment horizontal="left"/>
    </xf>
    <xf numFmtId="0" fontId="4" fillId="0" borderId="30" xfId="0" applyFont="1" applyBorder="1" applyAlignment="1">
      <alignment horizontal="center" wrapText="1"/>
    </xf>
    <xf numFmtId="0" fontId="4" fillId="0" borderId="21" xfId="0" applyFont="1" applyBorder="1" applyAlignment="1">
      <alignment horizontal="center"/>
    </xf>
    <xf numFmtId="0" fontId="4" fillId="0" borderId="37" xfId="0" applyFont="1" applyBorder="1" applyAlignment="1">
      <alignment horizontal="center"/>
    </xf>
    <xf numFmtId="0" fontId="8" fillId="0" borderId="8" xfId="0" applyFont="1" applyBorder="1" applyAlignment="1">
      <alignment horizontal="left"/>
    </xf>
    <xf numFmtId="0" fontId="8" fillId="0" borderId="10" xfId="0" applyFont="1" applyBorder="1" applyAlignment="1">
      <alignment horizontal="left"/>
    </xf>
    <xf numFmtId="0" fontId="8" fillId="0" borderId="9" xfId="0" applyFont="1" applyBorder="1" applyAlignment="1">
      <alignment horizontal="left"/>
    </xf>
    <xf numFmtId="166" fontId="5" fillId="0" borderId="6" xfId="0" applyNumberFormat="1" applyFont="1" applyBorder="1" applyAlignment="1">
      <alignment horizontal="center" vertical="center"/>
    </xf>
    <xf numFmtId="0" fontId="4" fillId="0" borderId="28" xfId="0" applyFont="1" applyBorder="1" applyAlignment="1">
      <alignment horizontal="center" vertical="center" wrapText="1"/>
    </xf>
    <xf numFmtId="0" fontId="5" fillId="0" borderId="11" xfId="0" applyFont="1" applyBorder="1" applyAlignment="1">
      <alignment horizontal="left"/>
    </xf>
    <xf numFmtId="0" fontId="5" fillId="0" borderId="20" xfId="0" applyFont="1" applyBorder="1" applyAlignment="1">
      <alignment horizontal="left"/>
    </xf>
    <xf numFmtId="0" fontId="5" fillId="0" borderId="22" xfId="0" applyFont="1" applyBorder="1" applyAlignment="1">
      <alignment horizontal="left"/>
    </xf>
    <xf numFmtId="0" fontId="7" fillId="0" borderId="8" xfId="0" applyFont="1" applyBorder="1" applyAlignment="1">
      <alignment horizontal="left" vertical="center"/>
    </xf>
    <xf numFmtId="0" fontId="7" fillId="0" borderId="9" xfId="0" applyFont="1" applyBorder="1" applyAlignment="1">
      <alignment horizontal="left" vertical="center"/>
    </xf>
    <xf numFmtId="0" fontId="5" fillId="0" borderId="8" xfId="0" applyFont="1" applyBorder="1" applyAlignment="1">
      <alignment horizontal="right" wrapText="1"/>
    </xf>
    <xf numFmtId="0" fontId="5" fillId="0" borderId="10" xfId="0" applyFont="1" applyBorder="1" applyAlignment="1">
      <alignment horizontal="right" wrapText="1"/>
    </xf>
    <xf numFmtId="0" fontId="5" fillId="0" borderId="9" xfId="0" applyFont="1" applyBorder="1" applyAlignment="1">
      <alignment horizontal="right" wrapText="1"/>
    </xf>
    <xf numFmtId="0" fontId="4" fillId="0" borderId="74" xfId="0" applyFont="1" applyBorder="1" applyAlignment="1">
      <alignment horizontal="right"/>
    </xf>
    <xf numFmtId="0" fontId="4" fillId="0" borderId="75" xfId="0" applyFont="1" applyBorder="1" applyAlignment="1">
      <alignment horizontal="right"/>
    </xf>
    <xf numFmtId="0" fontId="4" fillId="0" borderId="76" xfId="0" applyFont="1" applyBorder="1" applyAlignment="1">
      <alignment horizontal="right"/>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169" fontId="5" fillId="0" borderId="8" xfId="1" applyNumberFormat="1" applyFont="1" applyFill="1" applyBorder="1" applyAlignment="1">
      <alignment horizontal="center" vertical="center"/>
    </xf>
    <xf numFmtId="169" fontId="5" fillId="0" borderId="9" xfId="1" applyNumberFormat="1" applyFont="1" applyFill="1" applyBorder="1" applyAlignment="1">
      <alignment horizontal="center" vertical="center"/>
    </xf>
    <xf numFmtId="169" fontId="4" fillId="0" borderId="8" xfId="0" applyNumberFormat="1" applyFont="1" applyBorder="1" applyAlignment="1">
      <alignment horizontal="right"/>
    </xf>
    <xf numFmtId="169" fontId="4" fillId="0" borderId="10" xfId="0" applyNumberFormat="1" applyFont="1" applyBorder="1" applyAlignment="1">
      <alignment horizontal="right"/>
    </xf>
    <xf numFmtId="169" fontId="4" fillId="0" borderId="9" xfId="0" applyNumberFormat="1" applyFont="1" applyBorder="1" applyAlignment="1">
      <alignment horizontal="right"/>
    </xf>
    <xf numFmtId="0" fontId="5" fillId="0" borderId="77" xfId="0" applyFont="1" applyBorder="1" applyAlignment="1">
      <alignment horizontal="right"/>
    </xf>
    <xf numFmtId="0" fontId="5" fillId="0" borderId="49" xfId="0" applyFont="1" applyBorder="1" applyAlignment="1">
      <alignment horizontal="right"/>
    </xf>
    <xf numFmtId="0" fontId="4" fillId="0" borderId="30" xfId="0" applyFont="1" applyBorder="1" applyAlignment="1">
      <alignment horizontal="left" vertical="center" wrapText="1"/>
    </xf>
    <xf numFmtId="0" fontId="4" fillId="0" borderId="23" xfId="0" applyFont="1" applyBorder="1" applyAlignment="1">
      <alignment horizontal="lef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4" fillId="0" borderId="38" xfId="0" applyFont="1" applyBorder="1" applyAlignment="1">
      <alignment horizontal="center" wrapText="1"/>
    </xf>
    <xf numFmtId="0" fontId="4" fillId="0" borderId="38" xfId="0" applyFont="1" applyBorder="1" applyAlignment="1">
      <alignment horizontal="center"/>
    </xf>
    <xf numFmtId="166" fontId="5" fillId="0" borderId="38" xfId="0" applyNumberFormat="1" applyFont="1" applyBorder="1" applyAlignment="1">
      <alignment horizontal="center" vertical="center" wrapText="1"/>
    </xf>
    <xf numFmtId="0" fontId="5" fillId="0" borderId="33" xfId="0" applyFont="1" applyBorder="1" applyAlignment="1">
      <alignment horizontal="left"/>
    </xf>
    <xf numFmtId="0" fontId="5" fillId="0" borderId="34" xfId="0" applyFont="1" applyBorder="1" applyAlignment="1">
      <alignment horizontal="left"/>
    </xf>
    <xf numFmtId="0" fontId="5" fillId="0" borderId="35" xfId="0" applyFont="1" applyBorder="1" applyAlignment="1">
      <alignment horizontal="left"/>
    </xf>
    <xf numFmtId="0" fontId="4" fillId="0" borderId="73" xfId="0" applyFont="1" applyBorder="1" applyAlignment="1">
      <alignment horizontal="center" vertical="center" wrapText="1"/>
    </xf>
    <xf numFmtId="0" fontId="5" fillId="0" borderId="11" xfId="0" applyFont="1" applyBorder="1" applyAlignment="1">
      <alignment horizontal="left" vertical="center" wrapText="1"/>
    </xf>
    <xf numFmtId="0" fontId="5" fillId="0" borderId="20" xfId="0" applyFont="1" applyBorder="1" applyAlignment="1">
      <alignment horizontal="left" vertical="center" wrapText="1"/>
    </xf>
    <xf numFmtId="0" fontId="5" fillId="0" borderId="22" xfId="0" applyFont="1" applyBorder="1" applyAlignment="1">
      <alignment horizontal="left" vertical="center" wrapText="1"/>
    </xf>
    <xf numFmtId="0" fontId="4" fillId="0" borderId="8" xfId="0" applyFont="1" applyBorder="1" applyAlignment="1">
      <alignment horizontal="left" wrapText="1"/>
    </xf>
    <xf numFmtId="0" fontId="4" fillId="0" borderId="10" xfId="0" applyFont="1" applyBorder="1" applyAlignment="1">
      <alignment horizontal="left" wrapText="1"/>
    </xf>
    <xf numFmtId="0" fontId="4" fillId="0" borderId="9" xfId="0" applyFont="1" applyBorder="1" applyAlignment="1">
      <alignment horizontal="left" wrapText="1"/>
    </xf>
    <xf numFmtId="169" fontId="5" fillId="0" borderId="8" xfId="1" applyNumberFormat="1" applyFont="1" applyFill="1" applyBorder="1" applyAlignment="1">
      <alignment horizontal="right" vertical="center" wrapText="1"/>
    </xf>
    <xf numFmtId="169" fontId="5" fillId="0" borderId="9" xfId="1" applyNumberFormat="1" applyFont="1" applyFill="1" applyBorder="1" applyAlignment="1">
      <alignment horizontal="right" vertical="center" wrapText="1"/>
    </xf>
    <xf numFmtId="0" fontId="5" fillId="0" borderId="44" xfId="0" applyFont="1" applyBorder="1" applyAlignment="1">
      <alignment horizontal="center" vertical="center" wrapText="1"/>
    </xf>
    <xf numFmtId="0" fontId="5" fillId="0" borderId="45" xfId="0" applyFont="1" applyBorder="1" applyAlignment="1">
      <alignment horizontal="center" vertical="center" wrapText="1"/>
    </xf>
    <xf numFmtId="44" fontId="5" fillId="0" borderId="8" xfId="0" applyNumberFormat="1" applyFont="1" applyBorder="1" applyAlignment="1">
      <alignment horizontal="left" wrapText="1"/>
    </xf>
    <xf numFmtId="44" fontId="5" fillId="0" borderId="10" xfId="0" applyNumberFormat="1" applyFont="1" applyBorder="1" applyAlignment="1">
      <alignment horizontal="left" wrapText="1"/>
    </xf>
    <xf numFmtId="44" fontId="5" fillId="0" borderId="9" xfId="0" applyNumberFormat="1" applyFont="1" applyBorder="1" applyAlignment="1">
      <alignment horizontal="left" wrapText="1"/>
    </xf>
    <xf numFmtId="0" fontId="4" fillId="0" borderId="0" xfId="0" applyFont="1" applyAlignment="1">
      <alignment horizontal="center" wrapText="1"/>
    </xf>
    <xf numFmtId="166" fontId="5" fillId="0" borderId="0" xfId="0" applyNumberFormat="1" applyFont="1" applyAlignment="1">
      <alignment horizontal="center" wrapText="1"/>
    </xf>
    <xf numFmtId="44" fontId="5" fillId="0" borderId="0" xfId="0" applyNumberFormat="1" applyFont="1" applyAlignment="1">
      <alignment horizontal="left" wrapText="1"/>
    </xf>
    <xf numFmtId="0" fontId="4" fillId="0" borderId="0" xfId="0" applyFont="1" applyAlignment="1">
      <alignment vertical="center"/>
    </xf>
    <xf numFmtId="0" fontId="4" fillId="0" borderId="0" xfId="0" applyFont="1" applyAlignment="1">
      <alignment horizontal="center"/>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13" fillId="0" borderId="9" xfId="0" applyFont="1" applyBorder="1" applyAlignment="1">
      <alignment horizontal="left" vertical="top" wrapText="1"/>
    </xf>
    <xf numFmtId="0" fontId="13" fillId="0" borderId="8" xfId="0" applyFont="1" applyBorder="1" applyAlignment="1">
      <alignment horizontal="left"/>
    </xf>
    <xf numFmtId="0" fontId="13" fillId="0" borderId="10" xfId="0" applyFont="1" applyBorder="1" applyAlignment="1">
      <alignment horizontal="left"/>
    </xf>
    <xf numFmtId="0" fontId="13" fillId="0" borderId="9" xfId="0" applyFont="1" applyBorder="1" applyAlignment="1">
      <alignment horizontal="left"/>
    </xf>
    <xf numFmtId="0" fontId="13" fillId="0" borderId="8" xfId="0" applyFont="1" applyBorder="1" applyAlignment="1">
      <alignment horizontal="left" wrapText="1"/>
    </xf>
    <xf numFmtId="0" fontId="13" fillId="0" borderId="10"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4" fillId="0" borderId="13" xfId="0" applyFont="1" applyBorder="1" applyAlignment="1">
      <alignment horizontal="left" vertical="center" wrapText="1"/>
    </xf>
    <xf numFmtId="166" fontId="5" fillId="0" borderId="6" xfId="0" applyNumberFormat="1" applyFont="1" applyBorder="1" applyAlignment="1">
      <alignment horizont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13" fillId="0" borderId="17" xfId="0" applyFont="1" applyBorder="1" applyAlignment="1">
      <alignment horizontal="left" wrapText="1"/>
    </xf>
    <xf numFmtId="0" fontId="5" fillId="0" borderId="62" xfId="0" applyFont="1" applyBorder="1" applyAlignment="1">
      <alignment horizontal="center"/>
    </xf>
    <xf numFmtId="0" fontId="5" fillId="0" borderId="25" xfId="0" applyFont="1" applyBorder="1" applyAlignment="1">
      <alignment horizontal="center"/>
    </xf>
    <xf numFmtId="0" fontId="5" fillId="0" borderId="63" xfId="0" applyFont="1" applyBorder="1" applyAlignment="1">
      <alignment horizontal="center"/>
    </xf>
    <xf numFmtId="0" fontId="8" fillId="0" borderId="39" xfId="0" applyFont="1" applyBorder="1" applyAlignment="1">
      <alignment horizontal="left" vertical="center"/>
    </xf>
    <xf numFmtId="0" fontId="8" fillId="0" borderId="40" xfId="0" applyFont="1" applyBorder="1" applyAlignment="1">
      <alignment horizontal="left" vertical="center"/>
    </xf>
    <xf numFmtId="0" fontId="8" fillId="0" borderId="41" xfId="0" applyFont="1" applyBorder="1" applyAlignment="1">
      <alignment horizontal="left" vertical="center"/>
    </xf>
    <xf numFmtId="0" fontId="8" fillId="0" borderId="42" xfId="0" applyFont="1" applyBorder="1" applyAlignment="1">
      <alignment horizontal="left" vertical="center" wrapText="1"/>
    </xf>
    <xf numFmtId="0" fontId="8" fillId="0" borderId="25" xfId="0" applyFont="1" applyBorder="1" applyAlignment="1">
      <alignment horizontal="left" vertical="center" wrapText="1"/>
    </xf>
    <xf numFmtId="166" fontId="5" fillId="0" borderId="30" xfId="0" applyNumberFormat="1" applyFont="1" applyBorder="1" applyAlignment="1">
      <alignment horizontal="center" wrapText="1"/>
    </xf>
    <xf numFmtId="166" fontId="5" fillId="0" borderId="23" xfId="0" applyNumberFormat="1" applyFont="1" applyBorder="1" applyAlignment="1">
      <alignment horizontal="center" wrapText="1"/>
    </xf>
    <xf numFmtId="0" fontId="4" fillId="0" borderId="28" xfId="0" applyFont="1" applyBorder="1" applyAlignment="1">
      <alignment vertical="center"/>
    </xf>
    <xf numFmtId="0" fontId="4" fillId="0" borderId="29" xfId="0" applyFont="1" applyBorder="1" applyAlignment="1">
      <alignment vertical="center"/>
    </xf>
    <xf numFmtId="0" fontId="7" fillId="0" borderId="11" xfId="0" applyFont="1" applyBorder="1" applyAlignment="1">
      <alignment horizontal="left" vertical="center"/>
    </xf>
    <xf numFmtId="0" fontId="7" fillId="0" borderId="20" xfId="0" applyFont="1" applyBorder="1" applyAlignment="1">
      <alignment horizontal="left" vertical="center"/>
    </xf>
    <xf numFmtId="0" fontId="7" fillId="0" borderId="32" xfId="0" applyFont="1" applyBorder="1" applyAlignment="1">
      <alignment horizontal="left" vertical="center"/>
    </xf>
    <xf numFmtId="0" fontId="7" fillId="0" borderId="42" xfId="0" applyFont="1" applyBorder="1" applyAlignment="1">
      <alignment horizontal="left" vertical="center"/>
    </xf>
    <xf numFmtId="0" fontId="7" fillId="0" borderId="25" xfId="0" applyFont="1" applyBorder="1" applyAlignment="1">
      <alignment horizontal="left" vertical="center"/>
    </xf>
    <xf numFmtId="164" fontId="5" fillId="0" borderId="6" xfId="0" applyNumberFormat="1" applyFont="1" applyBorder="1" applyAlignment="1">
      <alignment horizontal="left" wrapText="1"/>
    </xf>
    <xf numFmtId="0" fontId="5" fillId="0" borderId="11" xfId="0" applyFont="1" applyBorder="1" applyAlignment="1">
      <alignment horizontal="right" wrapText="1"/>
    </xf>
    <xf numFmtId="0" fontId="5" fillId="0" borderId="20" xfId="0" applyFont="1" applyBorder="1" applyAlignment="1">
      <alignment horizontal="right" wrapText="1"/>
    </xf>
    <xf numFmtId="0" fontId="5" fillId="0" borderId="22" xfId="0" applyFont="1" applyBorder="1" applyAlignment="1">
      <alignment horizontal="right" wrapText="1"/>
    </xf>
    <xf numFmtId="0" fontId="4" fillId="0" borderId="10" xfId="0" applyFont="1" applyBorder="1" applyAlignment="1">
      <alignment horizontal="right" wrapText="1"/>
    </xf>
    <xf numFmtId="0" fontId="13" fillId="0" borderId="43" xfId="0" applyFont="1" applyBorder="1" applyAlignment="1">
      <alignment horizontal="left" wrapText="1"/>
    </xf>
    <xf numFmtId="0" fontId="13" fillId="0" borderId="44" xfId="0" applyFont="1" applyBorder="1" applyAlignment="1">
      <alignment horizontal="left" wrapText="1"/>
    </xf>
    <xf numFmtId="0" fontId="13" fillId="0" borderId="45" xfId="0" applyFont="1" applyBorder="1" applyAlignment="1">
      <alignment horizontal="left" wrapText="1"/>
    </xf>
    <xf numFmtId="0" fontId="5" fillId="0" borderId="72" xfId="0" applyFont="1" applyBorder="1" applyAlignment="1">
      <alignment horizontal="right"/>
    </xf>
    <xf numFmtId="169" fontId="5" fillId="0" borderId="54" xfId="0" applyNumberFormat="1" applyFont="1" applyBorder="1" applyAlignment="1">
      <alignment horizontal="right"/>
    </xf>
    <xf numFmtId="169" fontId="5" fillId="0" borderId="55" xfId="0" applyNumberFormat="1" applyFont="1" applyBorder="1" applyAlignment="1">
      <alignment horizontal="right"/>
    </xf>
    <xf numFmtId="169" fontId="5" fillId="0" borderId="56" xfId="0" applyNumberFormat="1" applyFont="1" applyBorder="1" applyAlignment="1">
      <alignment horizontal="right"/>
    </xf>
    <xf numFmtId="0" fontId="5" fillId="0" borderId="68"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4" fillId="0" borderId="8" xfId="0" applyFont="1" applyBorder="1" applyAlignment="1">
      <alignment horizontal="right"/>
    </xf>
    <xf numFmtId="0" fontId="4" fillId="0" borderId="10" xfId="0" applyFont="1" applyBorder="1" applyAlignment="1">
      <alignment horizontal="right"/>
    </xf>
    <xf numFmtId="0" fontId="4" fillId="0" borderId="9" xfId="0" applyFont="1" applyBorder="1" applyAlignment="1">
      <alignment horizontal="right"/>
    </xf>
    <xf numFmtId="0" fontId="4" fillId="0" borderId="6" xfId="0" applyFont="1" applyBorder="1" applyAlignment="1">
      <alignment vertical="center"/>
    </xf>
    <xf numFmtId="164" fontId="5" fillId="0" borderId="6" xfId="0" applyNumberFormat="1" applyFont="1" applyBorder="1" applyAlignment="1">
      <alignment horizontal="center"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9" xfId="0" applyFont="1" applyBorder="1" applyAlignment="1">
      <alignment horizontal="left" vertical="top" wrapText="1"/>
    </xf>
    <xf numFmtId="0" fontId="5" fillId="0" borderId="8" xfId="0" quotePrefix="1" applyFont="1" applyBorder="1" applyAlignment="1">
      <alignment horizontal="left" vertical="top" wrapText="1"/>
    </xf>
    <xf numFmtId="0" fontId="5" fillId="0" borderId="10" xfId="0" quotePrefix="1" applyFont="1" applyBorder="1" applyAlignment="1">
      <alignment horizontal="left" vertical="top" wrapText="1"/>
    </xf>
    <xf numFmtId="0" fontId="5" fillId="0" borderId="9" xfId="0" quotePrefix="1" applyFont="1" applyBorder="1" applyAlignment="1">
      <alignment horizontal="left" vertical="top" wrapText="1"/>
    </xf>
    <xf numFmtId="0" fontId="5" fillId="0" borderId="8" xfId="0" applyFont="1" applyBorder="1" applyAlignment="1">
      <alignment horizontal="left" vertical="top"/>
    </xf>
    <xf numFmtId="0" fontId="5" fillId="0" borderId="10" xfId="0" applyFont="1" applyBorder="1" applyAlignment="1">
      <alignment horizontal="left" vertical="top"/>
    </xf>
    <xf numFmtId="0" fontId="5" fillId="0" borderId="9" xfId="0" applyFont="1" applyBorder="1" applyAlignment="1">
      <alignment horizontal="left" vertical="top"/>
    </xf>
    <xf numFmtId="0" fontId="8" fillId="0" borderId="6" xfId="0" applyFont="1" applyBorder="1" applyAlignment="1">
      <alignment horizontal="left" vertical="top" wrapText="1"/>
    </xf>
    <xf numFmtId="0" fontId="5" fillId="0" borderId="30" xfId="0" applyFont="1" applyBorder="1" applyAlignment="1">
      <alignment wrapText="1"/>
    </xf>
    <xf numFmtId="0" fontId="5" fillId="0" borderId="31" xfId="0" applyFont="1" applyBorder="1"/>
    <xf numFmtId="0" fontId="5" fillId="0" borderId="23" xfId="0" applyFont="1" applyBorder="1"/>
    <xf numFmtId="0" fontId="5" fillId="0" borderId="6" xfId="0" applyFont="1" applyBorder="1" applyAlignment="1">
      <alignment wrapText="1"/>
    </xf>
    <xf numFmtId="0" fontId="5" fillId="0" borderId="6" xfId="0" applyFont="1" applyBorder="1"/>
    <xf numFmtId="0" fontId="5" fillId="0" borderId="6" xfId="0" applyFont="1" applyBorder="1" applyAlignment="1">
      <alignment horizontal="center" vertical="center" wrapText="1"/>
    </xf>
    <xf numFmtId="0" fontId="4" fillId="0" borderId="6" xfId="0" applyFont="1" applyBorder="1" applyAlignment="1">
      <alignment horizontal="center" vertical="center" wrapText="1"/>
    </xf>
    <xf numFmtId="0" fontId="5" fillId="0" borderId="21" xfId="0" applyFont="1" applyBorder="1" applyAlignment="1">
      <alignment wrapText="1"/>
    </xf>
    <xf numFmtId="0" fontId="5" fillId="0" borderId="0" xfId="0" applyFont="1" applyAlignment="1">
      <alignment wrapText="1"/>
    </xf>
    <xf numFmtId="0" fontId="5" fillId="0" borderId="37" xfId="0" applyFont="1" applyBorder="1" applyAlignment="1">
      <alignment wrapText="1"/>
    </xf>
    <xf numFmtId="0" fontId="5" fillId="0" borderId="24" xfId="0" applyFont="1" applyBorder="1" applyAlignment="1">
      <alignment wrapText="1"/>
    </xf>
    <xf numFmtId="0" fontId="5" fillId="0" borderId="25" xfId="0" applyFont="1" applyBorder="1" applyAlignment="1">
      <alignment wrapText="1"/>
    </xf>
    <xf numFmtId="0" fontId="5" fillId="0" borderId="26" xfId="0" applyFont="1" applyBorder="1" applyAlignment="1">
      <alignment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 fillId="0" borderId="10" xfId="0" applyFont="1" applyBorder="1" applyAlignment="1">
      <alignment horizontal="center" vertical="center"/>
    </xf>
    <xf numFmtId="0" fontId="5" fillId="0" borderId="24" xfId="0" applyFont="1" applyBorder="1" applyAlignment="1">
      <alignment horizontal="left" wrapText="1"/>
    </xf>
    <xf numFmtId="0" fontId="5" fillId="0" borderId="25" xfId="0" applyFont="1" applyBorder="1" applyAlignment="1">
      <alignment horizontal="left" wrapText="1"/>
    </xf>
    <xf numFmtId="0" fontId="5" fillId="0" borderId="26" xfId="0" applyFont="1" applyBorder="1" applyAlignment="1">
      <alignment horizontal="left" wrapText="1"/>
    </xf>
    <xf numFmtId="0" fontId="4" fillId="0" borderId="36" xfId="0" applyFont="1" applyBorder="1" applyAlignment="1">
      <alignment horizontal="center" vertical="top" wrapText="1"/>
    </xf>
    <xf numFmtId="0" fontId="4" fillId="0" borderId="29" xfId="0" applyFont="1" applyBorder="1" applyAlignment="1">
      <alignment horizontal="center" vertical="top" wrapText="1"/>
    </xf>
    <xf numFmtId="179" fontId="5" fillId="0" borderId="8" xfId="0" applyNumberFormat="1" applyFont="1" applyBorder="1" applyAlignment="1">
      <alignment horizontal="center" wrapText="1"/>
    </xf>
    <xf numFmtId="179" fontId="5" fillId="0" borderId="9" xfId="0" applyNumberFormat="1" applyFont="1" applyBorder="1" applyAlignment="1">
      <alignment horizontal="center" wrapText="1"/>
    </xf>
    <xf numFmtId="0" fontId="5" fillId="0" borderId="66" xfId="0" applyFont="1" applyBorder="1" applyAlignment="1">
      <alignment horizontal="left" wrapText="1"/>
    </xf>
    <xf numFmtId="0" fontId="5" fillId="0" borderId="62" xfId="0" applyFont="1" applyBorder="1" applyAlignment="1">
      <alignment horizontal="left" wrapText="1"/>
    </xf>
    <xf numFmtId="0" fontId="5" fillId="0" borderId="17" xfId="0" applyFont="1" applyBorder="1" applyAlignment="1">
      <alignment horizontal="center" wrapText="1"/>
    </xf>
    <xf numFmtId="0" fontId="5" fillId="0" borderId="18" xfId="0" applyFont="1" applyBorder="1" applyAlignment="1">
      <alignment horizontal="center" wrapText="1"/>
    </xf>
    <xf numFmtId="0" fontId="4" fillId="0" borderId="52" xfId="0" applyFont="1" applyBorder="1" applyAlignment="1">
      <alignment horizontal="center" vertical="top" wrapText="1"/>
    </xf>
    <xf numFmtId="0" fontId="4" fillId="0" borderId="65" xfId="0" applyFont="1" applyBorder="1" applyAlignment="1">
      <alignment horizontal="center"/>
    </xf>
    <xf numFmtId="0" fontId="5" fillId="0" borderId="21" xfId="0" applyFont="1" applyBorder="1" applyAlignment="1">
      <alignment horizontal="left" wrapText="1"/>
    </xf>
    <xf numFmtId="0" fontId="5" fillId="0" borderId="0" xfId="0" applyFont="1" applyAlignment="1">
      <alignment horizontal="left" wrapText="1"/>
    </xf>
    <xf numFmtId="0" fontId="5" fillId="0" borderId="37" xfId="0" applyFont="1" applyBorder="1" applyAlignment="1">
      <alignment horizontal="left" wrapText="1"/>
    </xf>
    <xf numFmtId="0" fontId="14" fillId="0" borderId="57"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0" xfId="0" applyFont="1" applyAlignment="1">
      <alignment horizontal="center" vertical="center" wrapText="1"/>
    </xf>
    <xf numFmtId="0" fontId="14" fillId="0" borderId="61"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63" xfId="0" applyFont="1" applyBorder="1" applyAlignment="1">
      <alignment horizontal="center" vertical="center" wrapText="1"/>
    </xf>
    <xf numFmtId="0" fontId="4" fillId="0" borderId="57" xfId="0" applyFont="1" applyBorder="1" applyAlignment="1">
      <alignment horizontal="center"/>
    </xf>
    <xf numFmtId="0" fontId="4" fillId="0" borderId="50" xfId="0" applyFont="1" applyBorder="1" applyAlignment="1">
      <alignment horizontal="center"/>
    </xf>
    <xf numFmtId="0" fontId="4" fillId="0" borderId="58" xfId="0" applyFont="1" applyBorder="1" applyAlignment="1">
      <alignment horizontal="center"/>
    </xf>
    <xf numFmtId="0" fontId="4" fillId="0" borderId="31" xfId="0" applyFont="1" applyBorder="1" applyAlignment="1">
      <alignment horizontal="center"/>
    </xf>
    <xf numFmtId="164" fontId="4" fillId="0" borderId="58" xfId="0" applyNumberFormat="1" applyFont="1" applyBorder="1" applyAlignment="1">
      <alignment horizontal="center" wrapText="1"/>
    </xf>
    <xf numFmtId="164" fontId="4" fillId="0" borderId="31" xfId="0" applyNumberFormat="1" applyFont="1" applyBorder="1" applyAlignment="1">
      <alignment horizontal="center" wrapText="1"/>
    </xf>
    <xf numFmtId="0" fontId="4" fillId="0" borderId="58" xfId="0" applyFont="1" applyBorder="1" applyAlignment="1">
      <alignment horizontal="center" wrapText="1"/>
    </xf>
    <xf numFmtId="0" fontId="4" fillId="0" borderId="31" xfId="0" applyFont="1" applyBorder="1" applyAlignment="1">
      <alignment horizontal="center" wrapText="1"/>
    </xf>
    <xf numFmtId="0" fontId="4" fillId="0" borderId="59" xfId="0" applyFont="1" applyBorder="1" applyAlignment="1">
      <alignment horizontal="center" wrapText="1"/>
    </xf>
    <xf numFmtId="0" fontId="4" fillId="0" borderId="51" xfId="0" applyFont="1" applyBorder="1" applyAlignment="1">
      <alignment horizontal="center" wrapText="1"/>
    </xf>
    <xf numFmtId="0" fontId="4" fillId="0" borderId="10" xfId="0" applyFont="1" applyBorder="1" applyAlignment="1">
      <alignment horizontal="center"/>
    </xf>
    <xf numFmtId="7" fontId="5" fillId="0" borderId="19" xfId="0" applyNumberFormat="1" applyFont="1" applyBorder="1" applyAlignment="1">
      <alignment horizont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3" xfId="0" applyFont="1" applyBorder="1" applyAlignment="1">
      <alignment horizontal="center" wrapText="1"/>
    </xf>
    <xf numFmtId="0" fontId="5" fillId="0" borderId="44" xfId="0" applyFont="1" applyBorder="1" applyAlignment="1">
      <alignment horizontal="center" wrapText="1"/>
    </xf>
    <xf numFmtId="0" fontId="5" fillId="0" borderId="45" xfId="0" applyFont="1" applyBorder="1" applyAlignment="1">
      <alignment horizontal="center" wrapText="1"/>
    </xf>
    <xf numFmtId="44" fontId="5" fillId="0" borderId="11" xfId="2" applyFont="1" applyFill="1" applyBorder="1" applyAlignment="1">
      <alignment horizontal="center" vertical="center" wrapText="1"/>
    </xf>
    <xf numFmtId="44" fontId="5" fillId="0" borderId="20" xfId="2" applyFont="1" applyFill="1" applyBorder="1" applyAlignment="1">
      <alignment horizontal="center" vertical="center" wrapText="1"/>
    </xf>
    <xf numFmtId="0" fontId="8" fillId="0" borderId="6" xfId="0" applyFont="1" applyBorder="1" applyAlignment="1">
      <alignment vertical="center" wrapText="1"/>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4" fillId="0" borderId="4" xfId="0" applyFont="1" applyBorder="1" applyAlignment="1">
      <alignment horizontal="left" vertical="center"/>
    </xf>
    <xf numFmtId="44" fontId="5" fillId="0" borderId="8" xfId="2" applyFont="1" applyFill="1" applyBorder="1" applyAlignment="1">
      <alignment horizontal="center" vertical="center" wrapText="1"/>
    </xf>
    <xf numFmtId="44" fontId="5" fillId="0" borderId="10" xfId="2" applyFont="1" applyFill="1" applyBorder="1" applyAlignment="1">
      <alignment horizontal="center" vertical="center" wrapText="1"/>
    </xf>
    <xf numFmtId="0" fontId="5" fillId="0" borderId="6" xfId="0" applyFont="1" applyBorder="1" applyAlignment="1">
      <alignment horizontal="left" vertical="top" wrapText="1"/>
    </xf>
    <xf numFmtId="169" fontId="4" fillId="0" borderId="19" xfId="0" applyNumberFormat="1" applyFont="1" applyBorder="1" applyAlignment="1">
      <alignment horizontal="right"/>
    </xf>
    <xf numFmtId="0" fontId="7" fillId="0" borderId="54" xfId="0" applyFont="1" applyBorder="1" applyAlignment="1">
      <alignment horizontal="left" vertical="center"/>
    </xf>
    <xf numFmtId="0" fontId="7" fillId="0" borderId="55" xfId="0" applyFont="1" applyBorder="1" applyAlignment="1">
      <alignment horizontal="left" vertical="center"/>
    </xf>
    <xf numFmtId="0" fontId="7" fillId="0" borderId="56" xfId="0" applyFont="1" applyBorder="1" applyAlignment="1">
      <alignment horizontal="left" vertical="center"/>
    </xf>
    <xf numFmtId="0" fontId="7" fillId="0" borderId="0" xfId="0" applyFont="1" applyAlignment="1">
      <alignment horizontal="left" vertical="center"/>
    </xf>
    <xf numFmtId="166" fontId="4" fillId="0" borderId="43" xfId="0" applyNumberFormat="1" applyFont="1" applyBorder="1" applyAlignment="1">
      <alignment horizontal="right" wrapText="1"/>
    </xf>
    <xf numFmtId="166" fontId="4" fillId="0" borderId="44" xfId="0" applyNumberFormat="1" applyFont="1" applyBorder="1" applyAlignment="1">
      <alignment horizontal="right" wrapText="1"/>
    </xf>
    <xf numFmtId="166" fontId="4" fillId="0" borderId="45" xfId="0" applyNumberFormat="1" applyFont="1" applyBorder="1" applyAlignment="1">
      <alignment horizontal="right"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7" fillId="0" borderId="36" xfId="0" applyFont="1" applyBorder="1" applyAlignment="1">
      <alignment horizontal="left" vertical="center" wrapText="1"/>
    </xf>
    <xf numFmtId="169" fontId="3" fillId="0" borderId="28" xfId="1" applyNumberFormat="1" applyFont="1" applyFill="1" applyBorder="1" applyAlignment="1">
      <alignment horizontal="center" vertical="center" wrapText="1"/>
    </xf>
    <xf numFmtId="169" fontId="3" fillId="0" borderId="36" xfId="1" applyNumberFormat="1" applyFont="1" applyFill="1" applyBorder="1" applyAlignment="1">
      <alignment horizontal="center" vertical="center"/>
    </xf>
    <xf numFmtId="169" fontId="3" fillId="0" borderId="52" xfId="1" applyNumberFormat="1" applyFont="1" applyFill="1" applyBorder="1" applyAlignment="1">
      <alignment horizontal="center" vertical="center"/>
    </xf>
    <xf numFmtId="164" fontId="5" fillId="0" borderId="43" xfId="0" applyNumberFormat="1" applyFont="1" applyBorder="1" applyAlignment="1">
      <alignment horizontal="center" wrapText="1"/>
    </xf>
    <xf numFmtId="164" fontId="5" fillId="0" borderId="44" xfId="0" applyNumberFormat="1" applyFont="1" applyBorder="1" applyAlignment="1">
      <alignment horizontal="center" wrapText="1"/>
    </xf>
    <xf numFmtId="164" fontId="5" fillId="0" borderId="45" xfId="0" applyNumberFormat="1" applyFont="1" applyBorder="1" applyAlignment="1">
      <alignment horizont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51" xfId="0" applyFont="1" applyBorder="1" applyAlignment="1">
      <alignment horizontal="center" vertical="center" wrapText="1"/>
    </xf>
    <xf numFmtId="7" fontId="5" fillId="0" borderId="43" xfId="0" applyNumberFormat="1" applyFont="1" applyBorder="1" applyAlignment="1">
      <alignment horizontal="center" wrapText="1"/>
    </xf>
    <xf numFmtId="7" fontId="5" fillId="0" borderId="44" xfId="0" applyNumberFormat="1" applyFont="1" applyBorder="1" applyAlignment="1">
      <alignment horizontal="center" wrapText="1"/>
    </xf>
    <xf numFmtId="7" fontId="5" fillId="0" borderId="45" xfId="0" applyNumberFormat="1" applyFont="1" applyBorder="1" applyAlignment="1">
      <alignment horizontal="center" wrapText="1"/>
    </xf>
    <xf numFmtId="0" fontId="7" fillId="0" borderId="31" xfId="0" applyFont="1" applyBorder="1" applyAlignment="1">
      <alignment horizontal="left" vertical="center" wrapText="1"/>
    </xf>
    <xf numFmtId="0" fontId="7" fillId="0" borderId="36" xfId="0" applyFont="1" applyBorder="1" applyAlignment="1">
      <alignment horizontal="center" vertical="center" wrapText="1"/>
    </xf>
    <xf numFmtId="0" fontId="7" fillId="0" borderId="52" xfId="0" applyFont="1" applyBorder="1" applyAlignment="1">
      <alignment horizontal="center" vertical="center" wrapText="1"/>
    </xf>
    <xf numFmtId="0" fontId="8" fillId="0" borderId="19" xfId="0" applyFont="1" applyBorder="1" applyAlignment="1">
      <alignment vertical="center" wrapText="1"/>
    </xf>
    <xf numFmtId="0" fontId="5" fillId="0" borderId="19" xfId="0" applyFont="1" applyBorder="1" applyAlignment="1">
      <alignment wrapText="1"/>
    </xf>
    <xf numFmtId="0" fontId="5" fillId="0" borderId="19" xfId="0" quotePrefix="1" applyFont="1" applyBorder="1" applyAlignment="1">
      <alignment horizontal="left" vertical="top" wrapText="1"/>
    </xf>
    <xf numFmtId="0" fontId="5" fillId="0" borderId="19" xfId="0" applyFont="1" applyBorder="1" applyAlignment="1">
      <alignment horizontal="left" vertical="top"/>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0" fontId="5" fillId="0" borderId="6" xfId="0" quotePrefix="1" applyFont="1" applyBorder="1" applyAlignment="1">
      <alignment horizontal="left" vertical="top" wrapText="1"/>
    </xf>
    <xf numFmtId="0" fontId="5" fillId="0" borderId="6" xfId="0" applyFont="1" applyBorder="1" applyAlignment="1">
      <alignment horizontal="left" vertical="top"/>
    </xf>
    <xf numFmtId="0" fontId="5" fillId="0" borderId="30" xfId="0" applyFont="1" applyBorder="1" applyAlignment="1">
      <alignment horizontal="right" vertical="center"/>
    </xf>
    <xf numFmtId="0" fontId="5" fillId="0" borderId="23" xfId="0" applyFont="1" applyBorder="1" applyAlignment="1">
      <alignment horizontal="right"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9" xfId="0" applyFont="1" applyBorder="1" applyAlignment="1">
      <alignment horizontal="left" vertical="center"/>
    </xf>
    <xf numFmtId="0" fontId="5" fillId="0" borderId="32" xfId="0" applyFont="1" applyBorder="1" applyAlignment="1">
      <alignment horizontal="left" wrapText="1"/>
    </xf>
    <xf numFmtId="0" fontId="5" fillId="0" borderId="47" xfId="0" applyFont="1" applyBorder="1" applyAlignment="1">
      <alignment horizontal="left" wrapText="1"/>
    </xf>
    <xf numFmtId="0" fontId="4"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4" fillId="0" borderId="11" xfId="0" applyFont="1" applyBorder="1" applyAlignment="1">
      <alignment vertical="center"/>
    </xf>
    <xf numFmtId="0" fontId="4" fillId="0" borderId="22" xfId="0" applyFont="1" applyBorder="1" applyAlignment="1">
      <alignment vertical="center"/>
    </xf>
    <xf numFmtId="2" fontId="5" fillId="0" borderId="8" xfId="0" applyNumberFormat="1" applyFont="1" applyBorder="1" applyAlignment="1">
      <alignment horizontal="center" vertical="center" wrapText="1"/>
    </xf>
    <xf numFmtId="2" fontId="5" fillId="0" borderId="9" xfId="0" applyNumberFormat="1" applyFont="1" applyBorder="1" applyAlignment="1">
      <alignment horizontal="center" vertical="center" wrapText="1"/>
    </xf>
    <xf numFmtId="169" fontId="5" fillId="0" borderId="43" xfId="0" applyNumberFormat="1" applyFont="1" applyBorder="1" applyAlignment="1">
      <alignment horizontal="left" vertical="top" wrapText="1"/>
    </xf>
    <xf numFmtId="169" fontId="5" fillId="0" borderId="44" xfId="0" applyNumberFormat="1" applyFont="1" applyBorder="1" applyAlignment="1">
      <alignment horizontal="left" vertical="top" wrapText="1"/>
    </xf>
    <xf numFmtId="169" fontId="5" fillId="0" borderId="45" xfId="0" applyNumberFormat="1" applyFont="1" applyBorder="1" applyAlignment="1">
      <alignment horizontal="left" vertical="top" wrapText="1"/>
    </xf>
    <xf numFmtId="0" fontId="7" fillId="0" borderId="38" xfId="0" applyFont="1" applyBorder="1" applyAlignment="1">
      <alignment horizontal="left" vertical="center"/>
    </xf>
    <xf numFmtId="44" fontId="5" fillId="0" borderId="4" xfId="0" applyNumberFormat="1" applyFont="1" applyBorder="1" applyAlignment="1">
      <alignment horizontal="left" wrapText="1"/>
    </xf>
    <xf numFmtId="0" fontId="8" fillId="0" borderId="38" xfId="0" applyFont="1" applyBorder="1" applyAlignment="1">
      <alignment horizontal="left" vertical="center"/>
    </xf>
    <xf numFmtId="0" fontId="8" fillId="0" borderId="42" xfId="0" applyFont="1" applyBorder="1" applyAlignment="1">
      <alignment horizontal="left" vertical="top" wrapText="1"/>
    </xf>
    <xf numFmtId="0" fontId="8" fillId="0" borderId="42" xfId="0" applyFont="1" applyBorder="1" applyAlignment="1">
      <alignment horizontal="left" vertical="top"/>
    </xf>
    <xf numFmtId="0" fontId="8" fillId="0" borderId="25" xfId="0" applyFont="1" applyBorder="1" applyAlignment="1">
      <alignment horizontal="left" vertical="top"/>
    </xf>
    <xf numFmtId="49" fontId="8" fillId="0" borderId="8" xfId="0" applyNumberFormat="1" applyFont="1" applyBorder="1" applyAlignment="1">
      <alignment horizontal="left" vertical="center"/>
    </xf>
    <xf numFmtId="49" fontId="8" fillId="0" borderId="10" xfId="0" applyNumberFormat="1" applyFont="1" applyBorder="1" applyAlignment="1">
      <alignment horizontal="left" vertical="center"/>
    </xf>
    <xf numFmtId="49" fontId="8" fillId="0" borderId="9" xfId="0" applyNumberFormat="1" applyFont="1" applyBorder="1" applyAlignment="1">
      <alignment horizontal="left" vertical="center"/>
    </xf>
    <xf numFmtId="49" fontId="8" fillId="0" borderId="30" xfId="0" applyNumberFormat="1" applyFont="1" applyBorder="1" applyAlignment="1">
      <alignment horizontal="left" vertical="center"/>
    </xf>
    <xf numFmtId="49" fontId="8" fillId="0" borderId="31" xfId="0" applyNumberFormat="1" applyFont="1" applyBorder="1" applyAlignment="1">
      <alignment horizontal="left" vertical="center"/>
    </xf>
    <xf numFmtId="49" fontId="8" fillId="0" borderId="23" xfId="0" applyNumberFormat="1" applyFont="1" applyBorder="1" applyAlignment="1">
      <alignment horizontal="left" vertical="center"/>
    </xf>
    <xf numFmtId="166" fontId="5" fillId="0" borderId="19" xfId="0" applyNumberFormat="1" applyFont="1" applyBorder="1" applyAlignment="1">
      <alignment horizontal="center" wrapText="1"/>
    </xf>
    <xf numFmtId="0" fontId="4" fillId="0" borderId="4" xfId="0" applyFont="1" applyBorder="1" applyAlignment="1">
      <alignment vertical="center" wrapText="1"/>
    </xf>
    <xf numFmtId="0" fontId="7" fillId="0" borderId="6" xfId="0" applyFont="1" applyBorder="1" applyAlignment="1">
      <alignment horizontal="left" vertical="center"/>
    </xf>
    <xf numFmtId="0" fontId="5" fillId="0" borderId="31" xfId="0" applyFont="1" applyBorder="1" applyAlignment="1">
      <alignment horizontal="center" vertical="center" wrapText="1"/>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5" fillId="0" borderId="6"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5" fillId="2" borderId="1" xfId="0" applyFont="1" applyFill="1" applyBorder="1" applyAlignment="1">
      <alignment horizontal="left" vertical="top" wrapText="1"/>
    </xf>
    <xf numFmtId="0" fontId="5" fillId="2" borderId="2" xfId="0" applyFont="1" applyFill="1" applyBorder="1" applyAlignment="1">
      <alignment horizontal="left" vertical="top" wrapText="1"/>
    </xf>
    <xf numFmtId="0" fontId="5" fillId="2" borderId="3" xfId="0" applyFont="1" applyFill="1" applyBorder="1" applyAlignment="1">
      <alignment horizontal="left" vertical="top" wrapText="1"/>
    </xf>
    <xf numFmtId="0" fontId="4" fillId="0" borderId="53" xfId="0" applyFont="1" applyBorder="1" applyAlignment="1">
      <alignment horizontal="center" vertical="center"/>
    </xf>
    <xf numFmtId="0" fontId="4" fillId="0" borderId="36" xfId="0" applyFont="1" applyBorder="1" applyAlignment="1">
      <alignment horizontal="center" vertical="center"/>
    </xf>
    <xf numFmtId="0" fontId="4" fillId="0" borderId="52" xfId="0" applyFont="1" applyBorder="1" applyAlignment="1">
      <alignment horizontal="center" vertical="center"/>
    </xf>
    <xf numFmtId="0" fontId="5" fillId="0" borderId="15" xfId="0" applyFont="1" applyBorder="1" applyAlignment="1">
      <alignment horizontal="left" vertical="top" wrapText="1"/>
    </xf>
    <xf numFmtId="0" fontId="5" fillId="0" borderId="7" xfId="0" applyFont="1" applyBorder="1" applyAlignment="1">
      <alignment horizontal="left" vertical="top" wrapText="1"/>
    </xf>
    <xf numFmtId="0" fontId="4" fillId="2" borderId="1" xfId="0" applyFont="1" applyFill="1" applyBorder="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29" xfId="0" applyFont="1" applyFill="1" applyBorder="1" applyAlignment="1">
      <alignment horizontal="center"/>
    </xf>
    <xf numFmtId="0" fontId="21" fillId="3" borderId="13" xfId="0" applyFont="1" applyFill="1" applyBorder="1" applyAlignment="1">
      <alignment horizontal="center"/>
    </xf>
    <xf numFmtId="0" fontId="21" fillId="3" borderId="14" xfId="0" applyFont="1" applyFill="1" applyBorder="1" applyAlignment="1">
      <alignment horizontal="center"/>
    </xf>
    <xf numFmtId="0" fontId="21" fillId="3" borderId="53" xfId="0" applyFont="1" applyFill="1" applyBorder="1" applyAlignment="1">
      <alignment horizontal="center"/>
    </xf>
    <xf numFmtId="0" fontId="21" fillId="3" borderId="36" xfId="0" applyFont="1" applyFill="1" applyBorder="1" applyAlignment="1">
      <alignment horizontal="center"/>
    </xf>
    <xf numFmtId="0" fontId="21" fillId="3" borderId="12" xfId="0" applyFont="1" applyFill="1" applyBorder="1" applyAlignment="1">
      <alignment horizontal="center"/>
    </xf>
    <xf numFmtId="0" fontId="0" fillId="0" borderId="6" xfId="0" applyBorder="1" applyAlignment="1">
      <alignment horizontal="left" vertical="top" wrapText="1"/>
    </xf>
    <xf numFmtId="0" fontId="0" fillId="0" borderId="6" xfId="0" applyBorder="1" applyAlignment="1">
      <alignment horizontal="left" vertical="top"/>
    </xf>
    <xf numFmtId="0" fontId="25" fillId="0" borderId="0" xfId="0" applyFont="1" applyAlignment="1">
      <alignment horizontal="left" vertical="center" wrapText="1"/>
    </xf>
    <xf numFmtId="0" fontId="4" fillId="0" borderId="25" xfId="0" applyFont="1" applyBorder="1" applyAlignment="1">
      <alignment horizontal="center"/>
    </xf>
    <xf numFmtId="0" fontId="0" fillId="0" borderId="8" xfId="0"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left" wrapText="1"/>
    </xf>
    <xf numFmtId="0" fontId="26" fillId="5" borderId="6" xfId="0" applyFont="1" applyFill="1" applyBorder="1" applyAlignment="1">
      <alignment horizontal="center" wrapText="1"/>
    </xf>
    <xf numFmtId="0" fontId="26" fillId="3" borderId="6" xfId="0" applyFont="1" applyFill="1" applyBorder="1" applyAlignment="1">
      <alignment horizontal="center" wrapText="1"/>
    </xf>
  </cellXfs>
  <cellStyles count="7">
    <cellStyle name="Comma" xfId="1" builtinId="3"/>
    <cellStyle name="Currency" xfId="2" builtinId="4"/>
    <cellStyle name="Normal" xfId="0" builtinId="0"/>
    <cellStyle name="Normal 6 3" xfId="4" xr:uid="{C4583CA4-F195-4214-B861-FC595D4AE34C}"/>
    <cellStyle name="Normal_cost factors v5" xfId="5" xr:uid="{2A99B99F-F391-4286-BED7-002373748035}"/>
    <cellStyle name="Normal_Sheet1" xfId="6" xr:uid="{40E906C9-6A07-44F8-98B3-962CDDF199F7}"/>
    <cellStyle name="Percent" xfId="3" builtinId="5"/>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672</xdr:row>
          <xdr:rowOff>333375</xdr:rowOff>
        </xdr:from>
        <xdr:to>
          <xdr:col>1</xdr:col>
          <xdr:colOff>0</xdr:colOff>
          <xdr:row>672</xdr:row>
          <xdr:rowOff>1143000</xdr:rowOff>
        </xdr:to>
        <xdr:sp macro="" textlink="">
          <xdr:nvSpPr>
            <xdr:cNvPr id="1025" name="Object 1" descr="FAC 1511 Study"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1596</xdr:row>
          <xdr:rowOff>447675</xdr:rowOff>
        </xdr:from>
        <xdr:to>
          <xdr:col>1</xdr:col>
          <xdr:colOff>0</xdr:colOff>
          <xdr:row>1598</xdr:row>
          <xdr:rowOff>338138</xdr:rowOff>
        </xdr:to>
        <xdr:sp macro="" textlink="">
          <xdr:nvSpPr>
            <xdr:cNvPr id="1026" name="Object 2" descr="FAC 2131 RUC _FY2011 CNIC Study"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578574</xdr:colOff>
      <xdr:row>78</xdr:row>
      <xdr:rowOff>57150</xdr:rowOff>
    </xdr:to>
    <xdr:pic>
      <xdr:nvPicPr>
        <xdr:cNvPr id="2" name="Picture 1">
          <a:extLst>
            <a:ext uri="{FF2B5EF4-FFF2-40B4-BE49-F238E27FC236}">
              <a16:creationId xmlns:a16="http://schemas.microsoft.com/office/drawing/2014/main" id="{3690F378-F621-42A5-B581-62F087B5C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89474"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8</xdr:row>
          <xdr:rowOff>104775</xdr:rowOff>
        </xdr:from>
        <xdr:to>
          <xdr:col>0</xdr:col>
          <xdr:colOff>1485900</xdr:colOff>
          <xdr:row>8</xdr:row>
          <xdr:rowOff>790575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narayan\Downloads\FY2023%20PUC%20Supporting%20Documentation%207%20July%202023%20for%20Distribution%20(3).xlsx" TargetMode="External"/><Relationship Id="rId1" Type="http://schemas.openxmlformats.org/officeDocument/2006/relationships/externalLinkPath" Target="/Users/gnarayan/Downloads/FY2023%20PUC%20Supporting%20Documentation%207%20July%202023%20for%20Distribution%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3"/>
      <sheetName val="PUC Calculations FY2023"/>
      <sheetName val="2023 MILCON Inflation Table"/>
      <sheetName val="Mil Cost Premiums for PUCs"/>
      <sheetName val="M&amp;S Selection Business Rule"/>
      <sheetName val="2023 Elevator Rule"/>
      <sheetName val="2023 Overhead Crane Rule"/>
      <sheetName val="2023 Fire Sprinkler Rule"/>
      <sheetName val="Loading Dock Footnote"/>
      <sheetName val="Range Business Rules"/>
    </sheetNames>
    <sheetDataSet>
      <sheetData sheetId="0" refreshError="1"/>
      <sheetData sheetId="1"/>
      <sheetData sheetId="2">
        <row r="4">
          <cell r="F4">
            <v>1.6555629516459143</v>
          </cell>
        </row>
        <row r="5">
          <cell r="F5">
            <v>1.5862915104315582</v>
          </cell>
        </row>
        <row r="7">
          <cell r="F7">
            <v>1.7149658973720996</v>
          </cell>
        </row>
        <row r="8">
          <cell r="F8">
            <v>1.6732905027856291</v>
          </cell>
        </row>
        <row r="9">
          <cell r="F9">
            <v>1.6425241517617404</v>
          </cell>
        </row>
        <row r="10">
          <cell r="F10">
            <v>1.5845473099763927</v>
          </cell>
        </row>
        <row r="12">
          <cell r="F12">
            <v>1.4640481013141711</v>
          </cell>
        </row>
        <row r="13">
          <cell r="F13">
            <v>1.4090525299662979</v>
          </cell>
        </row>
        <row r="14">
          <cell r="F14">
            <v>1.3545159367405897</v>
          </cell>
        </row>
        <row r="15">
          <cell r="F15">
            <v>1.2839611975731238</v>
          </cell>
        </row>
        <row r="16">
          <cell r="F16">
            <v>1.2278483487290333</v>
          </cell>
        </row>
        <row r="17">
          <cell r="F17">
            <v>1.2152790130673263</v>
          </cell>
        </row>
        <row r="18">
          <cell r="F18">
            <v>1.1214155171577724</v>
          </cell>
        </row>
        <row r="19">
          <cell r="F19">
            <v>1</v>
          </cell>
        </row>
        <row r="21">
          <cell r="F21">
            <v>0.957411465768232</v>
          </cell>
        </row>
        <row r="22">
          <cell r="F22">
            <v>0.93771935922451721</v>
          </cell>
        </row>
      </sheetData>
      <sheetData sheetId="3">
        <row r="4">
          <cell r="A4">
            <v>1321</v>
          </cell>
          <cell r="B4" t="str">
            <v>COMMUNICATIONS FACILITY</v>
          </cell>
          <cell r="C4" t="str">
            <v>EA</v>
          </cell>
          <cell r="D4" t="str">
            <v>S</v>
          </cell>
          <cell r="F4">
            <v>1.0209999999999999</v>
          </cell>
          <cell r="R4">
            <v>1.0209999999999999</v>
          </cell>
        </row>
        <row r="5">
          <cell r="A5">
            <v>1341</v>
          </cell>
          <cell r="B5" t="str">
            <v>AIRCRAFT NAVIGATION FACILITY</v>
          </cell>
          <cell r="C5" t="str">
            <v>EA</v>
          </cell>
          <cell r="D5" t="str">
            <v>S</v>
          </cell>
          <cell r="F5">
            <v>1.0209999999999999</v>
          </cell>
          <cell r="R5">
            <v>1.0209999999999999</v>
          </cell>
        </row>
        <row r="6">
          <cell r="A6">
            <v>1351</v>
          </cell>
          <cell r="B6" t="str">
            <v>COMMUNICATION LINES</v>
          </cell>
          <cell r="C6" t="str">
            <v>MI</v>
          </cell>
          <cell r="D6" t="str">
            <v>LS</v>
          </cell>
          <cell r="F6">
            <v>1.0209999999999999</v>
          </cell>
          <cell r="R6">
            <v>1.0209999999999999</v>
          </cell>
        </row>
        <row r="7">
          <cell r="A7">
            <v>1362</v>
          </cell>
          <cell r="B7" t="str">
            <v>AIRFIELD LIGHTING</v>
          </cell>
          <cell r="C7" t="str">
            <v>EA</v>
          </cell>
          <cell r="D7" t="str">
            <v>S</v>
          </cell>
          <cell r="F7">
            <v>1.0209999999999999</v>
          </cell>
          <cell r="R7">
            <v>1.0209999999999999</v>
          </cell>
        </row>
        <row r="8">
          <cell r="A8">
            <v>1381</v>
          </cell>
          <cell r="B8" t="str">
            <v>SHIP NAVIGATION FACILITY</v>
          </cell>
          <cell r="C8" t="str">
            <v>EA</v>
          </cell>
          <cell r="D8" t="str">
            <v>S</v>
          </cell>
          <cell r="F8">
            <v>1.0209999999999999</v>
          </cell>
          <cell r="R8">
            <v>1.0209999999999999</v>
          </cell>
        </row>
        <row r="9">
          <cell r="A9">
            <v>1422</v>
          </cell>
          <cell r="B9" t="str">
            <v>HELIUM STORAGE FACILITY</v>
          </cell>
          <cell r="C9" t="str">
            <v>EA</v>
          </cell>
          <cell r="D9" t="str">
            <v>S</v>
          </cell>
          <cell r="F9">
            <v>1.0209999999999999</v>
          </cell>
          <cell r="R9">
            <v>1.0209999999999999</v>
          </cell>
        </row>
        <row r="10">
          <cell r="A10">
            <v>1431</v>
          </cell>
          <cell r="B10" t="str">
            <v>SHIP OPERATIONS BUILDING</v>
          </cell>
          <cell r="C10" t="str">
            <v>SF</v>
          </cell>
          <cell r="D10" t="str">
            <v>B</v>
          </cell>
          <cell r="E10">
            <v>1.0740000000000001</v>
          </cell>
          <cell r="F10">
            <v>1.0209999999999999</v>
          </cell>
          <cell r="G10">
            <v>1.0269999999999999</v>
          </cell>
          <cell r="H10">
            <v>1.0029999999999999</v>
          </cell>
          <cell r="I10">
            <v>1.0289999999999999</v>
          </cell>
          <cell r="J10">
            <v>1.0049999999999999</v>
          </cell>
          <cell r="K10">
            <v>1.026</v>
          </cell>
          <cell r="L10">
            <v>1.0129999999999999</v>
          </cell>
          <cell r="M10">
            <v>1.0029999999999999</v>
          </cell>
          <cell r="N10">
            <v>1.0029999999999999</v>
          </cell>
          <cell r="O10">
            <v>1.0209999999999999</v>
          </cell>
          <cell r="P10">
            <v>1.032</v>
          </cell>
          <cell r="Q10">
            <v>1.0349999999999999</v>
          </cell>
          <cell r="R10">
            <v>1.3319480854780448</v>
          </cell>
        </row>
        <row r="11">
          <cell r="A11">
            <v>1441</v>
          </cell>
          <cell r="B11" t="str">
            <v>PHOTO/TV PRODUCTION BUILDING</v>
          </cell>
          <cell r="C11" t="str">
            <v>SF</v>
          </cell>
          <cell r="D11" t="str">
            <v>B</v>
          </cell>
          <cell r="E11">
            <v>1.0740000000000001</v>
          </cell>
          <cell r="F11">
            <v>1.0209999999999999</v>
          </cell>
          <cell r="G11">
            <v>1.0269999999999999</v>
          </cell>
          <cell r="H11">
            <v>1.0029999999999999</v>
          </cell>
          <cell r="I11">
            <v>1.0289999999999999</v>
          </cell>
          <cell r="J11">
            <v>1.0049999999999999</v>
          </cell>
          <cell r="K11">
            <v>1.026</v>
          </cell>
          <cell r="L11">
            <v>1.0129999999999999</v>
          </cell>
          <cell r="M11">
            <v>1.0029999999999999</v>
          </cell>
          <cell r="N11">
            <v>1.0029999999999999</v>
          </cell>
          <cell r="O11">
            <v>1.0209999999999999</v>
          </cell>
          <cell r="P11">
            <v>1.032</v>
          </cell>
          <cell r="Q11">
            <v>1.0349999999999999</v>
          </cell>
          <cell r="R11">
            <v>1.3319480854780448</v>
          </cell>
        </row>
        <row r="12">
          <cell r="A12">
            <v>1442</v>
          </cell>
          <cell r="B12" t="str">
            <v>OPERATIONS SUPPORT LAB</v>
          </cell>
          <cell r="C12" t="str">
            <v>SF</v>
          </cell>
          <cell r="D12" t="str">
            <v>B</v>
          </cell>
          <cell r="E12">
            <v>1.0740000000000001</v>
          </cell>
          <cell r="F12">
            <v>1.0209999999999999</v>
          </cell>
          <cell r="G12">
            <v>1.0269999999999999</v>
          </cell>
          <cell r="H12">
            <v>1.0029999999999999</v>
          </cell>
          <cell r="I12">
            <v>1.0289999999999999</v>
          </cell>
          <cell r="J12">
            <v>1.0049999999999999</v>
          </cell>
          <cell r="K12">
            <v>1.026</v>
          </cell>
          <cell r="L12">
            <v>1.0129999999999999</v>
          </cell>
          <cell r="M12">
            <v>1.0029999999999999</v>
          </cell>
          <cell r="N12">
            <v>1.0029999999999999</v>
          </cell>
          <cell r="O12">
            <v>1.0209999999999999</v>
          </cell>
          <cell r="P12">
            <v>1.032</v>
          </cell>
          <cell r="Q12">
            <v>1.0349999999999999</v>
          </cell>
          <cell r="R12">
            <v>1.3319480854780448</v>
          </cell>
        </row>
        <row r="13">
          <cell r="A13">
            <v>1443</v>
          </cell>
          <cell r="B13" t="str">
            <v>OPERATIONS SUPPLY BUILDING</v>
          </cell>
          <cell r="C13" t="str">
            <v>SF</v>
          </cell>
          <cell r="D13" t="str">
            <v>B</v>
          </cell>
          <cell r="E13">
            <v>1.0740000000000001</v>
          </cell>
          <cell r="F13">
            <v>1.0209999999999999</v>
          </cell>
          <cell r="G13">
            <v>1.0269999999999999</v>
          </cell>
          <cell r="H13">
            <v>1.0029999999999999</v>
          </cell>
          <cell r="I13">
            <v>1.0289999999999999</v>
          </cell>
          <cell r="J13">
            <v>1.0049999999999999</v>
          </cell>
          <cell r="M13">
            <v>1.0029999999999999</v>
          </cell>
          <cell r="N13">
            <v>1.0029999999999999</v>
          </cell>
          <cell r="P13">
            <v>1.032</v>
          </cell>
          <cell r="Q13">
            <v>1.0349999999999999</v>
          </cell>
          <cell r="R13">
            <v>1.2551763558420395</v>
          </cell>
        </row>
        <row r="14">
          <cell r="A14">
            <v>1446</v>
          </cell>
          <cell r="B14" t="str">
            <v>SECURITY FORCE BUILDING</v>
          </cell>
          <cell r="C14" t="str">
            <v>SF</v>
          </cell>
          <cell r="D14" t="str">
            <v>B</v>
          </cell>
          <cell r="E14">
            <v>1.0740000000000001</v>
          </cell>
          <cell r="F14">
            <v>1.0209999999999999</v>
          </cell>
          <cell r="G14">
            <v>1.0269999999999999</v>
          </cell>
          <cell r="I14">
            <v>1.0289999999999999</v>
          </cell>
          <cell r="J14">
            <v>1.0049999999999999</v>
          </cell>
          <cell r="K14">
            <v>1.026</v>
          </cell>
          <cell r="L14">
            <v>1.0129999999999999</v>
          </cell>
          <cell r="M14">
            <v>1.0029999999999999</v>
          </cell>
          <cell r="N14">
            <v>1.0029999999999999</v>
          </cell>
          <cell r="O14">
            <v>1.0209999999999999</v>
          </cell>
          <cell r="P14">
            <v>1.032</v>
          </cell>
          <cell r="Q14">
            <v>1.0349999999999999</v>
          </cell>
          <cell r="R14">
            <v>1.3279641928993471</v>
          </cell>
        </row>
        <row r="15">
          <cell r="A15">
            <v>1463</v>
          </cell>
          <cell r="B15" t="str">
            <v>AIRCRAFT FIRING-IN BUTT</v>
          </cell>
          <cell r="C15" t="str">
            <v>EA</v>
          </cell>
          <cell r="F15">
            <v>1.0209999999999999</v>
          </cell>
          <cell r="G15">
            <v>1.0269999999999999</v>
          </cell>
          <cell r="P15">
            <v>1.032</v>
          </cell>
          <cell r="Q15">
            <v>1.0349999999999999</v>
          </cell>
          <cell r="R15">
            <v>1.1199953840399997</v>
          </cell>
        </row>
        <row r="16">
          <cell r="A16">
            <v>1491</v>
          </cell>
          <cell r="B16" t="str">
            <v>NUCLEAR WEAPONS SUPPORT FACILITY</v>
          </cell>
          <cell r="C16" t="str">
            <v>EA</v>
          </cell>
          <cell r="D16" t="str">
            <v>S</v>
          </cell>
          <cell r="E16">
            <v>1.0740000000000001</v>
          </cell>
          <cell r="F16">
            <v>1.0209999999999999</v>
          </cell>
          <cell r="G16">
            <v>1.0269999999999999</v>
          </cell>
          <cell r="O16">
            <v>1.0209999999999999</v>
          </cell>
          <cell r="P16">
            <v>1.032</v>
          </cell>
          <cell r="Q16">
            <v>1.0349999999999999</v>
          </cell>
          <cell r="R16">
            <v>1.2281354183505979</v>
          </cell>
        </row>
        <row r="17">
          <cell r="A17">
            <v>1493</v>
          </cell>
          <cell r="B17" t="str">
            <v>EXPLOSIVES RAILWAY HOLDING YARD</v>
          </cell>
          <cell r="C17" t="str">
            <v>EA</v>
          </cell>
          <cell r="D17" t="str">
            <v>S</v>
          </cell>
          <cell r="F17">
            <v>1.0209999999999999</v>
          </cell>
          <cell r="G17">
            <v>1.0269999999999999</v>
          </cell>
          <cell r="P17">
            <v>1.032</v>
          </cell>
          <cell r="Q17">
            <v>1.0349999999999999</v>
          </cell>
          <cell r="R17">
            <v>1.1199953840399997</v>
          </cell>
        </row>
        <row r="18">
          <cell r="A18">
            <v>1495</v>
          </cell>
          <cell r="B18" t="str">
            <v>REVETMENT</v>
          </cell>
          <cell r="C18" t="str">
            <v>EA</v>
          </cell>
          <cell r="D18" t="str">
            <v>S</v>
          </cell>
          <cell r="F18">
            <v>1.0209999999999999</v>
          </cell>
          <cell r="R18">
            <v>1.0209999999999999</v>
          </cell>
        </row>
        <row r="19">
          <cell r="A19">
            <v>1513</v>
          </cell>
          <cell r="B19" t="str">
            <v>PIER/WHARF ACCESS TRESTLE</v>
          </cell>
          <cell r="C19" t="str">
            <v>SY</v>
          </cell>
          <cell r="D19" t="str">
            <v>S</v>
          </cell>
          <cell r="F19">
            <v>1.0209999999999999</v>
          </cell>
          <cell r="P19">
            <v>1.032</v>
          </cell>
          <cell r="Q19">
            <v>1.0349999999999999</v>
          </cell>
          <cell r="R19">
            <v>1.0905505199999999</v>
          </cell>
        </row>
        <row r="20">
          <cell r="A20">
            <v>1541</v>
          </cell>
          <cell r="B20" t="str">
            <v>SHORE EROSION PREVENTION FACILITY</v>
          </cell>
          <cell r="C20" t="str">
            <v>LF</v>
          </cell>
          <cell r="D20" t="str">
            <v>S</v>
          </cell>
          <cell r="F20">
            <v>1.0209999999999999</v>
          </cell>
          <cell r="R20">
            <v>1.0209999999999999</v>
          </cell>
        </row>
        <row r="21">
          <cell r="A21">
            <v>1551</v>
          </cell>
          <cell r="B21" t="str">
            <v>SMALL CRAFT BERTHING</v>
          </cell>
          <cell r="C21" t="str">
            <v>FB</v>
          </cell>
          <cell r="D21" t="str">
            <v>S</v>
          </cell>
          <cell r="F21">
            <v>1.0209999999999999</v>
          </cell>
          <cell r="P21">
            <v>1.032</v>
          </cell>
          <cell r="Q21">
            <v>1.0349999999999999</v>
          </cell>
          <cell r="R21">
            <v>1.0905505199999999</v>
          </cell>
        </row>
        <row r="22">
          <cell r="A22">
            <v>1552</v>
          </cell>
          <cell r="B22" t="str">
            <v>SMALL CRAFT BUILDING</v>
          </cell>
          <cell r="C22" t="str">
            <v>SF</v>
          </cell>
          <cell r="D22" t="str">
            <v>B</v>
          </cell>
          <cell r="F22">
            <v>1.0209999999999999</v>
          </cell>
          <cell r="J22">
            <v>1.0049999999999999</v>
          </cell>
          <cell r="N22">
            <v>1.0029999999999999</v>
          </cell>
          <cell r="O22">
            <v>1.0209999999999999</v>
          </cell>
          <cell r="P22">
            <v>1.032</v>
          </cell>
          <cell r="Q22">
            <v>1.0349999999999999</v>
          </cell>
          <cell r="R22">
            <v>1.1223763993485734</v>
          </cell>
        </row>
        <row r="23">
          <cell r="A23">
            <v>1591</v>
          </cell>
          <cell r="B23" t="str">
            <v>MISCELLANEOUS WATERFRONT FACILITY</v>
          </cell>
          <cell r="C23" t="str">
            <v>EA</v>
          </cell>
          <cell r="D23" t="str">
            <v>S</v>
          </cell>
          <cell r="F23">
            <v>1.0209999999999999</v>
          </cell>
          <cell r="R23">
            <v>1.0209999999999999</v>
          </cell>
        </row>
        <row r="24">
          <cell r="A24">
            <v>1593</v>
          </cell>
          <cell r="B24" t="str">
            <v>WATER LAUNCH RAMP</v>
          </cell>
          <cell r="C24" t="str">
            <v>SY</v>
          </cell>
          <cell r="D24" t="str">
            <v>S</v>
          </cell>
          <cell r="F24">
            <v>1.0209999999999999</v>
          </cell>
          <cell r="R24">
            <v>1.0209999999999999</v>
          </cell>
        </row>
        <row r="25">
          <cell r="A25">
            <v>1641</v>
          </cell>
          <cell r="B25" t="str">
            <v>HARBOR MARINE IMPROVEMENTS</v>
          </cell>
          <cell r="C25" t="str">
            <v>LF</v>
          </cell>
          <cell r="D25" t="str">
            <v>S</v>
          </cell>
          <cell r="F25">
            <v>1.0209999999999999</v>
          </cell>
          <cell r="R25">
            <v>1.0209999999999999</v>
          </cell>
        </row>
        <row r="26">
          <cell r="A26">
            <v>1725</v>
          </cell>
          <cell r="B26" t="str">
            <v>TRAINING POOL AND TANK</v>
          </cell>
          <cell r="C26" t="str">
            <v>EA</v>
          </cell>
          <cell r="D26" t="str">
            <v>S</v>
          </cell>
          <cell r="F26">
            <v>1.0209999999999999</v>
          </cell>
          <cell r="G26">
            <v>1.0269999999999999</v>
          </cell>
          <cell r="L26">
            <v>1.0129999999999999</v>
          </cell>
          <cell r="N26">
            <v>1.0029999999999999</v>
          </cell>
          <cell r="P26">
            <v>1.032</v>
          </cell>
          <cell r="Q26">
            <v>1.0349999999999999</v>
          </cell>
          <cell r="R26">
            <v>1.1379589900046172</v>
          </cell>
        </row>
        <row r="27">
          <cell r="A27">
            <v>1726</v>
          </cell>
          <cell r="B27" t="str">
            <v>ENCLOSED FIRE FIGHTER TRAINER FACILITY</v>
          </cell>
          <cell r="C27" t="str">
            <v>SF</v>
          </cell>
          <cell r="D27" t="str">
            <v>B</v>
          </cell>
          <cell r="F27">
            <v>1.0209999999999999</v>
          </cell>
          <cell r="G27">
            <v>1.0269999999999999</v>
          </cell>
          <cell r="P27">
            <v>1.032</v>
          </cell>
          <cell r="R27">
            <v>1.0821211439999998</v>
          </cell>
        </row>
        <row r="28">
          <cell r="A28">
            <v>1745</v>
          </cell>
          <cell r="B28" t="str">
            <v>PARADE AND DRILL FIELD</v>
          </cell>
          <cell r="C28" t="str">
            <v>AC</v>
          </cell>
          <cell r="D28" t="str">
            <v>S</v>
          </cell>
          <cell r="F28">
            <v>1.0209999999999999</v>
          </cell>
          <cell r="R28">
            <v>1.0209999999999999</v>
          </cell>
        </row>
        <row r="29">
          <cell r="A29">
            <v>1750</v>
          </cell>
          <cell r="B29" t="str">
            <v>GENERAL PURPOSE SMALL ARMS RANGE</v>
          </cell>
          <cell r="C29" t="str">
            <v>FP</v>
          </cell>
          <cell r="D29" t="str">
            <v>S</v>
          </cell>
          <cell r="F29">
            <v>1.0209999999999999</v>
          </cell>
          <cell r="G29">
            <v>1.0269999999999999</v>
          </cell>
          <cell r="R29">
            <v>1.0485669999999998</v>
          </cell>
        </row>
        <row r="30">
          <cell r="A30">
            <v>1751</v>
          </cell>
          <cell r="B30" t="str">
            <v>ZERO RANGE</v>
          </cell>
          <cell r="C30" t="str">
            <v>FP</v>
          </cell>
          <cell r="D30" t="str">
            <v>S</v>
          </cell>
          <cell r="F30">
            <v>1.0209999999999999</v>
          </cell>
          <cell r="G30">
            <v>1.0269999999999999</v>
          </cell>
          <cell r="R30">
            <v>1.0485669999999998</v>
          </cell>
        </row>
        <row r="31">
          <cell r="A31">
            <v>1752</v>
          </cell>
          <cell r="B31" t="str">
            <v>FIELD FIRE RANGE</v>
          </cell>
          <cell r="C31" t="str">
            <v>FP</v>
          </cell>
          <cell r="D31" t="str">
            <v>S</v>
          </cell>
          <cell r="F31">
            <v>1.0209999999999999</v>
          </cell>
          <cell r="G31">
            <v>1.0269999999999999</v>
          </cell>
          <cell r="R31">
            <v>1.0485669999999998</v>
          </cell>
        </row>
        <row r="32">
          <cell r="A32">
            <v>1753</v>
          </cell>
          <cell r="B32" t="str">
            <v>RECORD FIRE RANGE</v>
          </cell>
          <cell r="C32" t="str">
            <v>FP</v>
          </cell>
          <cell r="D32" t="str">
            <v>S</v>
          </cell>
          <cell r="F32">
            <v>1.0209999999999999</v>
          </cell>
          <cell r="G32">
            <v>1.0269999999999999</v>
          </cell>
          <cell r="R32">
            <v>1.0485669999999998</v>
          </cell>
        </row>
        <row r="33">
          <cell r="A33">
            <v>1754</v>
          </cell>
          <cell r="B33" t="str">
            <v>NIGHT FIRE RANGE</v>
          </cell>
          <cell r="C33" t="str">
            <v>FP</v>
          </cell>
          <cell r="D33" t="str">
            <v>S</v>
          </cell>
          <cell r="F33">
            <v>1.0209999999999999</v>
          </cell>
          <cell r="G33">
            <v>1.0269999999999999</v>
          </cell>
          <cell r="R33">
            <v>1.0485669999999998</v>
          </cell>
        </row>
        <row r="34">
          <cell r="A34">
            <v>1755</v>
          </cell>
          <cell r="B34" t="str">
            <v>KNOWN DISTANCE RANGE</v>
          </cell>
          <cell r="C34" t="str">
            <v>FP</v>
          </cell>
          <cell r="D34" t="str">
            <v>S</v>
          </cell>
          <cell r="F34">
            <v>1.0209999999999999</v>
          </cell>
          <cell r="G34">
            <v>1.0269999999999999</v>
          </cell>
          <cell r="R34">
            <v>1.0485669999999998</v>
          </cell>
        </row>
        <row r="35">
          <cell r="A35">
            <v>1756</v>
          </cell>
          <cell r="B35" t="str">
            <v>SNIPER RANGE</v>
          </cell>
          <cell r="C35" t="str">
            <v>FP</v>
          </cell>
          <cell r="D35" t="str">
            <v>S</v>
          </cell>
          <cell r="F35">
            <v>1.0209999999999999</v>
          </cell>
          <cell r="G35">
            <v>1.0269999999999999</v>
          </cell>
          <cell r="R35">
            <v>1.0485669999999998</v>
          </cell>
        </row>
        <row r="36">
          <cell r="A36">
            <v>1757</v>
          </cell>
          <cell r="B36" t="str">
            <v>PISTOL RANGE</v>
          </cell>
          <cell r="C36" t="str">
            <v>FP</v>
          </cell>
          <cell r="D36" t="str">
            <v>S</v>
          </cell>
          <cell r="F36">
            <v>1.0209999999999999</v>
          </cell>
          <cell r="G36">
            <v>1.0269999999999999</v>
          </cell>
          <cell r="R36">
            <v>1.0485669999999998</v>
          </cell>
        </row>
        <row r="37">
          <cell r="A37">
            <v>1758</v>
          </cell>
          <cell r="B37" t="str">
            <v>MACHINEGUN RANGE</v>
          </cell>
          <cell r="C37" t="str">
            <v>FP</v>
          </cell>
          <cell r="D37" t="str">
            <v>S</v>
          </cell>
          <cell r="F37">
            <v>1.0209999999999999</v>
          </cell>
          <cell r="G37">
            <v>1.0269999999999999</v>
          </cell>
          <cell r="R37">
            <v>1.0485669999999998</v>
          </cell>
        </row>
        <row r="38">
          <cell r="A38">
            <v>1760</v>
          </cell>
          <cell r="B38" t="str">
            <v>GENERAL PURPOSE DIRECT FIRE RANGE</v>
          </cell>
          <cell r="C38" t="str">
            <v>FP</v>
          </cell>
          <cell r="D38" t="str">
            <v>S</v>
          </cell>
          <cell r="F38">
            <v>1.0209999999999999</v>
          </cell>
          <cell r="G38">
            <v>1.0269999999999999</v>
          </cell>
          <cell r="R38">
            <v>1.0485669999999998</v>
          </cell>
        </row>
        <row r="39">
          <cell r="A39">
            <v>1761</v>
          </cell>
          <cell r="B39" t="str">
            <v>GRENADE LAUNCHER RANGE</v>
          </cell>
          <cell r="C39" t="str">
            <v>FP</v>
          </cell>
          <cell r="D39" t="str">
            <v>S</v>
          </cell>
          <cell r="F39">
            <v>1.0209999999999999</v>
          </cell>
          <cell r="G39">
            <v>1.0269999999999999</v>
          </cell>
          <cell r="R39">
            <v>1.0485669999999998</v>
          </cell>
        </row>
        <row r="40">
          <cell r="A40">
            <v>1762</v>
          </cell>
          <cell r="B40" t="str">
            <v>GRENADE MACHINEGUN RANGE</v>
          </cell>
          <cell r="C40" t="str">
            <v>LN</v>
          </cell>
          <cell r="D40" t="str">
            <v>S</v>
          </cell>
          <cell r="F40">
            <v>1.0209999999999999</v>
          </cell>
          <cell r="G40">
            <v>1.0269999999999999</v>
          </cell>
          <cell r="R40">
            <v>1.0485669999999998</v>
          </cell>
        </row>
        <row r="41">
          <cell r="A41">
            <v>1763</v>
          </cell>
          <cell r="B41" t="str">
            <v>LIGHT ANTIARMOR WEAPON RANGE</v>
          </cell>
          <cell r="C41" t="str">
            <v>FP</v>
          </cell>
          <cell r="D41" t="str">
            <v>S</v>
          </cell>
          <cell r="F41">
            <v>1.0209999999999999</v>
          </cell>
          <cell r="G41">
            <v>1.0269999999999999</v>
          </cell>
          <cell r="R41">
            <v>1.0485669999999998</v>
          </cell>
        </row>
        <row r="42">
          <cell r="A42">
            <v>1764</v>
          </cell>
          <cell r="B42" t="str">
            <v>HEAVY ANTIARMOR WEAPON RANGE</v>
          </cell>
          <cell r="C42" t="str">
            <v>LN</v>
          </cell>
          <cell r="D42" t="str">
            <v>S</v>
          </cell>
          <cell r="F42">
            <v>1.0209999999999999</v>
          </cell>
          <cell r="G42">
            <v>1.0269999999999999</v>
          </cell>
          <cell r="R42">
            <v>1.0485669999999998</v>
          </cell>
        </row>
        <row r="43">
          <cell r="A43">
            <v>1765</v>
          </cell>
          <cell r="B43" t="str">
            <v>ARTILLERY DIRECT FIRE RANGE</v>
          </cell>
          <cell r="C43" t="str">
            <v>EA</v>
          </cell>
          <cell r="D43" t="str">
            <v>S</v>
          </cell>
          <cell r="F43">
            <v>1.0209999999999999</v>
          </cell>
          <cell r="G43">
            <v>1.0269999999999999</v>
          </cell>
          <cell r="R43">
            <v>1.0485669999999998</v>
          </cell>
        </row>
        <row r="44">
          <cell r="A44">
            <v>1766</v>
          </cell>
          <cell r="B44" t="str">
            <v>TANK STATIONARY GUNNERY RANGE</v>
          </cell>
          <cell r="C44" t="str">
            <v>EA</v>
          </cell>
          <cell r="D44" t="str">
            <v>S</v>
          </cell>
          <cell r="F44">
            <v>1.0209999999999999</v>
          </cell>
          <cell r="G44">
            <v>1.0269999999999999</v>
          </cell>
          <cell r="R44">
            <v>1.0485669999999998</v>
          </cell>
        </row>
        <row r="45">
          <cell r="A45">
            <v>1767</v>
          </cell>
          <cell r="B45" t="str">
            <v>INDIRECT FIRE RANGE</v>
          </cell>
          <cell r="C45" t="str">
            <v>EA</v>
          </cell>
          <cell r="D45" t="str">
            <v>S</v>
          </cell>
          <cell r="F45">
            <v>1.0209999999999999</v>
          </cell>
          <cell r="G45">
            <v>1.0269999999999999</v>
          </cell>
          <cell r="R45">
            <v>1.0485669999999998</v>
          </cell>
        </row>
        <row r="46">
          <cell r="A46">
            <v>1768</v>
          </cell>
          <cell r="B46" t="str">
            <v>SCALED INDIRECT FIRE RANGE</v>
          </cell>
          <cell r="C46" t="str">
            <v>EA</v>
          </cell>
          <cell r="D46" t="str">
            <v>S</v>
          </cell>
          <cell r="F46">
            <v>1.0209999999999999</v>
          </cell>
          <cell r="G46">
            <v>1.0269999999999999</v>
          </cell>
          <cell r="R46">
            <v>1.0485669999999998</v>
          </cell>
        </row>
        <row r="47">
          <cell r="A47">
            <v>1769</v>
          </cell>
          <cell r="B47" t="str">
            <v>SCALED GUNNERY RANGE</v>
          </cell>
          <cell r="C47" t="str">
            <v>EA</v>
          </cell>
          <cell r="D47" t="str">
            <v>S</v>
          </cell>
          <cell r="F47">
            <v>1.0209999999999999</v>
          </cell>
          <cell r="G47">
            <v>1.0269999999999999</v>
          </cell>
          <cell r="R47">
            <v>1.0485669999999998</v>
          </cell>
        </row>
        <row r="48">
          <cell r="A48">
            <v>1771</v>
          </cell>
          <cell r="B48" t="str">
            <v>ARMOR VEHICLE CREW TRAINING RANGE</v>
          </cell>
          <cell r="C48" t="str">
            <v>LN</v>
          </cell>
          <cell r="D48" t="str">
            <v>S</v>
          </cell>
          <cell r="F48">
            <v>1.0209999999999999</v>
          </cell>
          <cell r="G48">
            <v>1.0269999999999999</v>
          </cell>
          <cell r="P48">
            <v>1.032</v>
          </cell>
          <cell r="R48">
            <v>1.0821211439999998</v>
          </cell>
        </row>
        <row r="49">
          <cell r="A49">
            <v>1772</v>
          </cell>
          <cell r="B49" t="str">
            <v>ARMOR VEHICLE UNIT TRAINING RANGE</v>
          </cell>
          <cell r="C49" t="str">
            <v>EA</v>
          </cell>
          <cell r="D49" t="str">
            <v>S</v>
          </cell>
          <cell r="F49">
            <v>1.0209999999999999</v>
          </cell>
          <cell r="G49">
            <v>1.0269999999999999</v>
          </cell>
          <cell r="P49">
            <v>1.032</v>
          </cell>
          <cell r="R49">
            <v>1.0821211439999998</v>
          </cell>
        </row>
        <row r="50">
          <cell r="A50">
            <v>1773</v>
          </cell>
          <cell r="B50" t="str">
            <v>FIRE AND MOVEMENT RANGE</v>
          </cell>
          <cell r="C50" t="str">
            <v>LN</v>
          </cell>
          <cell r="D50" t="str">
            <v>S</v>
          </cell>
          <cell r="F50">
            <v>1.0209999999999999</v>
          </cell>
          <cell r="G50">
            <v>1.0269999999999999</v>
          </cell>
          <cell r="R50">
            <v>1.0485669999999998</v>
          </cell>
        </row>
        <row r="51">
          <cell r="A51">
            <v>1774</v>
          </cell>
          <cell r="B51" t="str">
            <v>SQUAD DEFENSE RANGE</v>
          </cell>
          <cell r="C51" t="str">
            <v>EA</v>
          </cell>
          <cell r="D51" t="str">
            <v>S</v>
          </cell>
          <cell r="F51">
            <v>1.0209999999999999</v>
          </cell>
          <cell r="G51">
            <v>1.0269999999999999</v>
          </cell>
          <cell r="R51">
            <v>1.0485669999999998</v>
          </cell>
        </row>
        <row r="52">
          <cell r="A52">
            <v>1775</v>
          </cell>
          <cell r="B52" t="str">
            <v>INFANTRY BATTLE COURSE</v>
          </cell>
          <cell r="C52" t="str">
            <v>EA</v>
          </cell>
          <cell r="D52" t="str">
            <v>S</v>
          </cell>
          <cell r="F52">
            <v>1.0209999999999999</v>
          </cell>
          <cell r="G52">
            <v>1.0269999999999999</v>
          </cell>
          <cell r="R52">
            <v>1.0485669999999998</v>
          </cell>
        </row>
        <row r="53">
          <cell r="A53">
            <v>1776</v>
          </cell>
          <cell r="B53" t="str">
            <v>URBAN COMBAT TRAINING RANGE</v>
          </cell>
          <cell r="C53" t="str">
            <v>EA</v>
          </cell>
          <cell r="D53" t="str">
            <v>S</v>
          </cell>
          <cell r="F53">
            <v>1.0209999999999999</v>
          </cell>
          <cell r="G53">
            <v>1.0269999999999999</v>
          </cell>
          <cell r="P53">
            <v>1.032</v>
          </cell>
          <cell r="R53">
            <v>1.0821211439999998</v>
          </cell>
        </row>
        <row r="54">
          <cell r="A54">
            <v>1777</v>
          </cell>
          <cell r="B54" t="str">
            <v>CONVOY LIVE FIRE RANGE</v>
          </cell>
          <cell r="C54" t="str">
            <v>FP</v>
          </cell>
          <cell r="D54" t="str">
            <v>S</v>
          </cell>
          <cell r="F54">
            <v>1.0209999999999999</v>
          </cell>
          <cell r="G54">
            <v>1.0269999999999999</v>
          </cell>
          <cell r="R54">
            <v>1.0485669999999998</v>
          </cell>
        </row>
        <row r="55">
          <cell r="A55">
            <v>1781</v>
          </cell>
          <cell r="B55" t="str">
            <v>LIVE HAND GRENADE RANGE</v>
          </cell>
          <cell r="C55" t="str">
            <v>FP</v>
          </cell>
          <cell r="D55" t="str">
            <v>S</v>
          </cell>
          <cell r="F55">
            <v>1.0209999999999999</v>
          </cell>
          <cell r="G55">
            <v>1.0269999999999999</v>
          </cell>
          <cell r="R55">
            <v>1.0485669999999998</v>
          </cell>
        </row>
        <row r="56">
          <cell r="A56">
            <v>1782</v>
          </cell>
          <cell r="B56" t="str">
            <v>ENGINEER QUALIFICATION RANGE</v>
          </cell>
          <cell r="C56" t="str">
            <v>FP</v>
          </cell>
          <cell r="D56" t="str">
            <v>S</v>
          </cell>
          <cell r="F56">
            <v>1.0209999999999999</v>
          </cell>
          <cell r="G56">
            <v>1.0269999999999999</v>
          </cell>
          <cell r="R56">
            <v>1.0485669999999998</v>
          </cell>
        </row>
        <row r="57">
          <cell r="A57">
            <v>1783</v>
          </cell>
          <cell r="B57" t="str">
            <v>LIGHT DEMOLITION AND FLAME TRAINING RANGE</v>
          </cell>
          <cell r="C57" t="str">
            <v>FP</v>
          </cell>
          <cell r="D57" t="str">
            <v>S</v>
          </cell>
          <cell r="F57">
            <v>1.0209999999999999</v>
          </cell>
          <cell r="G57">
            <v>1.0269999999999999</v>
          </cell>
          <cell r="R57">
            <v>1.0485669999999998</v>
          </cell>
        </row>
        <row r="58">
          <cell r="A58">
            <v>1790</v>
          </cell>
          <cell r="B58" t="str">
            <v>MISCELLANEOUS TRAINING FACILITY</v>
          </cell>
          <cell r="C58" t="str">
            <v>EA</v>
          </cell>
          <cell r="D58" t="str">
            <v>S</v>
          </cell>
          <cell r="F58">
            <v>1.0209999999999999</v>
          </cell>
          <cell r="G58">
            <v>1.0269999999999999</v>
          </cell>
          <cell r="R58">
            <v>1.0485669999999998</v>
          </cell>
        </row>
        <row r="59">
          <cell r="A59">
            <v>1791</v>
          </cell>
          <cell r="B59" t="str">
            <v>AIRCRAFT WEAPONS CALIBRATION RANGE</v>
          </cell>
          <cell r="C59" t="str">
            <v>EA</v>
          </cell>
          <cell r="D59" t="str">
            <v>S</v>
          </cell>
          <cell r="F59">
            <v>1.0209999999999999</v>
          </cell>
          <cell r="G59">
            <v>1.0269999999999999</v>
          </cell>
          <cell r="R59">
            <v>1.0485669999999998</v>
          </cell>
        </row>
        <row r="60">
          <cell r="A60">
            <v>1792</v>
          </cell>
          <cell r="B60" t="str">
            <v>ATTACK HELICOPTER WEAPONS RANGE</v>
          </cell>
          <cell r="C60" t="str">
            <v>EA</v>
          </cell>
          <cell r="D60" t="str">
            <v>S</v>
          </cell>
          <cell r="F60">
            <v>1.0209999999999999</v>
          </cell>
          <cell r="G60">
            <v>1.0269999999999999</v>
          </cell>
          <cell r="P60">
            <v>1.032</v>
          </cell>
          <cell r="R60">
            <v>1.0821211439999998</v>
          </cell>
        </row>
        <row r="61">
          <cell r="A61">
            <v>1793</v>
          </cell>
          <cell r="B61" t="str">
            <v>AIRCRAFT WEAPONS RANGE</v>
          </cell>
          <cell r="C61" t="str">
            <v>EA</v>
          </cell>
          <cell r="D61" t="str">
            <v>S</v>
          </cell>
          <cell r="F61">
            <v>1.0209999999999999</v>
          </cell>
          <cell r="G61">
            <v>1.0269999999999999</v>
          </cell>
          <cell r="R61">
            <v>1.0485669999999998</v>
          </cell>
        </row>
        <row r="62">
          <cell r="A62">
            <v>1794</v>
          </cell>
          <cell r="B62" t="str">
            <v>AIR DEFENSE RANGE</v>
          </cell>
          <cell r="C62" t="str">
            <v>FP</v>
          </cell>
          <cell r="D62" t="str">
            <v>S</v>
          </cell>
          <cell r="F62">
            <v>1.0209999999999999</v>
          </cell>
          <cell r="G62">
            <v>1.0269999999999999</v>
          </cell>
          <cell r="R62">
            <v>1.0485669999999998</v>
          </cell>
        </row>
        <row r="63">
          <cell r="A63">
            <v>1795</v>
          </cell>
          <cell r="B63" t="str">
            <v>UNENCLOSED FIRE FIGHTER TRAINER FACILITY</v>
          </cell>
          <cell r="C63" t="str">
            <v>SF</v>
          </cell>
          <cell r="D63" t="str">
            <v>S</v>
          </cell>
          <cell r="F63">
            <v>1.0209999999999999</v>
          </cell>
          <cell r="G63">
            <v>1.0269999999999999</v>
          </cell>
          <cell r="P63">
            <v>1.032</v>
          </cell>
          <cell r="R63">
            <v>1.0821211439999998</v>
          </cell>
        </row>
        <row r="64">
          <cell r="A64">
            <v>1796</v>
          </cell>
          <cell r="B64" t="str">
            <v>URBAN COMBAT TRAINING AREA, NON-FIRE</v>
          </cell>
          <cell r="C64" t="str">
            <v>SF</v>
          </cell>
          <cell r="D64" t="str">
            <v>S</v>
          </cell>
          <cell r="F64">
            <v>1.0209999999999999</v>
          </cell>
          <cell r="G64">
            <v>1.0269999999999999</v>
          </cell>
          <cell r="P64">
            <v>1.032</v>
          </cell>
          <cell r="R64">
            <v>1.0821211439999998</v>
          </cell>
        </row>
        <row r="65">
          <cell r="A65">
            <v>1797</v>
          </cell>
          <cell r="B65" t="str">
            <v>HAND GRENADE RANGE, NON-FIRING</v>
          </cell>
          <cell r="C65" t="str">
            <v>FP</v>
          </cell>
          <cell r="D65" t="str">
            <v>S</v>
          </cell>
          <cell r="F65">
            <v>1.0209999999999999</v>
          </cell>
          <cell r="G65">
            <v>1.0269999999999999</v>
          </cell>
          <cell r="R65">
            <v>1.0485669999999998</v>
          </cell>
        </row>
        <row r="66">
          <cell r="A66">
            <v>1798</v>
          </cell>
          <cell r="B66" t="str">
            <v>INFILTRATION COURSE, LIVE FIRE</v>
          </cell>
          <cell r="C66" t="str">
            <v>EA</v>
          </cell>
          <cell r="D66" t="str">
            <v>S</v>
          </cell>
          <cell r="F66">
            <v>1.0209999999999999</v>
          </cell>
          <cell r="G66">
            <v>1.0269999999999999</v>
          </cell>
          <cell r="R66">
            <v>1.0485669999999998</v>
          </cell>
        </row>
        <row r="67">
          <cell r="A67">
            <v>1799</v>
          </cell>
          <cell r="B67" t="str">
            <v>CONFIDENCE/OBSTACLE COURSE</v>
          </cell>
          <cell r="C67" t="str">
            <v>EA</v>
          </cell>
          <cell r="D67" t="str">
            <v>S</v>
          </cell>
          <cell r="F67">
            <v>1.0209999999999999</v>
          </cell>
          <cell r="G67">
            <v>1.0269999999999999</v>
          </cell>
          <cell r="R67">
            <v>1.0485669999999998</v>
          </cell>
        </row>
        <row r="68">
          <cell r="A68">
            <v>2112</v>
          </cell>
          <cell r="B68" t="str">
            <v>AIRCRAFT MAINTENANCE SHOP</v>
          </cell>
          <cell r="C68" t="str">
            <v>SF</v>
          </cell>
          <cell r="D68" t="str">
            <v>B</v>
          </cell>
          <cell r="F68">
            <v>1.0209999999999999</v>
          </cell>
          <cell r="G68">
            <v>1.0269999999999999</v>
          </cell>
          <cell r="H68">
            <v>1.0029999999999999</v>
          </cell>
          <cell r="I68">
            <v>1.0289999999999999</v>
          </cell>
          <cell r="J68">
            <v>1.0049999999999999</v>
          </cell>
          <cell r="M68">
            <v>1.0029999999999999</v>
          </cell>
          <cell r="N68">
            <v>1.0029999999999999</v>
          </cell>
          <cell r="O68">
            <v>1.0209999999999999</v>
          </cell>
          <cell r="P68">
            <v>1.032</v>
          </cell>
          <cell r="Q68">
            <v>1.0349999999999999</v>
          </cell>
          <cell r="R68">
            <v>1.1932356231980656</v>
          </cell>
        </row>
        <row r="69">
          <cell r="A69">
            <v>2121</v>
          </cell>
          <cell r="B69" t="str">
            <v>MISSILE MAINTENANCE/ASSEMBLY BUILDING</v>
          </cell>
          <cell r="C69" t="str">
            <v>SF</v>
          </cell>
          <cell r="D69" t="str">
            <v>B</v>
          </cell>
          <cell r="F69">
            <v>1.0209999999999999</v>
          </cell>
          <cell r="G69">
            <v>1.0269999999999999</v>
          </cell>
          <cell r="H69">
            <v>1.0029999999999999</v>
          </cell>
          <cell r="I69">
            <v>1.0289999999999999</v>
          </cell>
          <cell r="J69">
            <v>1.0049999999999999</v>
          </cell>
          <cell r="M69">
            <v>1.0029999999999999</v>
          </cell>
          <cell r="N69">
            <v>1.0029999999999999</v>
          </cell>
          <cell r="O69">
            <v>1.0209999999999999</v>
          </cell>
          <cell r="P69">
            <v>1.032</v>
          </cell>
          <cell r="Q69">
            <v>1.0349999999999999</v>
          </cell>
          <cell r="R69">
            <v>1.1932356231980656</v>
          </cell>
        </row>
        <row r="70">
          <cell r="A70">
            <v>2123</v>
          </cell>
          <cell r="B70" t="str">
            <v>MISSILE/LAUNCHER MAINTENANCE SUPPORT FACILITY</v>
          </cell>
          <cell r="C70" t="str">
            <v>SF</v>
          </cell>
          <cell r="D70" t="str">
            <v>B</v>
          </cell>
          <cell r="F70">
            <v>1.0209999999999999</v>
          </cell>
          <cell r="G70">
            <v>1.0269999999999999</v>
          </cell>
          <cell r="H70">
            <v>1.0029999999999999</v>
          </cell>
          <cell r="I70">
            <v>1.0289999999999999</v>
          </cell>
          <cell r="J70">
            <v>1.0049999999999999</v>
          </cell>
          <cell r="M70">
            <v>1.0029999999999999</v>
          </cell>
          <cell r="N70">
            <v>1.0029999999999999</v>
          </cell>
          <cell r="O70">
            <v>1.0209999999999999</v>
          </cell>
          <cell r="P70">
            <v>1.032</v>
          </cell>
          <cell r="Q70">
            <v>1.0349999999999999</v>
          </cell>
          <cell r="R70">
            <v>1.1932356231980656</v>
          </cell>
        </row>
        <row r="71">
          <cell r="A71">
            <v>2124</v>
          </cell>
          <cell r="B71" t="str">
            <v>MISSILE TEST TOWER</v>
          </cell>
          <cell r="C71" t="str">
            <v>EA</v>
          </cell>
          <cell r="D71" t="str">
            <v>S</v>
          </cell>
          <cell r="F71">
            <v>1.0209999999999999</v>
          </cell>
          <cell r="G71">
            <v>1.0269999999999999</v>
          </cell>
          <cell r="N71">
            <v>1.0029999999999999</v>
          </cell>
          <cell r="P71">
            <v>1.032</v>
          </cell>
          <cell r="Q71">
            <v>1.0349999999999999</v>
          </cell>
          <cell r="R71">
            <v>1.1233553701921195</v>
          </cell>
        </row>
        <row r="72">
          <cell r="A72">
            <v>2125</v>
          </cell>
          <cell r="B72" t="str">
            <v>MISSILE MAINTENANCE/ASSEMBLY BUILDING, DEPOT</v>
          </cell>
          <cell r="C72" t="str">
            <v>SF</v>
          </cell>
          <cell r="D72" t="str">
            <v>B</v>
          </cell>
          <cell r="F72">
            <v>1.0209999999999999</v>
          </cell>
          <cell r="G72">
            <v>1.0269999999999999</v>
          </cell>
          <cell r="H72">
            <v>1.0029999999999999</v>
          </cell>
          <cell r="I72">
            <v>1.0289999999999999</v>
          </cell>
          <cell r="J72">
            <v>1.0049999999999999</v>
          </cell>
          <cell r="M72">
            <v>1.0029999999999999</v>
          </cell>
          <cell r="N72">
            <v>1.0029999999999999</v>
          </cell>
          <cell r="O72">
            <v>1.0209999999999999</v>
          </cell>
          <cell r="P72">
            <v>1.032</v>
          </cell>
          <cell r="Q72">
            <v>1.0349999999999999</v>
          </cell>
          <cell r="R72">
            <v>1.1932356231980656</v>
          </cell>
        </row>
        <row r="73">
          <cell r="A73">
            <v>2126</v>
          </cell>
          <cell r="B73" t="str">
            <v>ICBM PROCESSING FACILITY</v>
          </cell>
          <cell r="C73" t="str">
            <v>SF</v>
          </cell>
          <cell r="D73" t="str">
            <v>B</v>
          </cell>
          <cell r="F73">
            <v>1.0209999999999999</v>
          </cell>
          <cell r="G73">
            <v>1.0269999999999999</v>
          </cell>
          <cell r="H73">
            <v>1.0029999999999999</v>
          </cell>
          <cell r="I73">
            <v>1.0289999999999999</v>
          </cell>
          <cell r="J73">
            <v>1.0049999999999999</v>
          </cell>
          <cell r="M73">
            <v>1.0029999999999999</v>
          </cell>
          <cell r="N73">
            <v>1.0029999999999999</v>
          </cell>
          <cell r="O73">
            <v>1.0209999999999999</v>
          </cell>
          <cell r="P73">
            <v>1.032</v>
          </cell>
          <cell r="Q73">
            <v>1.0349999999999999</v>
          </cell>
          <cell r="R73">
            <v>1.1932356231980656</v>
          </cell>
        </row>
        <row r="74">
          <cell r="A74">
            <v>2131</v>
          </cell>
          <cell r="B74" t="str">
            <v>SHIP MAINTENANCE DRY DOCK</v>
          </cell>
          <cell r="C74" t="str">
            <v>SF</v>
          </cell>
          <cell r="D74" t="str">
            <v>S</v>
          </cell>
          <cell r="F74">
            <v>1.0209999999999999</v>
          </cell>
          <cell r="G74">
            <v>1.0269999999999999</v>
          </cell>
          <cell r="H74">
            <v>1.0029999999999999</v>
          </cell>
          <cell r="N74">
            <v>1.0029999999999999</v>
          </cell>
          <cell r="O74">
            <v>1.0209999999999999</v>
          </cell>
          <cell r="P74">
            <v>1.032</v>
          </cell>
          <cell r="Q74">
            <v>1.0349999999999999</v>
          </cell>
          <cell r="R74">
            <v>1.1503866704650523</v>
          </cell>
        </row>
        <row r="75">
          <cell r="A75">
            <v>2134</v>
          </cell>
          <cell r="B75" t="str">
            <v>MARINE MAINTENANCE SUPPORT FACILITY</v>
          </cell>
          <cell r="C75" t="str">
            <v>SF</v>
          </cell>
          <cell r="D75" t="str">
            <v>B</v>
          </cell>
          <cell r="F75">
            <v>1.0209999999999999</v>
          </cell>
          <cell r="G75">
            <v>1.0269999999999999</v>
          </cell>
          <cell r="J75">
            <v>1.0049999999999999</v>
          </cell>
          <cell r="N75">
            <v>1.0029999999999999</v>
          </cell>
          <cell r="P75">
            <v>1.032</v>
          </cell>
          <cell r="Q75">
            <v>1.0349999999999999</v>
          </cell>
          <cell r="R75">
            <v>1.12897214704308</v>
          </cell>
        </row>
        <row r="76">
          <cell r="A76">
            <v>2152</v>
          </cell>
          <cell r="B76" t="str">
            <v>WEAPON MAINTENANCE SHOP, DEPOT</v>
          </cell>
          <cell r="C76" t="str">
            <v>SF</v>
          </cell>
          <cell r="D76" t="str">
            <v>B</v>
          </cell>
          <cell r="F76">
            <v>1.0209999999999999</v>
          </cell>
          <cell r="G76">
            <v>1.0269999999999999</v>
          </cell>
          <cell r="H76">
            <v>1.0029999999999999</v>
          </cell>
          <cell r="I76">
            <v>1.0289999999999999</v>
          </cell>
          <cell r="J76">
            <v>1.0049999999999999</v>
          </cell>
          <cell r="M76">
            <v>1.0029999999999999</v>
          </cell>
          <cell r="N76">
            <v>1.0029999999999999</v>
          </cell>
          <cell r="O76">
            <v>1.0209999999999999</v>
          </cell>
          <cell r="P76">
            <v>1.032</v>
          </cell>
          <cell r="Q76">
            <v>1.0349999999999999</v>
          </cell>
          <cell r="R76">
            <v>1.1932356231980656</v>
          </cell>
        </row>
        <row r="77">
          <cell r="A77">
            <v>2154</v>
          </cell>
          <cell r="B77" t="str">
            <v>WEAPON MAINTENANCE FACILITY, DEPOT</v>
          </cell>
          <cell r="C77" t="str">
            <v>SF</v>
          </cell>
          <cell r="D77" t="str">
            <v>S</v>
          </cell>
          <cell r="F77">
            <v>1.0209999999999999</v>
          </cell>
          <cell r="G77">
            <v>1.0269999999999999</v>
          </cell>
          <cell r="J77">
            <v>1.0049999999999999</v>
          </cell>
          <cell r="M77">
            <v>1.0029999999999999</v>
          </cell>
          <cell r="N77">
            <v>1.0029999999999999</v>
          </cell>
          <cell r="O77">
            <v>1.0209999999999999</v>
          </cell>
          <cell r="P77">
            <v>1.032</v>
          </cell>
          <cell r="Q77">
            <v>1.0349999999999999</v>
          </cell>
          <cell r="R77">
            <v>1.1561386038173773</v>
          </cell>
        </row>
        <row r="78">
          <cell r="A78">
            <v>2161</v>
          </cell>
          <cell r="B78" t="str">
            <v>AMMUNITION MAINTENANCE SHOP</v>
          </cell>
          <cell r="C78" t="str">
            <v>SF</v>
          </cell>
          <cell r="D78" t="str">
            <v>S</v>
          </cell>
          <cell r="F78">
            <v>1.0209999999999999</v>
          </cell>
          <cell r="G78">
            <v>1.0269999999999999</v>
          </cell>
          <cell r="J78">
            <v>1.0049999999999999</v>
          </cell>
          <cell r="M78">
            <v>1.0029999999999999</v>
          </cell>
          <cell r="N78">
            <v>1.0029999999999999</v>
          </cell>
          <cell r="O78">
            <v>1.0209999999999999</v>
          </cell>
          <cell r="P78">
            <v>1.032</v>
          </cell>
          <cell r="Q78">
            <v>1.0349999999999999</v>
          </cell>
          <cell r="R78">
            <v>1.1561386038173773</v>
          </cell>
        </row>
        <row r="79">
          <cell r="A79">
            <v>2162</v>
          </cell>
          <cell r="B79" t="str">
            <v>AMMUNITION MAINTENANCE SHOP, DEPOT</v>
          </cell>
          <cell r="C79" t="str">
            <v>SF</v>
          </cell>
          <cell r="D79" t="str">
            <v>S</v>
          </cell>
          <cell r="F79">
            <v>1.0209999999999999</v>
          </cell>
          <cell r="G79">
            <v>1.0269999999999999</v>
          </cell>
          <cell r="J79">
            <v>1.0049999999999999</v>
          </cell>
          <cell r="M79">
            <v>1.0029999999999999</v>
          </cell>
          <cell r="N79">
            <v>1.0029999999999999</v>
          </cell>
          <cell r="O79">
            <v>1.0209999999999999</v>
          </cell>
          <cell r="P79">
            <v>1.032</v>
          </cell>
          <cell r="Q79">
            <v>1.0349999999999999</v>
          </cell>
          <cell r="R79">
            <v>1.1561386038173773</v>
          </cell>
        </row>
        <row r="80">
          <cell r="A80">
            <v>2163</v>
          </cell>
          <cell r="B80" t="str">
            <v>AMMUNITION MAINTENANCE FACILITY, DEPOT</v>
          </cell>
          <cell r="C80" t="str">
            <v>SF</v>
          </cell>
          <cell r="D80" t="str">
            <v>S</v>
          </cell>
          <cell r="F80">
            <v>1.0209999999999999</v>
          </cell>
          <cell r="G80">
            <v>1.0269999999999999</v>
          </cell>
          <cell r="J80">
            <v>1.0049999999999999</v>
          </cell>
          <cell r="M80">
            <v>1.0029999999999999</v>
          </cell>
          <cell r="N80">
            <v>1.0029999999999999</v>
          </cell>
          <cell r="O80">
            <v>1.0209999999999999</v>
          </cell>
          <cell r="P80">
            <v>1.032</v>
          </cell>
          <cell r="Q80">
            <v>1.0349999999999999</v>
          </cell>
          <cell r="R80">
            <v>1.1561386038173773</v>
          </cell>
        </row>
        <row r="81">
          <cell r="A81">
            <v>2173</v>
          </cell>
          <cell r="B81" t="str">
            <v>ELECTRONIC AND COMMUNICATION MAINTENANCE FACILITY</v>
          </cell>
          <cell r="C81" t="str">
            <v>EA</v>
          </cell>
          <cell r="D81" t="str">
            <v>S</v>
          </cell>
          <cell r="F81">
            <v>1.0209999999999999</v>
          </cell>
          <cell r="G81">
            <v>1.0269999999999999</v>
          </cell>
          <cell r="R81">
            <v>1.0485669999999998</v>
          </cell>
        </row>
        <row r="82">
          <cell r="A82">
            <v>2191</v>
          </cell>
          <cell r="B82" t="str">
            <v>FACILITY ENGINEER MAINTENANCE SHOP</v>
          </cell>
          <cell r="C82" t="str">
            <v>SF</v>
          </cell>
          <cell r="D82" t="str">
            <v>B</v>
          </cell>
          <cell r="E82">
            <v>1.0740000000000001</v>
          </cell>
          <cell r="F82">
            <v>1.0209999999999999</v>
          </cell>
          <cell r="G82">
            <v>1.0269999999999999</v>
          </cell>
          <cell r="J82">
            <v>1.0049999999999999</v>
          </cell>
          <cell r="M82">
            <v>1.0029999999999999</v>
          </cell>
          <cell r="N82">
            <v>1.0029999999999999</v>
          </cell>
          <cell r="O82">
            <v>1.0209999999999999</v>
          </cell>
          <cell r="P82">
            <v>1.032</v>
          </cell>
          <cell r="Q82">
            <v>1.0349999999999999</v>
          </cell>
          <cell r="R82">
            <v>1.2416928604998634</v>
          </cell>
        </row>
        <row r="83">
          <cell r="A83">
            <v>2192</v>
          </cell>
          <cell r="B83" t="str">
            <v>FACILITY ENGINEER MAINTENANCE FACILITY</v>
          </cell>
          <cell r="C83" t="str">
            <v>EA</v>
          </cell>
          <cell r="D83" t="str">
            <v>S</v>
          </cell>
          <cell r="F83">
            <v>1.0209999999999999</v>
          </cell>
          <cell r="G83">
            <v>1.0269999999999999</v>
          </cell>
          <cell r="N83">
            <v>1.0029999999999999</v>
          </cell>
          <cell r="R83">
            <v>1.0517127009999996</v>
          </cell>
        </row>
        <row r="84">
          <cell r="A84">
            <v>2211</v>
          </cell>
          <cell r="B84" t="str">
            <v>AIRCRAFT PRODUCTION PLANT</v>
          </cell>
          <cell r="C84" t="str">
            <v>SF</v>
          </cell>
          <cell r="D84" t="str">
            <v>B</v>
          </cell>
          <cell r="F84">
            <v>1.0209999999999999</v>
          </cell>
          <cell r="G84">
            <v>1.0269999999999999</v>
          </cell>
          <cell r="H84">
            <v>1.0029999999999999</v>
          </cell>
          <cell r="I84">
            <v>1.0289999999999999</v>
          </cell>
          <cell r="J84">
            <v>1.0049999999999999</v>
          </cell>
          <cell r="M84">
            <v>1.0029999999999999</v>
          </cell>
          <cell r="N84">
            <v>1.0029999999999999</v>
          </cell>
          <cell r="O84">
            <v>1.0209999999999999</v>
          </cell>
          <cell r="P84">
            <v>1.032</v>
          </cell>
          <cell r="Q84">
            <v>1.0349999999999999</v>
          </cell>
          <cell r="R84">
            <v>1.1932356231980656</v>
          </cell>
        </row>
        <row r="85">
          <cell r="A85">
            <v>2213</v>
          </cell>
          <cell r="B85" t="str">
            <v>AIRCRAFT PRODUCTION STRUCTURE</v>
          </cell>
          <cell r="C85" t="str">
            <v>SF</v>
          </cell>
          <cell r="D85" t="str">
            <v>S</v>
          </cell>
          <cell r="F85">
            <v>1.0209999999999999</v>
          </cell>
          <cell r="G85">
            <v>1.0269999999999999</v>
          </cell>
          <cell r="H85">
            <v>1.0029999999999999</v>
          </cell>
          <cell r="I85">
            <v>1.0289999999999999</v>
          </cell>
          <cell r="N85">
            <v>1.0029999999999999</v>
          </cell>
          <cell r="O85">
            <v>1.0209999999999999</v>
          </cell>
          <cell r="P85">
            <v>1.032</v>
          </cell>
          <cell r="Q85">
            <v>1.0349999999999999</v>
          </cell>
          <cell r="R85">
            <v>1.1837478839085387</v>
          </cell>
        </row>
        <row r="86">
          <cell r="A86">
            <v>2221</v>
          </cell>
          <cell r="B86" t="str">
            <v>MISSILE PRODUCTION PLANT</v>
          </cell>
          <cell r="C86" t="str">
            <v>SF</v>
          </cell>
          <cell r="D86" t="str">
            <v>B</v>
          </cell>
          <cell r="F86">
            <v>1.0209999999999999</v>
          </cell>
          <cell r="G86">
            <v>1.0269999999999999</v>
          </cell>
          <cell r="H86">
            <v>1.0029999999999999</v>
          </cell>
          <cell r="I86">
            <v>1.0289999999999999</v>
          </cell>
          <cell r="J86">
            <v>1.0049999999999999</v>
          </cell>
          <cell r="M86">
            <v>1.0029999999999999</v>
          </cell>
          <cell r="N86">
            <v>1.0029999999999999</v>
          </cell>
          <cell r="O86">
            <v>1.0209999999999999</v>
          </cell>
          <cell r="P86">
            <v>1.032</v>
          </cell>
          <cell r="Q86">
            <v>1.0349999999999999</v>
          </cell>
          <cell r="R86">
            <v>1.1932356231980656</v>
          </cell>
        </row>
        <row r="87">
          <cell r="A87">
            <v>2231</v>
          </cell>
          <cell r="B87" t="str">
            <v>SHIP PRODUCTION PLANT</v>
          </cell>
          <cell r="C87" t="str">
            <v>SF</v>
          </cell>
          <cell r="D87" t="str">
            <v>B</v>
          </cell>
          <cell r="F87">
            <v>1.0209999999999999</v>
          </cell>
          <cell r="G87">
            <v>1.0269999999999999</v>
          </cell>
          <cell r="H87">
            <v>1.0029999999999999</v>
          </cell>
          <cell r="I87">
            <v>1.0289999999999999</v>
          </cell>
          <cell r="J87">
            <v>1.0049999999999999</v>
          </cell>
          <cell r="M87">
            <v>1.0029999999999999</v>
          </cell>
          <cell r="N87">
            <v>1.0029999999999999</v>
          </cell>
          <cell r="O87">
            <v>1.0209999999999999</v>
          </cell>
          <cell r="P87">
            <v>1.032</v>
          </cell>
          <cell r="Q87">
            <v>1.0349999999999999</v>
          </cell>
          <cell r="R87">
            <v>1.1932356231980656</v>
          </cell>
        </row>
        <row r="88">
          <cell r="A88">
            <v>2241</v>
          </cell>
          <cell r="B88" t="str">
            <v>TANK/AUTOMOTIVE PRODUCTION PLANT</v>
          </cell>
          <cell r="C88" t="str">
            <v>SF</v>
          </cell>
          <cell r="D88" t="str">
            <v>B</v>
          </cell>
          <cell r="F88">
            <v>1.0209999999999999</v>
          </cell>
          <cell r="G88">
            <v>1.0269999999999999</v>
          </cell>
          <cell r="H88">
            <v>1.0029999999999999</v>
          </cell>
          <cell r="I88">
            <v>1.0289999999999999</v>
          </cell>
          <cell r="J88">
            <v>1.0049999999999999</v>
          </cell>
          <cell r="M88">
            <v>1.0029999999999999</v>
          </cell>
          <cell r="N88">
            <v>1.0029999999999999</v>
          </cell>
          <cell r="O88">
            <v>1.0209999999999999</v>
          </cell>
          <cell r="P88">
            <v>1.032</v>
          </cell>
          <cell r="Q88">
            <v>1.0349999999999999</v>
          </cell>
          <cell r="R88">
            <v>1.1932356231980656</v>
          </cell>
        </row>
        <row r="89">
          <cell r="A89">
            <v>2242</v>
          </cell>
          <cell r="B89" t="str">
            <v>TANK/AUTOMOTIVE PRODUCTION FACILITY</v>
          </cell>
          <cell r="C89" t="str">
            <v>SF</v>
          </cell>
          <cell r="D89" t="str">
            <v>S</v>
          </cell>
          <cell r="F89">
            <v>1.0209999999999999</v>
          </cell>
          <cell r="G89">
            <v>1.0269999999999999</v>
          </cell>
          <cell r="P89">
            <v>1.032</v>
          </cell>
          <cell r="Q89">
            <v>1.0349999999999999</v>
          </cell>
          <cell r="R89">
            <v>1.1199953840399997</v>
          </cell>
        </row>
        <row r="90">
          <cell r="A90">
            <v>2251</v>
          </cell>
          <cell r="B90" t="str">
            <v>WEAPON PRODUCTION PLANT</v>
          </cell>
          <cell r="C90" t="str">
            <v>SF</v>
          </cell>
          <cell r="D90" t="str">
            <v>B</v>
          </cell>
          <cell r="F90">
            <v>1.0209999999999999</v>
          </cell>
          <cell r="G90">
            <v>1.0269999999999999</v>
          </cell>
          <cell r="H90">
            <v>1.0029999999999999</v>
          </cell>
          <cell r="I90">
            <v>1.0289999999999999</v>
          </cell>
          <cell r="J90">
            <v>1.0049999999999999</v>
          </cell>
          <cell r="M90">
            <v>1.0029999999999999</v>
          </cell>
          <cell r="N90">
            <v>1.0029999999999999</v>
          </cell>
          <cell r="O90">
            <v>1.0209999999999999</v>
          </cell>
          <cell r="P90">
            <v>1.032</v>
          </cell>
          <cell r="Q90">
            <v>1.0349999999999999</v>
          </cell>
          <cell r="R90">
            <v>1.1932356231980656</v>
          </cell>
        </row>
        <row r="91">
          <cell r="A91">
            <v>2252</v>
          </cell>
          <cell r="B91" t="str">
            <v>WEAPON PRODUCTION FACILITY</v>
          </cell>
          <cell r="C91" t="str">
            <v>SF</v>
          </cell>
          <cell r="D91" t="str">
            <v>S</v>
          </cell>
          <cell r="F91">
            <v>1.0209999999999999</v>
          </cell>
          <cell r="G91">
            <v>1.0269999999999999</v>
          </cell>
          <cell r="H91">
            <v>1.0029999999999999</v>
          </cell>
          <cell r="I91">
            <v>1.0289999999999999</v>
          </cell>
          <cell r="J91">
            <v>1.0049999999999999</v>
          </cell>
          <cell r="M91">
            <v>1.0029999999999999</v>
          </cell>
          <cell r="N91">
            <v>1.0029999999999999</v>
          </cell>
          <cell r="O91">
            <v>1.0209999999999999</v>
          </cell>
          <cell r="P91">
            <v>1.032</v>
          </cell>
          <cell r="Q91">
            <v>1.0349999999999999</v>
          </cell>
          <cell r="R91">
            <v>1.1932356231980656</v>
          </cell>
        </row>
        <row r="92">
          <cell r="A92">
            <v>2261</v>
          </cell>
          <cell r="B92" t="str">
            <v>AMMUNITION PRODUCTION PLANT</v>
          </cell>
          <cell r="C92" t="str">
            <v>SF</v>
          </cell>
          <cell r="D92" t="str">
            <v>B</v>
          </cell>
          <cell r="F92">
            <v>1.0209999999999999</v>
          </cell>
          <cell r="G92">
            <v>1.0269999999999999</v>
          </cell>
          <cell r="H92">
            <v>1.0029999999999999</v>
          </cell>
          <cell r="I92">
            <v>1.0289999999999999</v>
          </cell>
          <cell r="J92">
            <v>1.0049999999999999</v>
          </cell>
          <cell r="M92">
            <v>1.0029999999999999</v>
          </cell>
          <cell r="N92">
            <v>1.0029999999999999</v>
          </cell>
          <cell r="O92">
            <v>1.0209999999999999</v>
          </cell>
          <cell r="P92">
            <v>1.032</v>
          </cell>
          <cell r="Q92">
            <v>1.0349999999999999</v>
          </cell>
          <cell r="R92">
            <v>1.1932356231980656</v>
          </cell>
        </row>
        <row r="93">
          <cell r="A93">
            <v>2262</v>
          </cell>
          <cell r="B93" t="str">
            <v>AMMUNITION PRODUCTION FACILITY</v>
          </cell>
          <cell r="C93" t="str">
            <v>SF</v>
          </cell>
          <cell r="D93" t="str">
            <v>S</v>
          </cell>
          <cell r="F93">
            <v>1.0209999999999999</v>
          </cell>
          <cell r="P93">
            <v>1.032</v>
          </cell>
          <cell r="Q93">
            <v>1.0349999999999999</v>
          </cell>
          <cell r="R93">
            <v>1.0905505199999999</v>
          </cell>
        </row>
        <row r="94">
          <cell r="A94">
            <v>2271</v>
          </cell>
          <cell r="B94" t="str">
            <v>ELECTRONIC AND COMMUNICATION PRODUCTION PLANT</v>
          </cell>
          <cell r="C94" t="str">
            <v>SF</v>
          </cell>
          <cell r="D94" t="str">
            <v>B</v>
          </cell>
          <cell r="F94">
            <v>1.0209999999999999</v>
          </cell>
          <cell r="G94">
            <v>1.0269999999999999</v>
          </cell>
          <cell r="H94">
            <v>1.0029999999999999</v>
          </cell>
          <cell r="I94">
            <v>1.0289999999999999</v>
          </cell>
          <cell r="J94">
            <v>1.0049999999999999</v>
          </cell>
          <cell r="M94">
            <v>1.0029999999999999</v>
          </cell>
          <cell r="N94">
            <v>1.0029999999999999</v>
          </cell>
          <cell r="O94">
            <v>1.0209999999999999</v>
          </cell>
          <cell r="P94">
            <v>1.032</v>
          </cell>
          <cell r="Q94">
            <v>1.0349999999999999</v>
          </cell>
          <cell r="R94">
            <v>1.1932356231980656</v>
          </cell>
        </row>
        <row r="95">
          <cell r="A95">
            <v>2281</v>
          </cell>
          <cell r="B95" t="str">
            <v>MISCELLANEOUS SUPPORT PRODUCTION PLANT</v>
          </cell>
          <cell r="C95" t="str">
            <v>SF</v>
          </cell>
          <cell r="D95" t="str">
            <v>B</v>
          </cell>
          <cell r="F95">
            <v>1.0209999999999999</v>
          </cell>
          <cell r="G95">
            <v>1.0269999999999999</v>
          </cell>
          <cell r="H95">
            <v>1.0029999999999999</v>
          </cell>
          <cell r="I95">
            <v>1.0289999999999999</v>
          </cell>
          <cell r="J95">
            <v>1.0049999999999999</v>
          </cell>
          <cell r="M95">
            <v>1.0029999999999999</v>
          </cell>
          <cell r="N95">
            <v>1.0029999999999999</v>
          </cell>
          <cell r="O95">
            <v>1.0209999999999999</v>
          </cell>
          <cell r="P95">
            <v>1.032</v>
          </cell>
          <cell r="Q95">
            <v>1.0349999999999999</v>
          </cell>
          <cell r="R95">
            <v>1.1932356231980656</v>
          </cell>
        </row>
        <row r="96">
          <cell r="A96">
            <v>2291</v>
          </cell>
          <cell r="B96" t="str">
            <v>CONSTRUCTION MATERIAL PRODUCTION PLANT</v>
          </cell>
          <cell r="C96" t="str">
            <v>EA</v>
          </cell>
          <cell r="D96" t="str">
            <v>S</v>
          </cell>
          <cell r="F96">
            <v>1.0209999999999999</v>
          </cell>
          <cell r="G96">
            <v>1.0269999999999999</v>
          </cell>
          <cell r="N96">
            <v>1.0029999999999999</v>
          </cell>
          <cell r="P96">
            <v>1.032</v>
          </cell>
          <cell r="Q96">
            <v>1.0349999999999999</v>
          </cell>
          <cell r="R96">
            <v>1.1233553701921195</v>
          </cell>
        </row>
        <row r="97">
          <cell r="A97">
            <v>3101</v>
          </cell>
          <cell r="B97" t="str">
            <v>RDT&amp;E LABORATORY</v>
          </cell>
          <cell r="C97" t="str">
            <v>SF</v>
          </cell>
          <cell r="D97" t="str">
            <v>B</v>
          </cell>
          <cell r="E97">
            <v>1.0740000000000001</v>
          </cell>
          <cell r="F97">
            <v>1.0209999999999999</v>
          </cell>
          <cell r="G97">
            <v>1.0269999999999999</v>
          </cell>
          <cell r="H97">
            <v>1.0029999999999999</v>
          </cell>
          <cell r="I97">
            <v>1.0289999999999999</v>
          </cell>
          <cell r="J97">
            <v>1.0049999999999999</v>
          </cell>
          <cell r="K97">
            <v>1.026</v>
          </cell>
          <cell r="L97">
            <v>1.0129999999999999</v>
          </cell>
          <cell r="M97">
            <v>1.0029999999999999</v>
          </cell>
          <cell r="N97">
            <v>1.0029999999999999</v>
          </cell>
          <cell r="O97">
            <v>1.0209999999999999</v>
          </cell>
          <cell r="P97">
            <v>1.032</v>
          </cell>
          <cell r="Q97">
            <v>1.0349999999999999</v>
          </cell>
          <cell r="R97">
            <v>1.3319480854780448</v>
          </cell>
        </row>
        <row r="98">
          <cell r="A98">
            <v>3102</v>
          </cell>
          <cell r="B98" t="str">
            <v>MEDICAL RESEARCH LABORATORY</v>
          </cell>
          <cell r="C98" t="str">
            <v>SF</v>
          </cell>
          <cell r="D98" t="str">
            <v>B</v>
          </cell>
          <cell r="E98">
            <v>1.0740000000000001</v>
          </cell>
          <cell r="F98">
            <v>1.0209999999999999</v>
          </cell>
          <cell r="G98">
            <v>1.0269999999999999</v>
          </cell>
          <cell r="H98">
            <v>1.0029999999999999</v>
          </cell>
          <cell r="I98">
            <v>1.0289999999999999</v>
          </cell>
          <cell r="J98">
            <v>1.0049999999999999</v>
          </cell>
          <cell r="K98">
            <v>1.026</v>
          </cell>
          <cell r="L98">
            <v>1.0129999999999999</v>
          </cell>
          <cell r="M98">
            <v>1.0029999999999999</v>
          </cell>
          <cell r="N98">
            <v>1.0029999999999999</v>
          </cell>
          <cell r="O98">
            <v>1.0209999999999999</v>
          </cell>
          <cell r="P98">
            <v>1.032</v>
          </cell>
          <cell r="Q98">
            <v>1.0349999999999999</v>
          </cell>
          <cell r="R98">
            <v>1.3319480854780448</v>
          </cell>
        </row>
        <row r="99">
          <cell r="A99">
            <v>3103</v>
          </cell>
          <cell r="B99" t="str">
            <v>BIOSAFETY LEVEL 3 LABORATORY</v>
          </cell>
          <cell r="C99" t="str">
            <v>SF</v>
          </cell>
          <cell r="D99" t="str">
            <v>B</v>
          </cell>
          <cell r="E99">
            <v>1.0740000000000001</v>
          </cell>
          <cell r="F99">
            <v>1.0209999999999999</v>
          </cell>
          <cell r="G99">
            <v>1.0269999999999999</v>
          </cell>
          <cell r="H99">
            <v>1.0029999999999999</v>
          </cell>
          <cell r="I99">
            <v>1.0289999999999999</v>
          </cell>
          <cell r="J99">
            <v>1.0049999999999999</v>
          </cell>
          <cell r="K99">
            <v>1.026</v>
          </cell>
          <cell r="L99">
            <v>1.0129999999999999</v>
          </cell>
          <cell r="M99">
            <v>1.0029999999999999</v>
          </cell>
          <cell r="N99">
            <v>1.0029999999999999</v>
          </cell>
          <cell r="O99">
            <v>1.0209999999999999</v>
          </cell>
          <cell r="P99">
            <v>1.032</v>
          </cell>
          <cell r="Q99">
            <v>1.0349999999999999</v>
          </cell>
          <cell r="R99">
            <v>1.3319480854780448</v>
          </cell>
        </row>
        <row r="100">
          <cell r="A100">
            <v>3104</v>
          </cell>
          <cell r="B100" t="str">
            <v>BIOSAFETY LEVEL 4 LABORATORY</v>
          </cell>
          <cell r="C100" t="str">
            <v>SF</v>
          </cell>
          <cell r="D100" t="str">
            <v>B</v>
          </cell>
          <cell r="E100">
            <v>1.0740000000000001</v>
          </cell>
          <cell r="F100">
            <v>1.0209999999999999</v>
          </cell>
          <cell r="G100">
            <v>1.0269999999999999</v>
          </cell>
          <cell r="H100">
            <v>1.0029999999999999</v>
          </cell>
          <cell r="I100">
            <v>1.0289999999999999</v>
          </cell>
          <cell r="J100">
            <v>1.0049999999999999</v>
          </cell>
          <cell r="K100">
            <v>1.026</v>
          </cell>
          <cell r="L100">
            <v>1.0129999999999999</v>
          </cell>
          <cell r="M100">
            <v>1.0029999999999999</v>
          </cell>
          <cell r="N100">
            <v>1.0029999999999999</v>
          </cell>
          <cell r="O100">
            <v>1.0209999999999999</v>
          </cell>
          <cell r="P100">
            <v>1.032</v>
          </cell>
          <cell r="Q100">
            <v>1.0349999999999999</v>
          </cell>
          <cell r="R100">
            <v>1.3319480854780448</v>
          </cell>
        </row>
        <row r="101">
          <cell r="A101">
            <v>3131</v>
          </cell>
          <cell r="B101" t="str">
            <v>SHIP AND MARINE RDT&amp;E FACILITY</v>
          </cell>
          <cell r="C101" t="str">
            <v>SF</v>
          </cell>
          <cell r="D101" t="str">
            <v>B</v>
          </cell>
          <cell r="E101">
            <v>1.0740000000000001</v>
          </cell>
          <cell r="F101">
            <v>1.0209999999999999</v>
          </cell>
          <cell r="G101">
            <v>1.0269999999999999</v>
          </cell>
          <cell r="H101">
            <v>1.0029999999999999</v>
          </cell>
          <cell r="I101">
            <v>1.0289999999999999</v>
          </cell>
          <cell r="J101">
            <v>1.0049999999999999</v>
          </cell>
          <cell r="K101">
            <v>1.026</v>
          </cell>
          <cell r="L101">
            <v>1.0129999999999999</v>
          </cell>
          <cell r="M101">
            <v>1.0029999999999999</v>
          </cell>
          <cell r="N101">
            <v>1.0029999999999999</v>
          </cell>
          <cell r="O101">
            <v>1.0209999999999999</v>
          </cell>
          <cell r="P101">
            <v>1.032</v>
          </cell>
          <cell r="Q101">
            <v>1.0349999999999999</v>
          </cell>
          <cell r="R101">
            <v>1.3319480854780448</v>
          </cell>
        </row>
        <row r="102">
          <cell r="A102">
            <v>3141</v>
          </cell>
          <cell r="B102" t="str">
            <v>TANK AND AUTOMOTIVE RDT&amp;E FACILITY</v>
          </cell>
          <cell r="C102" t="str">
            <v>SF</v>
          </cell>
          <cell r="D102" t="str">
            <v>B</v>
          </cell>
          <cell r="E102">
            <v>1.0740000000000001</v>
          </cell>
          <cell r="F102">
            <v>1.0209999999999999</v>
          </cell>
          <cell r="G102">
            <v>1.0269999999999999</v>
          </cell>
          <cell r="H102">
            <v>1.0029999999999999</v>
          </cell>
          <cell r="I102">
            <v>1.0289999999999999</v>
          </cell>
          <cell r="J102">
            <v>1.0049999999999999</v>
          </cell>
          <cell r="K102">
            <v>1.026</v>
          </cell>
          <cell r="L102">
            <v>1.0129999999999999</v>
          </cell>
          <cell r="M102">
            <v>1.0029999999999999</v>
          </cell>
          <cell r="N102">
            <v>1.0029999999999999</v>
          </cell>
          <cell r="O102">
            <v>1.0209999999999999</v>
          </cell>
          <cell r="P102">
            <v>1.032</v>
          </cell>
          <cell r="Q102">
            <v>1.0349999999999999</v>
          </cell>
          <cell r="R102">
            <v>1.3319480854780448</v>
          </cell>
        </row>
        <row r="103">
          <cell r="A103">
            <v>3151</v>
          </cell>
          <cell r="B103" t="str">
            <v>WEAPONS RDT&amp;E FACILITY</v>
          </cell>
          <cell r="C103" t="str">
            <v>SF</v>
          </cell>
          <cell r="D103" t="str">
            <v>B</v>
          </cell>
          <cell r="E103">
            <v>1.0740000000000001</v>
          </cell>
          <cell r="F103">
            <v>1.0209999999999999</v>
          </cell>
          <cell r="G103">
            <v>1.0269999999999999</v>
          </cell>
          <cell r="H103">
            <v>1.0029999999999999</v>
          </cell>
          <cell r="I103">
            <v>1.0289999999999999</v>
          </cell>
          <cell r="J103">
            <v>1.0049999999999999</v>
          </cell>
          <cell r="K103">
            <v>1.026</v>
          </cell>
          <cell r="L103">
            <v>1.0129999999999999</v>
          </cell>
          <cell r="M103">
            <v>1.0029999999999999</v>
          </cell>
          <cell r="N103">
            <v>1.0029999999999999</v>
          </cell>
          <cell r="O103">
            <v>1.0209999999999999</v>
          </cell>
          <cell r="P103">
            <v>1.032</v>
          </cell>
          <cell r="Q103">
            <v>1.0349999999999999</v>
          </cell>
          <cell r="R103">
            <v>1.3319480854780448</v>
          </cell>
        </row>
        <row r="104">
          <cell r="A104">
            <v>3161</v>
          </cell>
          <cell r="B104" t="str">
            <v>AMMUNITION, EXPLOSIVE, AND TOXIC RDT&amp;E FACILITY</v>
          </cell>
          <cell r="C104" t="str">
            <v>SF</v>
          </cell>
          <cell r="D104" t="str">
            <v>B</v>
          </cell>
          <cell r="E104">
            <v>1.0740000000000001</v>
          </cell>
          <cell r="F104">
            <v>1.0209999999999999</v>
          </cell>
          <cell r="G104">
            <v>1.0269999999999999</v>
          </cell>
          <cell r="H104">
            <v>1.0029999999999999</v>
          </cell>
          <cell r="I104">
            <v>1.0289999999999999</v>
          </cell>
          <cell r="J104">
            <v>1.0049999999999999</v>
          </cell>
          <cell r="K104">
            <v>1.026</v>
          </cell>
          <cell r="L104">
            <v>1.0129999999999999</v>
          </cell>
          <cell r="M104">
            <v>1.0029999999999999</v>
          </cell>
          <cell r="N104">
            <v>1.0029999999999999</v>
          </cell>
          <cell r="O104">
            <v>1.0209999999999999</v>
          </cell>
          <cell r="P104">
            <v>1.032</v>
          </cell>
          <cell r="Q104">
            <v>1.0349999999999999</v>
          </cell>
          <cell r="R104">
            <v>1.3319480854780448</v>
          </cell>
        </row>
        <row r="105">
          <cell r="A105">
            <v>3171</v>
          </cell>
          <cell r="B105" t="str">
            <v>ELECTRONIC AND COMMUNICATION RDT&amp;E FACILITY</v>
          </cell>
          <cell r="C105" t="str">
            <v>SF</v>
          </cell>
          <cell r="D105" t="str">
            <v>B</v>
          </cell>
          <cell r="E105">
            <v>1.0740000000000001</v>
          </cell>
          <cell r="F105">
            <v>1.0209999999999999</v>
          </cell>
          <cell r="G105">
            <v>1.0269999999999999</v>
          </cell>
          <cell r="H105">
            <v>1.0029999999999999</v>
          </cell>
          <cell r="I105">
            <v>1.0289999999999999</v>
          </cell>
          <cell r="J105">
            <v>1.0049999999999999</v>
          </cell>
          <cell r="K105">
            <v>1.026</v>
          </cell>
          <cell r="L105">
            <v>1.0129999999999999</v>
          </cell>
          <cell r="M105">
            <v>1.0029999999999999</v>
          </cell>
          <cell r="N105">
            <v>1.0029999999999999</v>
          </cell>
          <cell r="O105">
            <v>1.0209999999999999</v>
          </cell>
          <cell r="P105">
            <v>1.032</v>
          </cell>
          <cell r="Q105">
            <v>1.0349999999999999</v>
          </cell>
          <cell r="R105">
            <v>1.3319480854780448</v>
          </cell>
        </row>
        <row r="106">
          <cell r="A106">
            <v>3181</v>
          </cell>
          <cell r="B106" t="str">
            <v>PROPULSION RDT&amp;E FACILITY</v>
          </cell>
          <cell r="C106" t="str">
            <v>SF</v>
          </cell>
          <cell r="D106" t="str">
            <v>B</v>
          </cell>
          <cell r="E106">
            <v>1.0740000000000001</v>
          </cell>
          <cell r="F106">
            <v>1.0209999999999999</v>
          </cell>
          <cell r="H106">
            <v>1.0029999999999999</v>
          </cell>
          <cell r="I106">
            <v>1.0289999999999999</v>
          </cell>
          <cell r="J106">
            <v>1.0049999999999999</v>
          </cell>
          <cell r="K106">
            <v>1.026</v>
          </cell>
          <cell r="L106">
            <v>1.0129999999999999</v>
          </cell>
          <cell r="M106">
            <v>1.0029999999999999</v>
          </cell>
          <cell r="N106">
            <v>1.0029999999999999</v>
          </cell>
          <cell r="O106">
            <v>1.0209999999999999</v>
          </cell>
          <cell r="P106">
            <v>1.032</v>
          </cell>
          <cell r="Q106">
            <v>1.0349999999999999</v>
          </cell>
          <cell r="R106">
            <v>1.2969309498325658</v>
          </cell>
        </row>
        <row r="107">
          <cell r="A107">
            <v>3191</v>
          </cell>
          <cell r="B107" t="str">
            <v>MISCELLANEOUS ITEM AND EQUIPMENT RDT&amp;E FACILITY</v>
          </cell>
          <cell r="C107" t="str">
            <v>SF</v>
          </cell>
          <cell r="D107" t="str">
            <v>B</v>
          </cell>
          <cell r="E107">
            <v>1.0740000000000001</v>
          </cell>
          <cell r="F107">
            <v>1.0209999999999999</v>
          </cell>
          <cell r="G107">
            <v>1.0269999999999999</v>
          </cell>
          <cell r="H107">
            <v>1.0029999999999999</v>
          </cell>
          <cell r="I107">
            <v>1.0289999999999999</v>
          </cell>
          <cell r="J107">
            <v>1.0049999999999999</v>
          </cell>
          <cell r="K107">
            <v>1.026</v>
          </cell>
          <cell r="L107">
            <v>1.0129999999999999</v>
          </cell>
          <cell r="M107">
            <v>1.0029999999999999</v>
          </cell>
          <cell r="N107">
            <v>1.0029999999999999</v>
          </cell>
          <cell r="O107">
            <v>1.0209999999999999</v>
          </cell>
          <cell r="P107">
            <v>1.032</v>
          </cell>
          <cell r="Q107">
            <v>1.0349999999999999</v>
          </cell>
          <cell r="R107">
            <v>1.3319480854780448</v>
          </cell>
        </row>
        <row r="108">
          <cell r="A108">
            <v>3201</v>
          </cell>
          <cell r="B108" t="str">
            <v>UNDERWATER EQUIPMENT RDT&amp;E FACILITY</v>
          </cell>
          <cell r="C108" t="str">
            <v>SF</v>
          </cell>
          <cell r="D108" t="str">
            <v>B</v>
          </cell>
          <cell r="E108">
            <v>1.0740000000000001</v>
          </cell>
          <cell r="F108">
            <v>1.0209999999999999</v>
          </cell>
          <cell r="G108">
            <v>1.0269999999999999</v>
          </cell>
          <cell r="H108">
            <v>1.0029999999999999</v>
          </cell>
          <cell r="I108">
            <v>1.0289999999999999</v>
          </cell>
          <cell r="J108">
            <v>1.0049999999999999</v>
          </cell>
          <cell r="K108">
            <v>1.026</v>
          </cell>
          <cell r="L108">
            <v>1.0129999999999999</v>
          </cell>
          <cell r="M108">
            <v>1.0029999999999999</v>
          </cell>
          <cell r="N108">
            <v>1.0029999999999999</v>
          </cell>
          <cell r="O108">
            <v>1.0209999999999999</v>
          </cell>
          <cell r="P108">
            <v>1.032</v>
          </cell>
          <cell r="Q108">
            <v>1.0349999999999999</v>
          </cell>
          <cell r="R108">
            <v>1.3319480854780448</v>
          </cell>
        </row>
        <row r="109">
          <cell r="A109">
            <v>3903</v>
          </cell>
          <cell r="B109" t="str">
            <v>AERODYNAMIC WIND TUNNEL</v>
          </cell>
          <cell r="C109" t="str">
            <v>EA</v>
          </cell>
          <cell r="D109" t="str">
            <v>S</v>
          </cell>
          <cell r="E109">
            <v>1.0740000000000001</v>
          </cell>
          <cell r="F109">
            <v>1.0209999999999999</v>
          </cell>
          <cell r="G109">
            <v>1.0269999999999999</v>
          </cell>
          <cell r="L109">
            <v>1.0129999999999999</v>
          </cell>
          <cell r="P109">
            <v>1.032</v>
          </cell>
          <cell r="Q109">
            <v>1.0349999999999999</v>
          </cell>
          <cell r="R109">
            <v>1.2185124180109259</v>
          </cell>
        </row>
        <row r="110">
          <cell r="A110">
            <v>4114</v>
          </cell>
          <cell r="B110" t="str">
            <v>SMALL BULK STORAGE</v>
          </cell>
          <cell r="C110" t="str">
            <v>GA</v>
          </cell>
          <cell r="D110" t="str">
            <v>S</v>
          </cell>
          <cell r="F110">
            <v>1.0209999999999999</v>
          </cell>
          <cell r="R110">
            <v>1.0209999999999999</v>
          </cell>
        </row>
        <row r="111">
          <cell r="A111">
            <v>4212</v>
          </cell>
          <cell r="B111" t="str">
            <v>INTERCONTINENTAL BALLISTIC MISSILE STORAGE FACILITY</v>
          </cell>
          <cell r="C111" t="str">
            <v>SF</v>
          </cell>
          <cell r="D111" t="str">
            <v>B</v>
          </cell>
          <cell r="F111">
            <v>1.0209999999999999</v>
          </cell>
          <cell r="G111">
            <v>1.0269999999999999</v>
          </cell>
          <cell r="H111">
            <v>1.0029999999999999</v>
          </cell>
          <cell r="I111">
            <v>1.0289999999999999</v>
          </cell>
          <cell r="J111">
            <v>1.0049999999999999</v>
          </cell>
          <cell r="M111">
            <v>1.0029999999999999</v>
          </cell>
          <cell r="N111">
            <v>1.0029999999999999</v>
          </cell>
          <cell r="O111">
            <v>1.0209999999999999</v>
          </cell>
          <cell r="P111">
            <v>1.032</v>
          </cell>
          <cell r="Q111">
            <v>1.0349999999999999</v>
          </cell>
          <cell r="R111">
            <v>1.1932356231980656</v>
          </cell>
        </row>
        <row r="112">
          <cell r="A112">
            <v>4231</v>
          </cell>
          <cell r="B112" t="str">
            <v>LIQUID PROPELLANT STORAGE, AMMUNITION RELATED</v>
          </cell>
          <cell r="C112" t="str">
            <v>GA</v>
          </cell>
          <cell r="D112" t="str">
            <v>S</v>
          </cell>
          <cell r="F112">
            <v>1.0209999999999999</v>
          </cell>
          <cell r="R112">
            <v>1.0209999999999999</v>
          </cell>
        </row>
        <row r="113">
          <cell r="A113">
            <v>4251</v>
          </cell>
          <cell r="B113" t="str">
            <v>OPEN AMMUNITION STORAGE</v>
          </cell>
          <cell r="C113" t="str">
            <v>SY</v>
          </cell>
          <cell r="D113" t="str">
            <v>S</v>
          </cell>
          <cell r="F113">
            <v>1.0209999999999999</v>
          </cell>
          <cell r="P113">
            <v>1.032</v>
          </cell>
          <cell r="Q113">
            <v>1.0349999999999999</v>
          </cell>
          <cell r="R113">
            <v>1.0905505199999999</v>
          </cell>
        </row>
        <row r="114">
          <cell r="A114">
            <v>4311</v>
          </cell>
          <cell r="B114" t="str">
            <v>COLD STORAGE, DEPOT</v>
          </cell>
          <cell r="C114" t="str">
            <v>SF</v>
          </cell>
          <cell r="D114" t="str">
            <v>B</v>
          </cell>
          <cell r="F114">
            <v>1.0209999999999999</v>
          </cell>
          <cell r="G114">
            <v>1.0269999999999999</v>
          </cell>
          <cell r="H114">
            <v>1.0029999999999999</v>
          </cell>
          <cell r="I114">
            <v>1.0289999999999999</v>
          </cell>
          <cell r="J114">
            <v>1.0049999999999999</v>
          </cell>
          <cell r="M114">
            <v>1.0029999999999999</v>
          </cell>
          <cell r="N114">
            <v>1.0029999999999999</v>
          </cell>
          <cell r="P114">
            <v>1.032</v>
          </cell>
          <cell r="Q114">
            <v>1.0349999999999999</v>
          </cell>
          <cell r="R114">
            <v>1.168693068754227</v>
          </cell>
        </row>
        <row r="115">
          <cell r="A115">
            <v>4321</v>
          </cell>
          <cell r="B115" t="str">
            <v>COLD STORAGE, INSTALLATION</v>
          </cell>
          <cell r="C115" t="str">
            <v>SF</v>
          </cell>
          <cell r="D115" t="str">
            <v>B</v>
          </cell>
          <cell r="F115">
            <v>1.0209999999999999</v>
          </cell>
          <cell r="G115">
            <v>1.0269999999999999</v>
          </cell>
          <cell r="I115">
            <v>1.0289999999999999</v>
          </cell>
          <cell r="J115">
            <v>1.0049999999999999</v>
          </cell>
          <cell r="M115">
            <v>1.0029999999999999</v>
          </cell>
          <cell r="N115">
            <v>1.0029999999999999</v>
          </cell>
          <cell r="P115">
            <v>1.032</v>
          </cell>
          <cell r="Q115">
            <v>1.0349999999999999</v>
          </cell>
          <cell r="R115">
            <v>1.1651974763252515</v>
          </cell>
        </row>
        <row r="116">
          <cell r="A116">
            <v>4414</v>
          </cell>
          <cell r="B116" t="str">
            <v>CONTROLLED HUMIDITY STORAGE, DEPOT</v>
          </cell>
          <cell r="C116" t="str">
            <v>SF</v>
          </cell>
          <cell r="D116" t="str">
            <v>B</v>
          </cell>
          <cell r="F116">
            <v>1.0209999999999999</v>
          </cell>
          <cell r="G116">
            <v>1.0269999999999999</v>
          </cell>
          <cell r="H116">
            <v>1.0029999999999999</v>
          </cell>
          <cell r="I116">
            <v>1.0289999999999999</v>
          </cell>
          <cell r="J116">
            <v>1.0049999999999999</v>
          </cell>
          <cell r="M116">
            <v>1.0029999999999999</v>
          </cell>
          <cell r="N116">
            <v>1.0029999999999999</v>
          </cell>
          <cell r="P116">
            <v>1.032</v>
          </cell>
          <cell r="Q116">
            <v>1.0349999999999999</v>
          </cell>
          <cell r="R116">
            <v>1.168693068754227</v>
          </cell>
        </row>
        <row r="117">
          <cell r="A117">
            <v>4424</v>
          </cell>
          <cell r="B117" t="str">
            <v>CONTROLLED HUMIDITY STORAGE, INSTALLATION</v>
          </cell>
          <cell r="C117" t="str">
            <v>SF</v>
          </cell>
          <cell r="D117" t="str">
            <v>B</v>
          </cell>
          <cell r="F117">
            <v>1.0209999999999999</v>
          </cell>
          <cell r="G117">
            <v>1.0269999999999999</v>
          </cell>
          <cell r="H117">
            <v>1.0029999999999999</v>
          </cell>
          <cell r="I117">
            <v>1.0289999999999999</v>
          </cell>
          <cell r="J117">
            <v>1.0049999999999999</v>
          </cell>
          <cell r="M117">
            <v>1.0029999999999999</v>
          </cell>
          <cell r="N117">
            <v>1.0029999999999999</v>
          </cell>
          <cell r="P117">
            <v>1.032</v>
          </cell>
          <cell r="Q117">
            <v>1.0349999999999999</v>
          </cell>
          <cell r="R117">
            <v>1.168693068754227</v>
          </cell>
        </row>
        <row r="118">
          <cell r="A118">
            <v>4425</v>
          </cell>
          <cell r="B118" t="str">
            <v>VEHICLE STORAGE, COVERED</v>
          </cell>
          <cell r="C118" t="str">
            <v>SF</v>
          </cell>
          <cell r="D118" t="str">
            <v>B</v>
          </cell>
          <cell r="F118">
            <v>1.0209999999999999</v>
          </cell>
          <cell r="G118">
            <v>1.0269999999999999</v>
          </cell>
          <cell r="J118">
            <v>1.0049999999999999</v>
          </cell>
          <cell r="P118">
            <v>1.032</v>
          </cell>
          <cell r="Q118">
            <v>1.0349999999999999</v>
          </cell>
          <cell r="R118">
            <v>1.1255953609601996</v>
          </cell>
        </row>
        <row r="119">
          <cell r="A119">
            <v>4426</v>
          </cell>
          <cell r="B119" t="str">
            <v>STORAGE SILO, LOOSE MATERIAL</v>
          </cell>
          <cell r="C119" t="str">
            <v>SF</v>
          </cell>
          <cell r="D119" t="str">
            <v>B</v>
          </cell>
          <cell r="F119">
            <v>1.0209999999999999</v>
          </cell>
          <cell r="P119">
            <v>1.032</v>
          </cell>
          <cell r="Q119">
            <v>1.0349999999999999</v>
          </cell>
          <cell r="R119">
            <v>1.0905505199999999</v>
          </cell>
        </row>
        <row r="120">
          <cell r="A120">
            <v>4428</v>
          </cell>
          <cell r="B120" t="str">
            <v>STORAGE AND CUSTOMER SERVICE</v>
          </cell>
          <cell r="C120" t="str">
            <v>SF</v>
          </cell>
          <cell r="D120" t="str">
            <v>B</v>
          </cell>
          <cell r="F120">
            <v>1.0209999999999999</v>
          </cell>
          <cell r="J120">
            <v>1.0049999999999999</v>
          </cell>
          <cell r="M120">
            <v>1.0029999999999999</v>
          </cell>
          <cell r="N120">
            <v>1.0029999999999999</v>
          </cell>
          <cell r="P120">
            <v>1.032</v>
          </cell>
          <cell r="Q120">
            <v>1.0349999999999999</v>
          </cell>
          <cell r="R120">
            <v>1.1025891562650529</v>
          </cell>
        </row>
        <row r="121">
          <cell r="A121">
            <v>4511</v>
          </cell>
          <cell r="B121" t="str">
            <v>OPEN STORAGE, DEPOT</v>
          </cell>
          <cell r="C121" t="str">
            <v>SY</v>
          </cell>
          <cell r="D121" t="str">
            <v>S</v>
          </cell>
          <cell r="F121">
            <v>1.0209999999999999</v>
          </cell>
          <cell r="P121">
            <v>1.032</v>
          </cell>
          <cell r="Q121">
            <v>1.0349999999999999</v>
          </cell>
          <cell r="R121">
            <v>1.0905505199999999</v>
          </cell>
        </row>
        <row r="122">
          <cell r="A122">
            <v>4521</v>
          </cell>
          <cell r="B122" t="str">
            <v>OPEN STORAGE, INSTALLATION</v>
          </cell>
          <cell r="C122" t="str">
            <v>SY</v>
          </cell>
          <cell r="D122" t="str">
            <v>S</v>
          </cell>
          <cell r="F122">
            <v>1.0209999999999999</v>
          </cell>
          <cell r="P122">
            <v>1.032</v>
          </cell>
          <cell r="Q122">
            <v>1.0349999999999999</v>
          </cell>
          <cell r="R122">
            <v>1.0905505199999999</v>
          </cell>
        </row>
        <row r="123">
          <cell r="A123">
            <v>5302</v>
          </cell>
          <cell r="B123" t="str">
            <v>MEDICAL LABORATORY</v>
          </cell>
          <cell r="C123" t="str">
            <v>SF</v>
          </cell>
          <cell r="D123" t="str">
            <v>B</v>
          </cell>
          <cell r="E123">
            <v>1.0740000000000001</v>
          </cell>
          <cell r="F123">
            <v>1.0209999999999999</v>
          </cell>
          <cell r="G123">
            <v>1.0269999999999999</v>
          </cell>
          <cell r="H123">
            <v>1.0029999999999999</v>
          </cell>
          <cell r="I123">
            <v>1.0289999999999999</v>
          </cell>
          <cell r="J123">
            <v>1.0049999999999999</v>
          </cell>
          <cell r="K123">
            <v>1.026</v>
          </cell>
          <cell r="L123">
            <v>1.0129999999999999</v>
          </cell>
          <cell r="M123">
            <v>1.0029999999999999</v>
          </cell>
          <cell r="N123">
            <v>1.0029999999999999</v>
          </cell>
          <cell r="O123">
            <v>1.0209999999999999</v>
          </cell>
          <cell r="P123">
            <v>1.032</v>
          </cell>
          <cell r="Q123">
            <v>1.0349999999999999</v>
          </cell>
          <cell r="R123">
            <v>1.3319480854780448</v>
          </cell>
        </row>
        <row r="124">
          <cell r="A124">
            <v>5303</v>
          </cell>
          <cell r="B124" t="str">
            <v>MORGUE</v>
          </cell>
          <cell r="C124" t="str">
            <v>SF</v>
          </cell>
          <cell r="D124" t="str">
            <v>B</v>
          </cell>
          <cell r="E124">
            <v>1.0740000000000001</v>
          </cell>
          <cell r="F124">
            <v>1.0209999999999999</v>
          </cell>
          <cell r="G124">
            <v>1.0269999999999999</v>
          </cell>
          <cell r="H124">
            <v>1.0029999999999999</v>
          </cell>
          <cell r="I124">
            <v>1.0289999999999999</v>
          </cell>
          <cell r="J124">
            <v>1.0049999999999999</v>
          </cell>
          <cell r="K124">
            <v>1.026</v>
          </cell>
          <cell r="L124">
            <v>1.0129999999999999</v>
          </cell>
          <cell r="M124">
            <v>1.0029999999999999</v>
          </cell>
          <cell r="N124">
            <v>1.0029999999999999</v>
          </cell>
          <cell r="O124">
            <v>1.0209999999999999</v>
          </cell>
          <cell r="P124">
            <v>1.032</v>
          </cell>
          <cell r="Q124">
            <v>1.0349999999999999</v>
          </cell>
          <cell r="R124">
            <v>1.3319480854780448</v>
          </cell>
        </row>
        <row r="125">
          <cell r="A125">
            <v>5304</v>
          </cell>
          <cell r="B125" t="str">
            <v>VETERINARY FACILITY</v>
          </cell>
          <cell r="C125" t="str">
            <v>SF</v>
          </cell>
          <cell r="D125" t="str">
            <v>B</v>
          </cell>
          <cell r="E125">
            <v>1.0740000000000001</v>
          </cell>
          <cell r="F125">
            <v>1.0209999999999999</v>
          </cell>
          <cell r="G125">
            <v>1.0269999999999999</v>
          </cell>
          <cell r="H125">
            <v>1.0029999999999999</v>
          </cell>
          <cell r="I125">
            <v>1.0289999999999999</v>
          </cell>
          <cell r="J125">
            <v>1.0049999999999999</v>
          </cell>
          <cell r="K125">
            <v>1.026</v>
          </cell>
          <cell r="L125">
            <v>1.0129999999999999</v>
          </cell>
          <cell r="M125">
            <v>1.0029999999999999</v>
          </cell>
          <cell r="N125">
            <v>1.0029999999999999</v>
          </cell>
          <cell r="O125">
            <v>1.0209999999999999</v>
          </cell>
          <cell r="P125">
            <v>1.032</v>
          </cell>
          <cell r="Q125">
            <v>1.0349999999999999</v>
          </cell>
          <cell r="R125">
            <v>1.3319480854780448</v>
          </cell>
        </row>
        <row r="126">
          <cell r="A126">
            <v>5306</v>
          </cell>
          <cell r="B126" t="str">
            <v>MEDICAL WAREHOUSE</v>
          </cell>
          <cell r="C126" t="str">
            <v>SF</v>
          </cell>
          <cell r="D126" t="str">
            <v>B</v>
          </cell>
          <cell r="E126">
            <v>1.0740000000000001</v>
          </cell>
          <cell r="F126">
            <v>1.0209999999999999</v>
          </cell>
          <cell r="G126">
            <v>1.0269999999999999</v>
          </cell>
          <cell r="H126">
            <v>1.0029999999999999</v>
          </cell>
          <cell r="I126">
            <v>1.0289999999999999</v>
          </cell>
          <cell r="J126">
            <v>1.0049999999999999</v>
          </cell>
          <cell r="L126">
            <v>1.0129999999999999</v>
          </cell>
          <cell r="M126">
            <v>1.0029999999999999</v>
          </cell>
          <cell r="N126">
            <v>1.0029999999999999</v>
          </cell>
          <cell r="O126">
            <v>1.0209999999999999</v>
          </cell>
          <cell r="P126">
            <v>1.032</v>
          </cell>
          <cell r="Q126">
            <v>1.0349999999999999</v>
          </cell>
          <cell r="R126">
            <v>1.2981950150858137</v>
          </cell>
        </row>
        <row r="127">
          <cell r="A127">
            <v>5307</v>
          </cell>
          <cell r="B127" t="str">
            <v>AMBULANCE SHELTER</v>
          </cell>
          <cell r="C127" t="str">
            <v>SF</v>
          </cell>
          <cell r="D127" t="str">
            <v>B</v>
          </cell>
          <cell r="F127">
            <v>1.0209999999999999</v>
          </cell>
          <cell r="G127">
            <v>1.0269999999999999</v>
          </cell>
          <cell r="P127">
            <v>1.032</v>
          </cell>
          <cell r="Q127">
            <v>1.0349999999999999</v>
          </cell>
          <cell r="R127">
            <v>1.1199953840399997</v>
          </cell>
        </row>
        <row r="128">
          <cell r="A128">
            <v>6103</v>
          </cell>
          <cell r="B128" t="str">
            <v>PRINTING AND REPRODUCTION PLANT</v>
          </cell>
          <cell r="C128" t="str">
            <v>SF</v>
          </cell>
          <cell r="D128" t="str">
            <v>B</v>
          </cell>
          <cell r="F128">
            <v>1.0209999999999999</v>
          </cell>
          <cell r="G128">
            <v>1.0269999999999999</v>
          </cell>
          <cell r="H128">
            <v>1.0029999999999999</v>
          </cell>
          <cell r="I128">
            <v>1.0289999999999999</v>
          </cell>
          <cell r="J128">
            <v>1.0049999999999999</v>
          </cell>
          <cell r="O128">
            <v>1.0209999999999999</v>
          </cell>
          <cell r="P128">
            <v>1.032</v>
          </cell>
          <cell r="Q128">
            <v>1.0349999999999999</v>
          </cell>
          <cell r="R128">
            <v>1.1861082984327833</v>
          </cell>
        </row>
        <row r="129">
          <cell r="A129">
            <v>6107</v>
          </cell>
          <cell r="B129" t="str">
            <v>GENERAL ADMIN BUILDING, HIGH-RISE</v>
          </cell>
          <cell r="C129" t="str">
            <v>SF</v>
          </cell>
          <cell r="D129" t="str">
            <v>B</v>
          </cell>
          <cell r="E129">
            <v>1.0740000000000001</v>
          </cell>
          <cell r="F129">
            <v>1.0209999999999999</v>
          </cell>
          <cell r="G129">
            <v>1.0269999999999999</v>
          </cell>
          <cell r="H129">
            <v>1.0029999999999999</v>
          </cell>
          <cell r="I129">
            <v>1.0289999999999999</v>
          </cell>
          <cell r="J129">
            <v>1.0049999999999999</v>
          </cell>
          <cell r="K129">
            <v>1.026</v>
          </cell>
          <cell r="L129">
            <v>1.0129999999999999</v>
          </cell>
          <cell r="M129">
            <v>1.0029999999999999</v>
          </cell>
          <cell r="N129">
            <v>1.0029999999999999</v>
          </cell>
          <cell r="O129">
            <v>1.0209999999999999</v>
          </cell>
          <cell r="P129">
            <v>1.032</v>
          </cell>
          <cell r="Q129">
            <v>1.0349999999999999</v>
          </cell>
          <cell r="R129">
            <v>1.3319480854780448</v>
          </cell>
        </row>
        <row r="130">
          <cell r="A130">
            <v>6900</v>
          </cell>
          <cell r="B130" t="str">
            <v>ADMINISTRATIVE STRUCTURE, OTHER THAN BUILDINGS</v>
          </cell>
          <cell r="C130" t="str">
            <v>EA</v>
          </cell>
          <cell r="D130" t="str">
            <v>S</v>
          </cell>
          <cell r="F130">
            <v>1.0209999999999999</v>
          </cell>
          <cell r="R130">
            <v>1.0209999999999999</v>
          </cell>
        </row>
        <row r="131">
          <cell r="A131">
            <v>7120</v>
          </cell>
          <cell r="B131" t="str">
            <v>FAMILY HOUSING TRAILER</v>
          </cell>
          <cell r="C131" t="str">
            <v>SF</v>
          </cell>
          <cell r="D131" t="str">
            <v>B</v>
          </cell>
          <cell r="F131">
            <v>1.0209999999999999</v>
          </cell>
          <cell r="R131">
            <v>1.0209999999999999</v>
          </cell>
        </row>
        <row r="132">
          <cell r="A132">
            <v>7130</v>
          </cell>
          <cell r="B132" t="str">
            <v>FAMILY HOUSING TRAILER SITE</v>
          </cell>
          <cell r="C132" t="str">
            <v>SY</v>
          </cell>
          <cell r="D132" t="str">
            <v>LS</v>
          </cell>
          <cell r="F132">
            <v>1.0209999999999999</v>
          </cell>
          <cell r="R132">
            <v>1.0209999999999999</v>
          </cell>
        </row>
        <row r="133">
          <cell r="A133">
            <v>7141</v>
          </cell>
          <cell r="B133" t="str">
            <v>FAMILY HOUSING GARAGE</v>
          </cell>
          <cell r="C133" t="str">
            <v>SF</v>
          </cell>
          <cell r="D133" t="str">
            <v>B</v>
          </cell>
          <cell r="F133">
            <v>1.0209999999999999</v>
          </cell>
          <cell r="P133">
            <v>1.032</v>
          </cell>
          <cell r="Q133">
            <v>1.0349999999999999</v>
          </cell>
          <cell r="R133">
            <v>1.0905505199999999</v>
          </cell>
        </row>
        <row r="134">
          <cell r="A134">
            <v>7142</v>
          </cell>
          <cell r="B134" t="str">
            <v>FAMILY HOUSING STORAGE FACILITY</v>
          </cell>
          <cell r="C134" t="str">
            <v>SF</v>
          </cell>
          <cell r="D134" t="str">
            <v>B</v>
          </cell>
          <cell r="F134">
            <v>1.0209999999999999</v>
          </cell>
          <cell r="R134">
            <v>1.0209999999999999</v>
          </cell>
        </row>
        <row r="135">
          <cell r="A135">
            <v>7143</v>
          </cell>
          <cell r="B135" t="str">
            <v>MISCELLANEOUS FAMILY HOUSING SUPPORT FACILITY</v>
          </cell>
          <cell r="C135" t="str">
            <v>SF</v>
          </cell>
          <cell r="D135" t="str">
            <v>B</v>
          </cell>
          <cell r="F135">
            <v>1.0209999999999999</v>
          </cell>
          <cell r="R135">
            <v>1.0209999999999999</v>
          </cell>
        </row>
        <row r="136">
          <cell r="A136">
            <v>7145</v>
          </cell>
          <cell r="B136" t="str">
            <v>TRAILER COURT SUPPORT FACILITY</v>
          </cell>
          <cell r="C136" t="str">
            <v>SF</v>
          </cell>
          <cell r="D136" t="str">
            <v>B</v>
          </cell>
          <cell r="F136">
            <v>1.0209999999999999</v>
          </cell>
          <cell r="R136">
            <v>1.0209999999999999</v>
          </cell>
        </row>
        <row r="137">
          <cell r="A137">
            <v>7147</v>
          </cell>
          <cell r="B137" t="str">
            <v>FAMILY HOUSING CARPORT</v>
          </cell>
          <cell r="C137" t="str">
            <v>SF</v>
          </cell>
          <cell r="D137" t="str">
            <v>S</v>
          </cell>
          <cell r="F137">
            <v>1.0209999999999999</v>
          </cell>
          <cell r="P137">
            <v>1.032</v>
          </cell>
          <cell r="Q137">
            <v>1.0349999999999999</v>
          </cell>
          <cell r="R137">
            <v>1.0905505199999999</v>
          </cell>
        </row>
        <row r="138">
          <cell r="A138">
            <v>7215</v>
          </cell>
          <cell r="B138" t="str">
            <v>UNACCOMPANIED HOUSING FOR WOUNDED WARRIORS</v>
          </cell>
          <cell r="C138" t="str">
            <v>SF</v>
          </cell>
          <cell r="D138" t="str">
            <v>B</v>
          </cell>
          <cell r="E138">
            <v>1.0740000000000001</v>
          </cell>
          <cell r="F138">
            <v>1.0209999999999999</v>
          </cell>
          <cell r="G138">
            <v>1.0269999999999999</v>
          </cell>
          <cell r="H138">
            <v>1.0029999999999999</v>
          </cell>
          <cell r="I138">
            <v>1.0289999999999999</v>
          </cell>
          <cell r="J138">
            <v>1.0049999999999999</v>
          </cell>
          <cell r="K138">
            <v>1.026</v>
          </cell>
          <cell r="L138">
            <v>1.0129999999999999</v>
          </cell>
          <cell r="M138">
            <v>1.0029999999999999</v>
          </cell>
          <cell r="N138">
            <v>1.0029999999999999</v>
          </cell>
          <cell r="O138">
            <v>1.0209999999999999</v>
          </cell>
          <cell r="P138">
            <v>1.032</v>
          </cell>
          <cell r="Q138">
            <v>1.0349999999999999</v>
          </cell>
          <cell r="R138">
            <v>1.3319480854780448</v>
          </cell>
        </row>
        <row r="139">
          <cell r="A139">
            <v>7231</v>
          </cell>
          <cell r="B139" t="str">
            <v>MISCELLANEOUS UPH SUPPORT BUILDING</v>
          </cell>
          <cell r="C139" t="str">
            <v>SF</v>
          </cell>
          <cell r="D139" t="str">
            <v>B</v>
          </cell>
          <cell r="E139">
            <v>1.0740000000000001</v>
          </cell>
          <cell r="F139">
            <v>1.0209999999999999</v>
          </cell>
          <cell r="G139">
            <v>1.0269999999999999</v>
          </cell>
          <cell r="M139">
            <v>1.0029999999999999</v>
          </cell>
          <cell r="Q139">
            <v>1.0349999999999999</v>
          </cell>
          <cell r="R139">
            <v>1.1690733213045894</v>
          </cell>
        </row>
        <row r="140">
          <cell r="A140">
            <v>7232</v>
          </cell>
          <cell r="B140" t="str">
            <v>UNACCOMPANIED PERSONNEL HOUSING GARAGE</v>
          </cell>
          <cell r="C140" t="str">
            <v>SF</v>
          </cell>
          <cell r="D140" t="str">
            <v>B</v>
          </cell>
          <cell r="F140">
            <v>1.0209999999999999</v>
          </cell>
          <cell r="H140">
            <v>1.0029999999999999</v>
          </cell>
          <cell r="P140">
            <v>1.032</v>
          </cell>
          <cell r="Q140">
            <v>1.0349999999999999</v>
          </cell>
          <cell r="R140">
            <v>1.0938221715599996</v>
          </cell>
        </row>
        <row r="141">
          <cell r="A141">
            <v>7233</v>
          </cell>
          <cell r="B141" t="str">
            <v>DINING SUPPORT FACILITY</v>
          </cell>
          <cell r="C141" t="str">
            <v>SF</v>
          </cell>
          <cell r="D141" t="str">
            <v>B</v>
          </cell>
          <cell r="F141">
            <v>1.0209999999999999</v>
          </cell>
          <cell r="G141">
            <v>1.0269999999999999</v>
          </cell>
          <cell r="H141">
            <v>1.0029999999999999</v>
          </cell>
          <cell r="J141">
            <v>1.0049999999999999</v>
          </cell>
          <cell r="R141">
            <v>1.0569712645049996</v>
          </cell>
        </row>
        <row r="142">
          <cell r="A142">
            <v>7234</v>
          </cell>
          <cell r="B142" t="str">
            <v>LATRINE/SHOWER FACILITY</v>
          </cell>
          <cell r="C142" t="str">
            <v>SF</v>
          </cell>
          <cell r="D142" t="str">
            <v>B</v>
          </cell>
          <cell r="F142">
            <v>1.0209999999999999</v>
          </cell>
          <cell r="G142">
            <v>1.0269999999999999</v>
          </cell>
          <cell r="K142">
            <v>1.026</v>
          </cell>
          <cell r="L142">
            <v>1.0129999999999999</v>
          </cell>
          <cell r="N142">
            <v>1.0029999999999999</v>
          </cell>
          <cell r="P142">
            <v>1.032</v>
          </cell>
          <cell r="Q142">
            <v>1.0349999999999999</v>
          </cell>
          <cell r="R142">
            <v>1.1675459237447372</v>
          </cell>
        </row>
        <row r="143">
          <cell r="A143">
            <v>7235</v>
          </cell>
          <cell r="B143" t="str">
            <v>MISCELLANEOUS UPH SUPPORT FACILITY</v>
          </cell>
          <cell r="C143" t="str">
            <v>EA</v>
          </cell>
          <cell r="D143" t="str">
            <v>S</v>
          </cell>
          <cell r="F143">
            <v>1.0209999999999999</v>
          </cell>
          <cell r="R143">
            <v>1.0209999999999999</v>
          </cell>
        </row>
        <row r="144">
          <cell r="A144">
            <v>7236</v>
          </cell>
          <cell r="B144" t="str">
            <v>UNACCOMPANIED PERSONNEL HOUSING CARPORT</v>
          </cell>
          <cell r="C144" t="str">
            <v>SF</v>
          </cell>
          <cell r="D144" t="str">
            <v>S</v>
          </cell>
          <cell r="F144">
            <v>1.0209999999999999</v>
          </cell>
          <cell r="P144">
            <v>1.032</v>
          </cell>
          <cell r="Q144">
            <v>1.0349999999999999</v>
          </cell>
          <cell r="R144">
            <v>1.0905505199999999</v>
          </cell>
        </row>
        <row r="145">
          <cell r="A145">
            <v>7241</v>
          </cell>
          <cell r="B145" t="str">
            <v>OFFICER UPH, TRANSIENT</v>
          </cell>
          <cell r="C145" t="str">
            <v>SF</v>
          </cell>
          <cell r="D145" t="str">
            <v>B</v>
          </cell>
          <cell r="E145">
            <v>1.0740000000000001</v>
          </cell>
          <cell r="F145">
            <v>1.0209999999999999</v>
          </cell>
          <cell r="G145">
            <v>1.0269999999999999</v>
          </cell>
          <cell r="H145">
            <v>1.0029999999999999</v>
          </cell>
          <cell r="I145">
            <v>1.0289999999999999</v>
          </cell>
          <cell r="J145">
            <v>1.0049999999999999</v>
          </cell>
          <cell r="K145">
            <v>1.026</v>
          </cell>
          <cell r="L145">
            <v>1.0129999999999999</v>
          </cell>
          <cell r="M145">
            <v>1.0029999999999999</v>
          </cell>
          <cell r="N145">
            <v>1.0029999999999999</v>
          </cell>
          <cell r="O145">
            <v>1.0209999999999999</v>
          </cell>
          <cell r="P145">
            <v>1.032</v>
          </cell>
          <cell r="Q145">
            <v>1.0349999999999999</v>
          </cell>
          <cell r="R145">
            <v>1.3319480854780448</v>
          </cell>
        </row>
        <row r="146">
          <cell r="A146">
            <v>7242</v>
          </cell>
          <cell r="B146" t="str">
            <v>SERVICE ACADEMY UNACCOMPANIED PERSONNEL HOUSING</v>
          </cell>
          <cell r="C146" t="str">
            <v>SF</v>
          </cell>
          <cell r="D146" t="str">
            <v>B</v>
          </cell>
          <cell r="E146">
            <v>1.0740000000000001</v>
          </cell>
          <cell r="F146">
            <v>1.0209999999999999</v>
          </cell>
          <cell r="G146">
            <v>1.0269999999999999</v>
          </cell>
          <cell r="H146">
            <v>1.0029999999999999</v>
          </cell>
          <cell r="I146">
            <v>1.0289999999999999</v>
          </cell>
          <cell r="J146">
            <v>1.0049999999999999</v>
          </cell>
          <cell r="K146">
            <v>1.026</v>
          </cell>
          <cell r="L146">
            <v>1.0129999999999999</v>
          </cell>
          <cell r="M146">
            <v>1.0029999999999999</v>
          </cell>
          <cell r="N146">
            <v>1.0029999999999999</v>
          </cell>
          <cell r="O146">
            <v>1.0209999999999999</v>
          </cell>
          <cell r="P146">
            <v>1.032</v>
          </cell>
          <cell r="Q146">
            <v>1.0349999999999999</v>
          </cell>
          <cell r="R146">
            <v>1.3319480854780448</v>
          </cell>
        </row>
        <row r="147">
          <cell r="A147">
            <v>7250</v>
          </cell>
          <cell r="B147" t="str">
            <v>EMERGENCY UNACCOMPANIED PERSONNEL HOUSING</v>
          </cell>
          <cell r="C147" t="str">
            <v>SF</v>
          </cell>
          <cell r="D147" t="str">
            <v>B</v>
          </cell>
          <cell r="E147">
            <v>1.0740000000000001</v>
          </cell>
          <cell r="F147">
            <v>1.0209999999999999</v>
          </cell>
          <cell r="G147">
            <v>1.0269999999999999</v>
          </cell>
          <cell r="H147">
            <v>1.0029999999999999</v>
          </cell>
          <cell r="I147">
            <v>1.0289999999999999</v>
          </cell>
          <cell r="J147">
            <v>1.0049999999999999</v>
          </cell>
          <cell r="K147">
            <v>1.026</v>
          </cell>
          <cell r="L147">
            <v>1.0129999999999999</v>
          </cell>
          <cell r="M147">
            <v>1.0029999999999999</v>
          </cell>
          <cell r="N147">
            <v>1.0029999999999999</v>
          </cell>
          <cell r="O147">
            <v>1.0209999999999999</v>
          </cell>
          <cell r="P147">
            <v>1.032</v>
          </cell>
          <cell r="Q147">
            <v>1.0349999999999999</v>
          </cell>
          <cell r="R147">
            <v>1.3319480854780448</v>
          </cell>
        </row>
        <row r="148">
          <cell r="A148">
            <v>7312</v>
          </cell>
          <cell r="B148" t="str">
            <v>PRISON/CONFINEMENT FACILITY</v>
          </cell>
          <cell r="C148" t="str">
            <v>SF</v>
          </cell>
          <cell r="D148" t="str">
            <v>B</v>
          </cell>
          <cell r="E148">
            <v>1.0740000000000001</v>
          </cell>
          <cell r="F148">
            <v>1.0209999999999999</v>
          </cell>
          <cell r="G148">
            <v>1.0269999999999999</v>
          </cell>
          <cell r="H148">
            <v>1.0029999999999999</v>
          </cell>
          <cell r="I148">
            <v>1.0289999999999999</v>
          </cell>
          <cell r="J148">
            <v>1.0049999999999999</v>
          </cell>
          <cell r="K148">
            <v>1.026</v>
          </cell>
          <cell r="L148">
            <v>1.0129999999999999</v>
          </cell>
          <cell r="M148">
            <v>1.0029999999999999</v>
          </cell>
          <cell r="N148">
            <v>1.0029999999999999</v>
          </cell>
          <cell r="O148">
            <v>1.0209999999999999</v>
          </cell>
          <cell r="P148">
            <v>1.032</v>
          </cell>
          <cell r="Q148">
            <v>1.0349999999999999</v>
          </cell>
          <cell r="R148">
            <v>1.3319480854780448</v>
          </cell>
        </row>
        <row r="149">
          <cell r="A149">
            <v>7313</v>
          </cell>
          <cell r="B149" t="str">
            <v>POLICE STATION</v>
          </cell>
          <cell r="C149" t="str">
            <v>SF</v>
          </cell>
          <cell r="D149" t="str">
            <v>B</v>
          </cell>
          <cell r="E149">
            <v>1.0740000000000001</v>
          </cell>
          <cell r="F149">
            <v>1.0209999999999999</v>
          </cell>
          <cell r="G149">
            <v>1.0269999999999999</v>
          </cell>
          <cell r="H149">
            <v>1.0029999999999999</v>
          </cell>
          <cell r="I149">
            <v>1.0289999999999999</v>
          </cell>
          <cell r="J149">
            <v>1.0049999999999999</v>
          </cell>
          <cell r="K149">
            <v>1.026</v>
          </cell>
          <cell r="L149">
            <v>1.0129999999999999</v>
          </cell>
          <cell r="M149">
            <v>1.0029999999999999</v>
          </cell>
          <cell r="N149">
            <v>1.0029999999999999</v>
          </cell>
          <cell r="O149">
            <v>1.0209999999999999</v>
          </cell>
          <cell r="P149">
            <v>1.032</v>
          </cell>
          <cell r="Q149">
            <v>1.0349999999999999</v>
          </cell>
          <cell r="R149">
            <v>1.3319480854780448</v>
          </cell>
        </row>
        <row r="150">
          <cell r="A150">
            <v>7314</v>
          </cell>
          <cell r="B150" t="str">
            <v>DRUG AND ALCOHOL ABUSE CENTER</v>
          </cell>
          <cell r="C150" t="str">
            <v>SF</v>
          </cell>
          <cell r="D150" t="str">
            <v>B</v>
          </cell>
          <cell r="E150">
            <v>1.0740000000000001</v>
          </cell>
          <cell r="F150">
            <v>1.0209999999999999</v>
          </cell>
          <cell r="G150">
            <v>1.0269999999999999</v>
          </cell>
          <cell r="H150">
            <v>1.0029999999999999</v>
          </cell>
          <cell r="I150">
            <v>1.0289999999999999</v>
          </cell>
          <cell r="J150">
            <v>1.0049999999999999</v>
          </cell>
          <cell r="K150">
            <v>1.026</v>
          </cell>
          <cell r="L150">
            <v>1.0129999999999999</v>
          </cell>
          <cell r="M150">
            <v>1.0029999999999999</v>
          </cell>
          <cell r="N150">
            <v>1.0029999999999999</v>
          </cell>
          <cell r="O150">
            <v>1.0209999999999999</v>
          </cell>
          <cell r="P150">
            <v>1.032</v>
          </cell>
          <cell r="Q150">
            <v>1.0349999999999999</v>
          </cell>
          <cell r="R150">
            <v>1.3319480854780448</v>
          </cell>
        </row>
        <row r="151">
          <cell r="A151">
            <v>7321</v>
          </cell>
          <cell r="B151" t="str">
            <v>BREAD/PASTRY KITCHEN</v>
          </cell>
          <cell r="C151" t="str">
            <v>SF</v>
          </cell>
          <cell r="D151" t="str">
            <v>B</v>
          </cell>
          <cell r="F151">
            <v>1.0209999999999999</v>
          </cell>
          <cell r="G151">
            <v>1.0269999999999999</v>
          </cell>
          <cell r="H151">
            <v>1.0029999999999999</v>
          </cell>
          <cell r="I151">
            <v>1.0289999999999999</v>
          </cell>
          <cell r="J151">
            <v>1.0049999999999999</v>
          </cell>
          <cell r="L151">
            <v>1.0129999999999999</v>
          </cell>
          <cell r="M151">
            <v>1.0029999999999999</v>
          </cell>
          <cell r="N151">
            <v>1.0029999999999999</v>
          </cell>
          <cell r="P151">
            <v>1.032</v>
          </cell>
          <cell r="Q151">
            <v>1.0349999999999999</v>
          </cell>
          <cell r="R151">
            <v>1.1838860786480316</v>
          </cell>
        </row>
        <row r="152">
          <cell r="A152">
            <v>7322</v>
          </cell>
          <cell r="B152" t="str">
            <v>ICE/DAIRY PRODUCTS PLANT</v>
          </cell>
          <cell r="C152" t="str">
            <v>SF</v>
          </cell>
          <cell r="D152" t="str">
            <v>B</v>
          </cell>
          <cell r="F152">
            <v>1.0209999999999999</v>
          </cell>
          <cell r="G152">
            <v>1.0269999999999999</v>
          </cell>
          <cell r="H152">
            <v>1.0029999999999999</v>
          </cell>
          <cell r="I152">
            <v>1.0289999999999999</v>
          </cell>
          <cell r="J152">
            <v>1.0049999999999999</v>
          </cell>
          <cell r="L152">
            <v>1.0129999999999999</v>
          </cell>
          <cell r="M152">
            <v>1.0029999999999999</v>
          </cell>
          <cell r="N152">
            <v>1.0029999999999999</v>
          </cell>
          <cell r="P152">
            <v>1.032</v>
          </cell>
          <cell r="Q152">
            <v>1.0349999999999999</v>
          </cell>
          <cell r="R152">
            <v>1.1838860786480316</v>
          </cell>
        </row>
        <row r="153">
          <cell r="A153">
            <v>7323</v>
          </cell>
          <cell r="B153" t="str">
            <v>GREENHOUSE</v>
          </cell>
          <cell r="C153" t="str">
            <v>SF</v>
          </cell>
          <cell r="D153" t="str">
            <v>B</v>
          </cell>
          <cell r="F153">
            <v>1.0209999999999999</v>
          </cell>
          <cell r="R153">
            <v>1.0209999999999999</v>
          </cell>
        </row>
        <row r="154">
          <cell r="A154">
            <v>7331</v>
          </cell>
          <cell r="B154" t="str">
            <v>EXCHANGE EATING FACILITY</v>
          </cell>
          <cell r="C154" t="str">
            <v>SF</v>
          </cell>
          <cell r="D154" t="str">
            <v>B</v>
          </cell>
          <cell r="E154">
            <v>1.0740000000000001</v>
          </cell>
          <cell r="F154">
            <v>1.0209999999999999</v>
          </cell>
          <cell r="G154">
            <v>1.0269999999999999</v>
          </cell>
          <cell r="J154">
            <v>1.0049999999999999</v>
          </cell>
          <cell r="K154">
            <v>1.026</v>
          </cell>
          <cell r="L154">
            <v>1.0129999999999999</v>
          </cell>
          <cell r="M154">
            <v>1.0029999999999999</v>
          </cell>
          <cell r="N154">
            <v>1.0029999999999999</v>
          </cell>
          <cell r="O154">
            <v>1.0209999999999999</v>
          </cell>
          <cell r="P154">
            <v>1.032</v>
          </cell>
          <cell r="Q154">
            <v>1.0349999999999999</v>
          </cell>
          <cell r="R154">
            <v>1.290538574246207</v>
          </cell>
        </row>
        <row r="155">
          <cell r="A155">
            <v>7333</v>
          </cell>
          <cell r="B155" t="str">
            <v>OPEN MESS AND CLUB FACILITY</v>
          </cell>
          <cell r="C155" t="str">
            <v>SF</v>
          </cell>
          <cell r="D155" t="str">
            <v>B</v>
          </cell>
          <cell r="E155">
            <v>1.0740000000000001</v>
          </cell>
          <cell r="F155">
            <v>1.0209999999999999</v>
          </cell>
          <cell r="G155">
            <v>1.0269999999999999</v>
          </cell>
          <cell r="H155">
            <v>1.0029999999999999</v>
          </cell>
          <cell r="I155">
            <v>1.0289999999999999</v>
          </cell>
          <cell r="J155">
            <v>1.0049999999999999</v>
          </cell>
          <cell r="K155">
            <v>1.026</v>
          </cell>
          <cell r="L155">
            <v>1.0129999999999999</v>
          </cell>
          <cell r="M155">
            <v>1.0029999999999999</v>
          </cell>
          <cell r="N155">
            <v>1.0029999999999999</v>
          </cell>
          <cell r="O155">
            <v>1.0209999999999999</v>
          </cell>
          <cell r="P155">
            <v>1.032</v>
          </cell>
          <cell r="Q155">
            <v>1.0349999999999999</v>
          </cell>
          <cell r="R155">
            <v>1.3319480854780448</v>
          </cell>
        </row>
        <row r="156">
          <cell r="A156">
            <v>7340</v>
          </cell>
          <cell r="B156" t="str">
            <v>THRIFT SHOP</v>
          </cell>
          <cell r="C156" t="str">
            <v>SF</v>
          </cell>
          <cell r="D156" t="str">
            <v>B</v>
          </cell>
          <cell r="F156">
            <v>1.0209999999999999</v>
          </cell>
          <cell r="J156">
            <v>1.0049999999999999</v>
          </cell>
          <cell r="N156">
            <v>1.0029999999999999</v>
          </cell>
          <cell r="R156">
            <v>1.0291833149999998</v>
          </cell>
        </row>
        <row r="157">
          <cell r="A157">
            <v>7341</v>
          </cell>
          <cell r="B157" t="str">
            <v>BUS STATION</v>
          </cell>
          <cell r="C157" t="str">
            <v>SF</v>
          </cell>
          <cell r="D157" t="str">
            <v>B</v>
          </cell>
          <cell r="F157">
            <v>1.0209999999999999</v>
          </cell>
          <cell r="H157">
            <v>1.0029999999999999</v>
          </cell>
          <cell r="I157">
            <v>1.0289999999999999</v>
          </cell>
          <cell r="J157">
            <v>1.0049999999999999</v>
          </cell>
          <cell r="N157">
            <v>1.0029999999999999</v>
          </cell>
          <cell r="P157">
            <v>1.032</v>
          </cell>
          <cell r="Q157">
            <v>1.0349999999999999</v>
          </cell>
          <cell r="R157">
            <v>1.1345642417967394</v>
          </cell>
        </row>
        <row r="158">
          <cell r="A158">
            <v>7342</v>
          </cell>
          <cell r="B158" t="str">
            <v>LAUNDRY/DRY CLEANING FACILITY</v>
          </cell>
          <cell r="C158" t="str">
            <v>SF</v>
          </cell>
          <cell r="D158" t="str">
            <v>B</v>
          </cell>
          <cell r="F158">
            <v>1.0209999999999999</v>
          </cell>
          <cell r="L158">
            <v>1.0129999999999999</v>
          </cell>
          <cell r="M158">
            <v>1.0029999999999999</v>
          </cell>
          <cell r="N158">
            <v>1.0029999999999999</v>
          </cell>
          <cell r="P158">
            <v>1.032</v>
          </cell>
          <cell r="Q158">
            <v>1.0349999999999999</v>
          </cell>
          <cell r="R158">
            <v>1.1113659853696505</v>
          </cell>
        </row>
        <row r="159">
          <cell r="A159">
            <v>7344</v>
          </cell>
          <cell r="B159" t="str">
            <v>POSTAL FACILITY</v>
          </cell>
          <cell r="C159" t="str">
            <v>SF</v>
          </cell>
          <cell r="D159" t="str">
            <v>B</v>
          </cell>
          <cell r="E159">
            <v>1.0740000000000001</v>
          </cell>
          <cell r="F159">
            <v>1.0209999999999999</v>
          </cell>
          <cell r="G159">
            <v>1.0269999999999999</v>
          </cell>
          <cell r="H159">
            <v>1.0029999999999999</v>
          </cell>
          <cell r="I159">
            <v>1.0289999999999999</v>
          </cell>
          <cell r="J159">
            <v>1.0049999999999999</v>
          </cell>
          <cell r="K159">
            <v>1.026</v>
          </cell>
          <cell r="L159">
            <v>1.0129999999999999</v>
          </cell>
          <cell r="M159">
            <v>1.0029999999999999</v>
          </cell>
          <cell r="N159">
            <v>1.0029999999999999</v>
          </cell>
          <cell r="O159">
            <v>1.0209999999999999</v>
          </cell>
          <cell r="P159">
            <v>1.032</v>
          </cell>
          <cell r="Q159">
            <v>1.0349999999999999</v>
          </cell>
          <cell r="R159">
            <v>1.3319480854780448</v>
          </cell>
        </row>
        <row r="160">
          <cell r="A160">
            <v>7345</v>
          </cell>
          <cell r="B160" t="str">
            <v>EXCHANGE AUTOMOBILE FACILITY</v>
          </cell>
          <cell r="C160" t="str">
            <v>SF</v>
          </cell>
          <cell r="D160" t="str">
            <v>B</v>
          </cell>
          <cell r="F160">
            <v>1.0209999999999999</v>
          </cell>
          <cell r="G160">
            <v>1.0269999999999999</v>
          </cell>
          <cell r="H160">
            <v>1.0029999999999999</v>
          </cell>
          <cell r="I160">
            <v>1.0289999999999999</v>
          </cell>
          <cell r="J160">
            <v>1.0049999999999999</v>
          </cell>
          <cell r="N160">
            <v>1.0029999999999999</v>
          </cell>
          <cell r="P160">
            <v>1.032</v>
          </cell>
          <cell r="Q160">
            <v>1.0349999999999999</v>
          </cell>
          <cell r="R160">
            <v>1.1651974763252515</v>
          </cell>
        </row>
        <row r="161">
          <cell r="A161">
            <v>7346</v>
          </cell>
          <cell r="B161" t="str">
            <v>EXCHANGE SALES FACILITY</v>
          </cell>
          <cell r="C161" t="str">
            <v>SF</v>
          </cell>
          <cell r="D161" t="str">
            <v>B</v>
          </cell>
          <cell r="F161">
            <v>1.0209999999999999</v>
          </cell>
          <cell r="G161">
            <v>1.0269999999999999</v>
          </cell>
          <cell r="H161">
            <v>1.0029999999999999</v>
          </cell>
          <cell r="I161">
            <v>1.0289999999999999</v>
          </cell>
          <cell r="J161">
            <v>1.0049999999999999</v>
          </cell>
          <cell r="K161">
            <v>1.026</v>
          </cell>
          <cell r="L161">
            <v>1.0129999999999999</v>
          </cell>
          <cell r="M161">
            <v>1.0029999999999999</v>
          </cell>
          <cell r="N161">
            <v>1.0029999999999999</v>
          </cell>
          <cell r="P161">
            <v>1.032</v>
          </cell>
          <cell r="Q161">
            <v>1.0349999999999999</v>
          </cell>
          <cell r="R161">
            <v>1.2146671166928804</v>
          </cell>
        </row>
        <row r="162">
          <cell r="A162">
            <v>7347</v>
          </cell>
          <cell r="B162" t="str">
            <v>BANK AND CREDIT UNION</v>
          </cell>
          <cell r="C162" t="str">
            <v>SF</v>
          </cell>
          <cell r="D162" t="str">
            <v>B</v>
          </cell>
          <cell r="E162">
            <v>1.0740000000000001</v>
          </cell>
          <cell r="F162">
            <v>1.0209999999999999</v>
          </cell>
          <cell r="G162">
            <v>1.0269999999999999</v>
          </cell>
          <cell r="H162">
            <v>1.0029999999999999</v>
          </cell>
          <cell r="I162">
            <v>1.0289999999999999</v>
          </cell>
          <cell r="J162">
            <v>1.0049999999999999</v>
          </cell>
          <cell r="K162">
            <v>1.026</v>
          </cell>
          <cell r="M162">
            <v>1.0029999999999999</v>
          </cell>
          <cell r="N162">
            <v>1.0029999999999999</v>
          </cell>
          <cell r="O162">
            <v>1.0209999999999999</v>
          </cell>
          <cell r="P162">
            <v>1.032</v>
          </cell>
          <cell r="Q162">
            <v>1.0349999999999999</v>
          </cell>
          <cell r="R162">
            <v>1.3148549708569053</v>
          </cell>
        </row>
        <row r="163">
          <cell r="A163">
            <v>7348</v>
          </cell>
          <cell r="B163" t="str">
            <v>CAR WASH FACILITY</v>
          </cell>
          <cell r="C163" t="str">
            <v>SF</v>
          </cell>
          <cell r="D163" t="str">
            <v>B</v>
          </cell>
          <cell r="F163">
            <v>1.0209999999999999</v>
          </cell>
          <cell r="L163">
            <v>1.0129999999999999</v>
          </cell>
          <cell r="N163">
            <v>1.0029999999999999</v>
          </cell>
          <cell r="P163">
            <v>1.032</v>
          </cell>
          <cell r="Q163">
            <v>1.0349999999999999</v>
          </cell>
          <cell r="R163">
            <v>1.1080418597902797</v>
          </cell>
        </row>
        <row r="164">
          <cell r="A164">
            <v>7349</v>
          </cell>
          <cell r="B164" t="str">
            <v>COMMISSARY</v>
          </cell>
          <cell r="C164" t="str">
            <v>SF</v>
          </cell>
          <cell r="D164" t="str">
            <v>B</v>
          </cell>
          <cell r="E164">
            <v>1.0740000000000001</v>
          </cell>
          <cell r="F164">
            <v>1.0209999999999999</v>
          </cell>
          <cell r="G164">
            <v>1.0269999999999999</v>
          </cell>
          <cell r="H164">
            <v>1.0029999999999999</v>
          </cell>
          <cell r="I164">
            <v>1.0289999999999999</v>
          </cell>
          <cell r="J164">
            <v>1.0049999999999999</v>
          </cell>
          <cell r="L164">
            <v>1.0129999999999999</v>
          </cell>
          <cell r="M164">
            <v>1.0029999999999999</v>
          </cell>
          <cell r="N164">
            <v>1.0029999999999999</v>
          </cell>
          <cell r="O164">
            <v>1.0209999999999999</v>
          </cell>
          <cell r="P164">
            <v>1.032</v>
          </cell>
          <cell r="Q164">
            <v>1.0349999999999999</v>
          </cell>
          <cell r="R164">
            <v>1.2981950150858137</v>
          </cell>
        </row>
        <row r="165">
          <cell r="A165">
            <v>7350</v>
          </cell>
          <cell r="B165" t="str">
            <v>CAR WASH STRUCTURE</v>
          </cell>
          <cell r="C165" t="str">
            <v>SF</v>
          </cell>
          <cell r="D165" t="str">
            <v>S</v>
          </cell>
          <cell r="F165">
            <v>1.0209999999999999</v>
          </cell>
          <cell r="L165">
            <v>1.0129999999999999</v>
          </cell>
          <cell r="N165">
            <v>1.0029999999999999</v>
          </cell>
          <cell r="P165">
            <v>1.032</v>
          </cell>
          <cell r="Q165">
            <v>1.0349999999999999</v>
          </cell>
          <cell r="R165">
            <v>1.1080418597902797</v>
          </cell>
        </row>
        <row r="166">
          <cell r="A166">
            <v>7351</v>
          </cell>
          <cell r="B166" t="str">
            <v>EDUCATION CENTER</v>
          </cell>
          <cell r="C166" t="str">
            <v>SF</v>
          </cell>
          <cell r="D166" t="str">
            <v>B</v>
          </cell>
          <cell r="E166">
            <v>1.0740000000000001</v>
          </cell>
          <cell r="F166">
            <v>1.0209999999999999</v>
          </cell>
          <cell r="G166">
            <v>1.0269999999999999</v>
          </cell>
          <cell r="H166">
            <v>1.0029999999999999</v>
          </cell>
          <cell r="I166">
            <v>1.0289999999999999</v>
          </cell>
          <cell r="J166">
            <v>1.0049999999999999</v>
          </cell>
          <cell r="K166">
            <v>1.026</v>
          </cell>
          <cell r="L166">
            <v>1.0129999999999999</v>
          </cell>
          <cell r="M166">
            <v>1.0029999999999999</v>
          </cell>
          <cell r="N166">
            <v>1.0029999999999999</v>
          </cell>
          <cell r="O166">
            <v>1.0209999999999999</v>
          </cell>
          <cell r="P166">
            <v>1.032</v>
          </cell>
          <cell r="Q166">
            <v>1.0349999999999999</v>
          </cell>
          <cell r="R166">
            <v>1.3319480854780448</v>
          </cell>
        </row>
        <row r="167">
          <cell r="A167">
            <v>7353</v>
          </cell>
          <cell r="B167" t="str">
            <v>DEPENDENT SCHOOL SUPPORT FACILITY</v>
          </cell>
          <cell r="C167" t="str">
            <v>SF</v>
          </cell>
          <cell r="D167" t="str">
            <v>B</v>
          </cell>
          <cell r="E167">
            <v>1.0740000000000001</v>
          </cell>
          <cell r="F167">
            <v>1.0209999999999999</v>
          </cell>
          <cell r="G167">
            <v>1.0269999999999999</v>
          </cell>
          <cell r="K167">
            <v>1.026</v>
          </cell>
          <cell r="L167">
            <v>1.0129999999999999</v>
          </cell>
          <cell r="M167">
            <v>1.0029999999999999</v>
          </cell>
          <cell r="N167">
            <v>1.0029999999999999</v>
          </cell>
          <cell r="O167">
            <v>1.0209999999999999</v>
          </cell>
          <cell r="P167">
            <v>1.032</v>
          </cell>
          <cell r="Q167">
            <v>1.0349999999999999</v>
          </cell>
          <cell r="R167">
            <v>1.2841179843245845</v>
          </cell>
        </row>
        <row r="168">
          <cell r="A168">
            <v>7354</v>
          </cell>
          <cell r="B168" t="str">
            <v>SCHOOL PLAYGROUNDS</v>
          </cell>
          <cell r="C168" t="str">
            <v>EA</v>
          </cell>
          <cell r="D168" t="str">
            <v>S</v>
          </cell>
          <cell r="F168">
            <v>1.0209999999999999</v>
          </cell>
          <cell r="R168">
            <v>1.0209999999999999</v>
          </cell>
        </row>
        <row r="169">
          <cell r="A169">
            <v>7362</v>
          </cell>
          <cell r="B169" t="str">
            <v>RELIGIOUS EDUCATION FACILITY</v>
          </cell>
          <cell r="C169" t="str">
            <v>SF</v>
          </cell>
          <cell r="D169" t="str">
            <v>B</v>
          </cell>
          <cell r="E169">
            <v>1.0740000000000001</v>
          </cell>
          <cell r="F169">
            <v>1.0209999999999999</v>
          </cell>
          <cell r="G169">
            <v>1.0269999999999999</v>
          </cell>
          <cell r="H169">
            <v>1.0029999999999999</v>
          </cell>
          <cell r="I169">
            <v>1.0289999999999999</v>
          </cell>
          <cell r="J169">
            <v>1.0049999999999999</v>
          </cell>
          <cell r="K169">
            <v>1.026</v>
          </cell>
          <cell r="L169">
            <v>1.0129999999999999</v>
          </cell>
          <cell r="M169">
            <v>1.0029999999999999</v>
          </cell>
          <cell r="N169">
            <v>1.0029999999999999</v>
          </cell>
          <cell r="P169">
            <v>1.032</v>
          </cell>
          <cell r="Q169">
            <v>1.0349999999999999</v>
          </cell>
          <cell r="R169">
            <v>1.3045524833281539</v>
          </cell>
        </row>
        <row r="170">
          <cell r="A170">
            <v>7372</v>
          </cell>
          <cell r="B170" t="str">
            <v>FAMILY SERVICE CENTER</v>
          </cell>
          <cell r="C170" t="str">
            <v>SF</v>
          </cell>
          <cell r="D170" t="str">
            <v>B</v>
          </cell>
          <cell r="E170">
            <v>1.0740000000000001</v>
          </cell>
          <cell r="F170">
            <v>1.0209999999999999</v>
          </cell>
          <cell r="G170">
            <v>1.0269999999999999</v>
          </cell>
          <cell r="H170">
            <v>1.0029999999999999</v>
          </cell>
          <cell r="I170">
            <v>1.0289999999999999</v>
          </cell>
          <cell r="J170">
            <v>1.0049999999999999</v>
          </cell>
          <cell r="K170">
            <v>1.026</v>
          </cell>
          <cell r="L170">
            <v>1.0129999999999999</v>
          </cell>
          <cell r="M170">
            <v>1.0029999999999999</v>
          </cell>
          <cell r="N170">
            <v>1.0029999999999999</v>
          </cell>
          <cell r="O170">
            <v>1.0209999999999999</v>
          </cell>
          <cell r="P170">
            <v>1.032</v>
          </cell>
          <cell r="Q170">
            <v>1.0349999999999999</v>
          </cell>
          <cell r="R170">
            <v>1.3319480854780448</v>
          </cell>
        </row>
        <row r="171">
          <cell r="A171">
            <v>7381</v>
          </cell>
          <cell r="B171" t="str">
            <v>FORESTRY GUARD STATION</v>
          </cell>
          <cell r="C171" t="str">
            <v>SF</v>
          </cell>
          <cell r="D171" t="str">
            <v>B</v>
          </cell>
          <cell r="F171">
            <v>1.0209999999999999</v>
          </cell>
          <cell r="R171">
            <v>1.0209999999999999</v>
          </cell>
        </row>
        <row r="172">
          <cell r="A172">
            <v>7382</v>
          </cell>
          <cell r="B172" t="str">
            <v>LOCKER ROOM</v>
          </cell>
          <cell r="C172" t="str">
            <v>SF</v>
          </cell>
          <cell r="D172" t="str">
            <v>B</v>
          </cell>
          <cell r="F172">
            <v>1.0209999999999999</v>
          </cell>
          <cell r="R172">
            <v>1.0209999999999999</v>
          </cell>
        </row>
        <row r="173">
          <cell r="A173">
            <v>7384</v>
          </cell>
          <cell r="B173" t="str">
            <v>MISCELLANEOUS PERSONNEL SHELTER</v>
          </cell>
          <cell r="C173" t="str">
            <v>SF</v>
          </cell>
          <cell r="D173" t="str">
            <v>S</v>
          </cell>
          <cell r="F173">
            <v>1.0209999999999999</v>
          </cell>
          <cell r="R173">
            <v>1.0209999999999999</v>
          </cell>
        </row>
        <row r="174">
          <cell r="A174">
            <v>7385</v>
          </cell>
          <cell r="B174" t="str">
            <v>PUBLIC RESTROOM/SHOWER</v>
          </cell>
          <cell r="C174" t="str">
            <v>SF</v>
          </cell>
          <cell r="D174" t="str">
            <v>B</v>
          </cell>
          <cell r="E174">
            <v>1.0740000000000001</v>
          </cell>
          <cell r="F174">
            <v>1.0209999999999999</v>
          </cell>
          <cell r="L174">
            <v>1.0129999999999999</v>
          </cell>
          <cell r="N174">
            <v>1.0029999999999999</v>
          </cell>
          <cell r="R174">
            <v>1.1141416296059998</v>
          </cell>
        </row>
        <row r="175">
          <cell r="A175">
            <v>7386</v>
          </cell>
          <cell r="B175" t="str">
            <v>CEREMONIAL HALL</v>
          </cell>
          <cell r="C175" t="str">
            <v>SF</v>
          </cell>
          <cell r="D175" t="str">
            <v>B</v>
          </cell>
          <cell r="E175">
            <v>1.0740000000000001</v>
          </cell>
          <cell r="F175">
            <v>1.0209999999999999</v>
          </cell>
          <cell r="G175">
            <v>1.0269999999999999</v>
          </cell>
          <cell r="H175">
            <v>1.0029999999999999</v>
          </cell>
          <cell r="I175">
            <v>1.0289999999999999</v>
          </cell>
          <cell r="J175">
            <v>1.0049999999999999</v>
          </cell>
          <cell r="K175">
            <v>1.026</v>
          </cell>
          <cell r="L175">
            <v>1.0129999999999999</v>
          </cell>
          <cell r="M175">
            <v>1.0029999999999999</v>
          </cell>
          <cell r="N175">
            <v>1.0029999999999999</v>
          </cell>
          <cell r="O175">
            <v>1.0209999999999999</v>
          </cell>
          <cell r="P175">
            <v>1.032</v>
          </cell>
          <cell r="Q175">
            <v>1.0349999999999999</v>
          </cell>
          <cell r="R175">
            <v>1.3319480854780448</v>
          </cell>
        </row>
        <row r="176">
          <cell r="A176">
            <v>7387</v>
          </cell>
          <cell r="B176" t="str">
            <v>EXCHANGE SUPPORT FACILITY</v>
          </cell>
          <cell r="C176" t="str">
            <v>SF</v>
          </cell>
          <cell r="D176" t="str">
            <v>B</v>
          </cell>
          <cell r="F176">
            <v>1.0209999999999999</v>
          </cell>
          <cell r="R176">
            <v>1.0209999999999999</v>
          </cell>
        </row>
        <row r="177">
          <cell r="A177">
            <v>7389</v>
          </cell>
          <cell r="B177" t="str">
            <v>PRIVATE VEHICLE INSECTION STATION</v>
          </cell>
          <cell r="C177" t="str">
            <v>SF</v>
          </cell>
          <cell r="D177" t="str">
            <v>B</v>
          </cell>
          <cell r="F177" t="str">
            <v>1.O21</v>
          </cell>
          <cell r="R177">
            <v>1.0209999999999999</v>
          </cell>
        </row>
        <row r="178">
          <cell r="A178">
            <v>7411</v>
          </cell>
          <cell r="B178" t="str">
            <v>HOBBY AND CRAFT CENTER</v>
          </cell>
          <cell r="C178" t="str">
            <v>SF</v>
          </cell>
          <cell r="D178" t="str">
            <v>B</v>
          </cell>
          <cell r="F178">
            <v>1.0209999999999999</v>
          </cell>
          <cell r="R178">
            <v>1.0209999999999999</v>
          </cell>
        </row>
        <row r="179">
          <cell r="A179">
            <v>7412</v>
          </cell>
          <cell r="B179" t="str">
            <v>AUTOMOBILE CRAFT CENTER</v>
          </cell>
          <cell r="C179" t="str">
            <v>SF</v>
          </cell>
          <cell r="D179" t="str">
            <v>B</v>
          </cell>
          <cell r="F179">
            <v>1.0209999999999999</v>
          </cell>
          <cell r="H179">
            <v>1.0029999999999999</v>
          </cell>
          <cell r="R179">
            <v>1.0240629999999997</v>
          </cell>
        </row>
        <row r="180">
          <cell r="A180">
            <v>7413</v>
          </cell>
          <cell r="B180" t="str">
            <v>GOLF CLUB HOUSE AND SALES</v>
          </cell>
          <cell r="C180" t="str">
            <v>SF</v>
          </cell>
          <cell r="D180" t="str">
            <v>B</v>
          </cell>
          <cell r="E180">
            <v>1.0740000000000001</v>
          </cell>
          <cell r="F180">
            <v>1.0209999999999999</v>
          </cell>
          <cell r="G180">
            <v>1.0269999999999999</v>
          </cell>
          <cell r="H180">
            <v>1.0029999999999999</v>
          </cell>
          <cell r="I180">
            <v>1.0289999999999999</v>
          </cell>
          <cell r="J180">
            <v>1.0049999999999999</v>
          </cell>
          <cell r="K180">
            <v>1.026</v>
          </cell>
          <cell r="L180">
            <v>1.0129999999999999</v>
          </cell>
          <cell r="M180">
            <v>1.0029999999999999</v>
          </cell>
          <cell r="N180">
            <v>1.0029999999999999</v>
          </cell>
          <cell r="O180">
            <v>1.0209999999999999</v>
          </cell>
          <cell r="P180">
            <v>1.032</v>
          </cell>
          <cell r="Q180">
            <v>1.0349999999999999</v>
          </cell>
          <cell r="R180">
            <v>1.3319480854780448</v>
          </cell>
        </row>
        <row r="181">
          <cell r="A181">
            <v>7414</v>
          </cell>
          <cell r="B181" t="str">
            <v>CLUB AND ORGANIZATION BUILDING</v>
          </cell>
          <cell r="C181" t="str">
            <v>SF</v>
          </cell>
          <cell r="D181" t="str">
            <v>B</v>
          </cell>
          <cell r="E181">
            <v>1.0740000000000001</v>
          </cell>
          <cell r="F181">
            <v>1.0209999999999999</v>
          </cell>
          <cell r="G181">
            <v>1.0269999999999999</v>
          </cell>
          <cell r="H181">
            <v>1.0029999999999999</v>
          </cell>
          <cell r="I181">
            <v>1.0289999999999999</v>
          </cell>
          <cell r="J181">
            <v>1.0049999999999999</v>
          </cell>
          <cell r="K181">
            <v>1.026</v>
          </cell>
          <cell r="L181">
            <v>1.0129999999999999</v>
          </cell>
          <cell r="M181">
            <v>1.0029999999999999</v>
          </cell>
          <cell r="N181">
            <v>1.0029999999999999</v>
          </cell>
          <cell r="O181">
            <v>1.0209999999999999</v>
          </cell>
          <cell r="R181">
            <v>1.2470022895162014</v>
          </cell>
        </row>
        <row r="182">
          <cell r="A182">
            <v>7415</v>
          </cell>
          <cell r="B182" t="str">
            <v>BOWLING CENTER</v>
          </cell>
          <cell r="C182" t="str">
            <v>SF</v>
          </cell>
          <cell r="D182" t="str">
            <v>B</v>
          </cell>
          <cell r="E182">
            <v>1.0740000000000001</v>
          </cell>
          <cell r="F182">
            <v>1.0209999999999999</v>
          </cell>
          <cell r="G182">
            <v>1.0269999999999999</v>
          </cell>
          <cell r="H182">
            <v>1.0029999999999999</v>
          </cell>
          <cell r="I182">
            <v>1.0289999999999999</v>
          </cell>
          <cell r="J182">
            <v>1.0049999999999999</v>
          </cell>
          <cell r="M182">
            <v>1.0029999999999999</v>
          </cell>
          <cell r="N182">
            <v>1.0029999999999999</v>
          </cell>
          <cell r="O182">
            <v>1.0209999999999999</v>
          </cell>
          <cell r="P182">
            <v>1.032</v>
          </cell>
          <cell r="Q182">
            <v>1.0349999999999999</v>
          </cell>
          <cell r="R182">
            <v>1.2815350593147223</v>
          </cell>
        </row>
        <row r="183">
          <cell r="A183">
            <v>7416</v>
          </cell>
          <cell r="B183" t="str">
            <v>LIBRARY, GENERAL USE</v>
          </cell>
          <cell r="C183" t="str">
            <v>SF</v>
          </cell>
          <cell r="D183" t="str">
            <v>B</v>
          </cell>
          <cell r="E183">
            <v>1.0740000000000001</v>
          </cell>
          <cell r="F183">
            <v>1.0209999999999999</v>
          </cell>
          <cell r="G183">
            <v>1.0269999999999999</v>
          </cell>
          <cell r="H183">
            <v>1.0029999999999999</v>
          </cell>
          <cell r="I183">
            <v>1.0289999999999999</v>
          </cell>
          <cell r="J183">
            <v>1.0049999999999999</v>
          </cell>
          <cell r="K183">
            <v>1.026</v>
          </cell>
          <cell r="L183">
            <v>1.0129999999999999</v>
          </cell>
          <cell r="M183">
            <v>1.0029999999999999</v>
          </cell>
          <cell r="N183">
            <v>1.0029999999999999</v>
          </cell>
          <cell r="O183">
            <v>1.0209999999999999</v>
          </cell>
          <cell r="P183">
            <v>1.032</v>
          </cell>
          <cell r="Q183">
            <v>1.0349999999999999</v>
          </cell>
          <cell r="R183">
            <v>1.3319480854780448</v>
          </cell>
        </row>
        <row r="184">
          <cell r="A184">
            <v>7417</v>
          </cell>
          <cell r="B184" t="str">
            <v>RECREATION CENTER</v>
          </cell>
          <cell r="C184" t="str">
            <v>SF</v>
          </cell>
          <cell r="D184" t="str">
            <v>B</v>
          </cell>
          <cell r="E184">
            <v>1.0740000000000001</v>
          </cell>
          <cell r="F184">
            <v>1.0209999999999999</v>
          </cell>
          <cell r="G184">
            <v>1.0269999999999999</v>
          </cell>
          <cell r="H184">
            <v>1.0029999999999999</v>
          </cell>
          <cell r="I184">
            <v>1.0289999999999999</v>
          </cell>
          <cell r="J184">
            <v>1.0049999999999999</v>
          </cell>
          <cell r="L184">
            <v>1.0129999999999999</v>
          </cell>
          <cell r="M184">
            <v>1.0029999999999999</v>
          </cell>
          <cell r="N184">
            <v>1.0029999999999999</v>
          </cell>
          <cell r="O184">
            <v>1.0209999999999999</v>
          </cell>
          <cell r="P184">
            <v>1.032</v>
          </cell>
          <cell r="Q184">
            <v>1.0349999999999999</v>
          </cell>
          <cell r="R184">
            <v>1.2981950150858137</v>
          </cell>
        </row>
        <row r="185">
          <cell r="A185">
            <v>7418</v>
          </cell>
          <cell r="B185" t="str">
            <v>INDOOR SKATING RINK</v>
          </cell>
          <cell r="C185" t="str">
            <v>SF</v>
          </cell>
          <cell r="D185" t="str">
            <v>B</v>
          </cell>
          <cell r="F185">
            <v>1.0209999999999999</v>
          </cell>
          <cell r="G185">
            <v>1.0269999999999999</v>
          </cell>
          <cell r="H185">
            <v>1.0029999999999999</v>
          </cell>
          <cell r="I185">
            <v>1.0289999999999999</v>
          </cell>
          <cell r="J185">
            <v>1.0049999999999999</v>
          </cell>
          <cell r="N185">
            <v>1.0029999999999999</v>
          </cell>
          <cell r="O185">
            <v>1.0209999999999999</v>
          </cell>
          <cell r="P185">
            <v>1.032</v>
          </cell>
          <cell r="Q185">
            <v>1.0349999999999999</v>
          </cell>
          <cell r="R185">
            <v>1.1896666233280813</v>
          </cell>
        </row>
        <row r="186">
          <cell r="A186">
            <v>7422</v>
          </cell>
          <cell r="B186" t="str">
            <v>INDOOR SWIMMING POOL</v>
          </cell>
          <cell r="C186" t="str">
            <v>SF</v>
          </cell>
          <cell r="D186" t="str">
            <v>B</v>
          </cell>
          <cell r="F186">
            <v>1.0209999999999999</v>
          </cell>
          <cell r="G186">
            <v>1.0269999999999999</v>
          </cell>
          <cell r="H186">
            <v>1.0029999999999999</v>
          </cell>
          <cell r="I186">
            <v>1.0289999999999999</v>
          </cell>
          <cell r="J186">
            <v>1.0049999999999999</v>
          </cell>
          <cell r="L186">
            <v>1.0129999999999999</v>
          </cell>
          <cell r="N186">
            <v>1.0029999999999999</v>
          </cell>
          <cell r="O186">
            <v>1.0209999999999999</v>
          </cell>
          <cell r="P186">
            <v>1.032</v>
          </cell>
          <cell r="Q186">
            <v>1.0349999999999999</v>
          </cell>
          <cell r="R186">
            <v>1.2051322894313463</v>
          </cell>
        </row>
        <row r="187">
          <cell r="A187">
            <v>7431</v>
          </cell>
          <cell r="B187" t="str">
            <v>AUDITORIUM AND THEATER FACILITY</v>
          </cell>
          <cell r="C187" t="str">
            <v>SF</v>
          </cell>
          <cell r="D187" t="str">
            <v>B</v>
          </cell>
          <cell r="E187">
            <v>1.0740000000000001</v>
          </cell>
          <cell r="F187">
            <v>1.0209999999999999</v>
          </cell>
          <cell r="G187">
            <v>1.0269999999999999</v>
          </cell>
          <cell r="H187">
            <v>1.0029999999999999</v>
          </cell>
          <cell r="I187">
            <v>1.0289999999999999</v>
          </cell>
          <cell r="J187">
            <v>1.0049999999999999</v>
          </cell>
          <cell r="K187">
            <v>1.026</v>
          </cell>
          <cell r="M187">
            <v>1.0029999999999999</v>
          </cell>
          <cell r="N187">
            <v>1.0029999999999999</v>
          </cell>
          <cell r="O187">
            <v>1.0209999999999999</v>
          </cell>
          <cell r="P187">
            <v>1.032</v>
          </cell>
          <cell r="Q187">
            <v>1.0349999999999999</v>
          </cell>
          <cell r="R187">
            <v>1.3148549708569053</v>
          </cell>
        </row>
        <row r="188">
          <cell r="A188">
            <v>7440</v>
          </cell>
          <cell r="B188" t="str">
            <v>COMMUNITY ACTIVIES / CONFERENCE CENTER</v>
          </cell>
          <cell r="C188" t="str">
            <v>SF</v>
          </cell>
          <cell r="D188" t="str">
            <v>B</v>
          </cell>
          <cell r="E188">
            <v>1.0740000000000001</v>
          </cell>
          <cell r="F188">
            <v>1.0209999999999999</v>
          </cell>
          <cell r="G188">
            <v>1.0269999999999999</v>
          </cell>
          <cell r="H188">
            <v>1.0029999999999999</v>
          </cell>
          <cell r="I188">
            <v>1.0289999999999999</v>
          </cell>
          <cell r="J188">
            <v>1.0049999999999999</v>
          </cell>
          <cell r="K188">
            <v>1.026</v>
          </cell>
          <cell r="M188">
            <v>1.0029999999999999</v>
          </cell>
          <cell r="N188">
            <v>1.0029999999999999</v>
          </cell>
          <cell r="O188">
            <v>1.0209999999999999</v>
          </cell>
          <cell r="P188">
            <v>1.032</v>
          </cell>
          <cell r="Q188">
            <v>1.0349999999999999</v>
          </cell>
          <cell r="R188">
            <v>1.3148549708569053</v>
          </cell>
        </row>
        <row r="189">
          <cell r="A189">
            <v>7442</v>
          </cell>
          <cell r="B189" t="str">
            <v>RECREATIONAL LODGING</v>
          </cell>
          <cell r="C189" t="str">
            <v>SF</v>
          </cell>
          <cell r="D189" t="str">
            <v>B</v>
          </cell>
          <cell r="F189">
            <v>1.0209999999999999</v>
          </cell>
          <cell r="G189">
            <v>1.0269999999999999</v>
          </cell>
          <cell r="J189">
            <v>1.0049999999999999</v>
          </cell>
          <cell r="N189">
            <v>1.0029999999999999</v>
          </cell>
          <cell r="P189">
            <v>1.032</v>
          </cell>
          <cell r="Q189">
            <v>1.0349999999999999</v>
          </cell>
          <cell r="R189">
            <v>1.12897214704308</v>
          </cell>
        </row>
        <row r="190">
          <cell r="A190">
            <v>7443</v>
          </cell>
          <cell r="B190" t="str">
            <v>TRANSIENT AND RECREATIONAL LODGING SUPPORT FACILITY</v>
          </cell>
          <cell r="C190" t="str">
            <v>SF</v>
          </cell>
          <cell r="D190" t="str">
            <v>B</v>
          </cell>
          <cell r="F190">
            <v>1.0209999999999999</v>
          </cell>
          <cell r="H190">
            <v>1.0029999999999999</v>
          </cell>
          <cell r="I190">
            <v>1.0289999999999999</v>
          </cell>
          <cell r="J190">
            <v>1.0049999999999999</v>
          </cell>
          <cell r="R190">
            <v>1.0590296311349996</v>
          </cell>
        </row>
        <row r="191">
          <cell r="A191">
            <v>7444</v>
          </cell>
          <cell r="B191" t="str">
            <v>STABLE</v>
          </cell>
          <cell r="C191" t="str">
            <v>SF</v>
          </cell>
          <cell r="D191" t="str">
            <v>B</v>
          </cell>
          <cell r="F191">
            <v>1.0209999999999999</v>
          </cell>
          <cell r="R191">
            <v>1.0209999999999999</v>
          </cell>
        </row>
        <row r="192">
          <cell r="A192">
            <v>7445</v>
          </cell>
          <cell r="B192" t="str">
            <v>BOATHOUSE</v>
          </cell>
          <cell r="C192" t="str">
            <v>SF</v>
          </cell>
          <cell r="D192" t="str">
            <v>B</v>
          </cell>
          <cell r="F192">
            <v>1.0209999999999999</v>
          </cell>
          <cell r="R192">
            <v>1.0209999999999999</v>
          </cell>
        </row>
        <row r="193">
          <cell r="A193">
            <v>7446</v>
          </cell>
          <cell r="B193" t="str">
            <v>MISCELLANEOUS MWR FACILITY</v>
          </cell>
          <cell r="C193" t="str">
            <v>SF</v>
          </cell>
          <cell r="D193" t="str">
            <v>B</v>
          </cell>
          <cell r="F193">
            <v>1.0209999999999999</v>
          </cell>
          <cell r="R193">
            <v>1.0209999999999999</v>
          </cell>
        </row>
        <row r="194">
          <cell r="A194">
            <v>7448</v>
          </cell>
          <cell r="B194" t="str">
            <v>RECREATIONAL SUPPORT BUILDING</v>
          </cell>
          <cell r="C194" t="str">
            <v>SF</v>
          </cell>
          <cell r="D194" t="str">
            <v>B</v>
          </cell>
          <cell r="F194">
            <v>1.0209999999999999</v>
          </cell>
          <cell r="G194">
            <v>1.0269999999999999</v>
          </cell>
          <cell r="L194">
            <v>1.0129999999999999</v>
          </cell>
          <cell r="N194">
            <v>1.0029999999999999</v>
          </cell>
          <cell r="P194">
            <v>1.032</v>
          </cell>
          <cell r="Q194">
            <v>1.0349999999999999</v>
          </cell>
          <cell r="R194">
            <v>1.1379589900046172</v>
          </cell>
        </row>
        <row r="195">
          <cell r="A195">
            <v>7449</v>
          </cell>
          <cell r="B195" t="str">
            <v>RETAIL KENNEL</v>
          </cell>
          <cell r="C195" t="str">
            <v>SF</v>
          </cell>
          <cell r="D195" t="str">
            <v>B</v>
          </cell>
          <cell r="E195">
            <v>1.0740000000000001</v>
          </cell>
          <cell r="F195">
            <v>1.0209999999999999</v>
          </cell>
          <cell r="G195">
            <v>1.0269999999999999</v>
          </cell>
          <cell r="H195">
            <v>1.0029999999999999</v>
          </cell>
          <cell r="I195">
            <v>1.0289999999999999</v>
          </cell>
          <cell r="J195">
            <v>1.0049999999999999</v>
          </cell>
          <cell r="K195">
            <v>1.026</v>
          </cell>
          <cell r="L195">
            <v>1.0129999999999999</v>
          </cell>
          <cell r="M195">
            <v>1.0029999999999999</v>
          </cell>
          <cell r="N195">
            <v>1.0029999999999999</v>
          </cell>
          <cell r="O195">
            <v>1.0209999999999999</v>
          </cell>
          <cell r="P195">
            <v>1.032</v>
          </cell>
          <cell r="Q195">
            <v>1.0349999999999999</v>
          </cell>
          <cell r="R195">
            <v>1.3319480854780448</v>
          </cell>
        </row>
        <row r="196">
          <cell r="A196">
            <v>7512</v>
          </cell>
          <cell r="B196" t="str">
            <v>OUTDOOR SWIMMING POOL</v>
          </cell>
          <cell r="C196" t="str">
            <v>EA</v>
          </cell>
          <cell r="D196" t="str">
            <v>S</v>
          </cell>
          <cell r="F196">
            <v>1.0209999999999999</v>
          </cell>
          <cell r="G196">
            <v>1.0269999999999999</v>
          </cell>
          <cell r="L196">
            <v>1.0129999999999999</v>
          </cell>
          <cell r="N196">
            <v>1.0029999999999999</v>
          </cell>
          <cell r="P196">
            <v>1.032</v>
          </cell>
          <cell r="Q196">
            <v>1.0349999999999999</v>
          </cell>
          <cell r="R196">
            <v>1.1379589900046172</v>
          </cell>
        </row>
        <row r="197">
          <cell r="A197">
            <v>7513</v>
          </cell>
          <cell r="B197" t="str">
            <v>GOLF COURSE</v>
          </cell>
          <cell r="C197" t="str">
            <v>EA</v>
          </cell>
          <cell r="D197" t="str">
            <v>S</v>
          </cell>
          <cell r="F197">
            <v>1.0209999999999999</v>
          </cell>
          <cell r="G197">
            <v>1.0269999999999999</v>
          </cell>
          <cell r="P197">
            <v>1.032</v>
          </cell>
          <cell r="Q197">
            <v>1.0349999999999999</v>
          </cell>
          <cell r="R197">
            <v>1.1199953840399997</v>
          </cell>
        </row>
        <row r="198">
          <cell r="A198">
            <v>7514</v>
          </cell>
          <cell r="B198" t="str">
            <v>GOLF DRIVING RANGE</v>
          </cell>
          <cell r="C198" t="str">
            <v>EA</v>
          </cell>
          <cell r="D198" t="str">
            <v>S</v>
          </cell>
          <cell r="F198">
            <v>1.0209999999999999</v>
          </cell>
          <cell r="G198">
            <v>1.0269999999999999</v>
          </cell>
          <cell r="P198">
            <v>1.032</v>
          </cell>
          <cell r="Q198">
            <v>1.0349999999999999</v>
          </cell>
          <cell r="R198">
            <v>1.1199953840399997</v>
          </cell>
        </row>
        <row r="199">
          <cell r="A199">
            <v>7515</v>
          </cell>
          <cell r="B199" t="str">
            <v>GOLF PITCH AND PUTT COURSE</v>
          </cell>
          <cell r="C199" t="str">
            <v>EA</v>
          </cell>
          <cell r="D199" t="str">
            <v>S</v>
          </cell>
          <cell r="F199">
            <v>1.0209999999999999</v>
          </cell>
          <cell r="P199">
            <v>1.032</v>
          </cell>
          <cell r="Q199">
            <v>1.0349999999999999</v>
          </cell>
          <cell r="R199">
            <v>1.0905505199999999</v>
          </cell>
        </row>
        <row r="200">
          <cell r="A200">
            <v>7516</v>
          </cell>
          <cell r="B200" t="str">
            <v>OUTDOOR RECREATION AREA</v>
          </cell>
          <cell r="C200" t="str">
            <v>EA</v>
          </cell>
          <cell r="D200" t="str">
            <v>S</v>
          </cell>
          <cell r="F200">
            <v>1.0209999999999999</v>
          </cell>
          <cell r="R200">
            <v>1.0209999999999999</v>
          </cell>
        </row>
        <row r="201">
          <cell r="A201">
            <v>7517</v>
          </cell>
          <cell r="B201" t="str">
            <v>RECREATIONAL PIER</v>
          </cell>
          <cell r="C201" t="str">
            <v>EA</v>
          </cell>
          <cell r="D201" t="str">
            <v>S</v>
          </cell>
          <cell r="F201">
            <v>1.0209999999999999</v>
          </cell>
          <cell r="R201">
            <v>1.0209999999999999</v>
          </cell>
        </row>
        <row r="202">
          <cell r="A202">
            <v>7518</v>
          </cell>
          <cell r="B202" t="str">
            <v>MARINA</v>
          </cell>
          <cell r="C202" t="str">
            <v>EA</v>
          </cell>
          <cell r="D202" t="str">
            <v>S</v>
          </cell>
          <cell r="F202">
            <v>1.0209999999999999</v>
          </cell>
          <cell r="G202">
            <v>1.0269999999999999</v>
          </cell>
          <cell r="P202">
            <v>1.032</v>
          </cell>
          <cell r="Q202">
            <v>1.0349999999999999</v>
          </cell>
          <cell r="R202">
            <v>1.1199953840399997</v>
          </cell>
        </row>
        <row r="203">
          <cell r="A203">
            <v>7521</v>
          </cell>
          <cell r="B203" t="str">
            <v>OUTDOOR PLAYING COURT</v>
          </cell>
          <cell r="C203" t="str">
            <v>EA</v>
          </cell>
          <cell r="D203" t="str">
            <v>S</v>
          </cell>
          <cell r="F203">
            <v>1.0209999999999999</v>
          </cell>
          <cell r="R203">
            <v>1.0209999999999999</v>
          </cell>
        </row>
        <row r="204">
          <cell r="A204">
            <v>7523</v>
          </cell>
          <cell r="B204" t="str">
            <v>RUNNING TRACK</v>
          </cell>
          <cell r="C204" t="str">
            <v>EA</v>
          </cell>
          <cell r="D204" t="str">
            <v>S</v>
          </cell>
          <cell r="F204">
            <v>1.0209999999999999</v>
          </cell>
          <cell r="G204">
            <v>1.0269999999999999</v>
          </cell>
          <cell r="R204">
            <v>1.0485669999999998</v>
          </cell>
        </row>
        <row r="205">
          <cell r="A205">
            <v>7524</v>
          </cell>
          <cell r="B205" t="str">
            <v>STADIUM</v>
          </cell>
          <cell r="C205" t="str">
            <v>EA</v>
          </cell>
          <cell r="D205" t="str">
            <v>S</v>
          </cell>
          <cell r="F205">
            <v>1.0209999999999999</v>
          </cell>
          <cell r="G205">
            <v>1.0269999999999999</v>
          </cell>
          <cell r="P205">
            <v>1.032</v>
          </cell>
          <cell r="Q205">
            <v>1.0349999999999999</v>
          </cell>
          <cell r="R205">
            <v>1.1199953840399997</v>
          </cell>
        </row>
        <row r="206">
          <cell r="A206">
            <v>7531</v>
          </cell>
          <cell r="B206" t="str">
            <v>PAVILION</v>
          </cell>
          <cell r="C206" t="str">
            <v>SF</v>
          </cell>
          <cell r="D206" t="str">
            <v>S</v>
          </cell>
          <cell r="F206">
            <v>1.0209999999999999</v>
          </cell>
          <cell r="R206">
            <v>1.0209999999999999</v>
          </cell>
        </row>
        <row r="207">
          <cell r="A207">
            <v>7532</v>
          </cell>
          <cell r="B207" t="str">
            <v>OUTDOOR THEATER</v>
          </cell>
          <cell r="C207" t="str">
            <v>EA</v>
          </cell>
          <cell r="D207" t="str">
            <v>S</v>
          </cell>
          <cell r="F207">
            <v>1.0209999999999999</v>
          </cell>
          <cell r="G207">
            <v>1.0269999999999999</v>
          </cell>
          <cell r="R207">
            <v>1.0485669999999998</v>
          </cell>
        </row>
        <row r="208">
          <cell r="A208">
            <v>7541</v>
          </cell>
          <cell r="B208" t="str">
            <v>RECREATIONAL CAMP AND TRAILER PARK</v>
          </cell>
          <cell r="C208" t="str">
            <v>EA</v>
          </cell>
          <cell r="D208" t="str">
            <v>S</v>
          </cell>
          <cell r="F208">
            <v>1.0209999999999999</v>
          </cell>
          <cell r="G208">
            <v>1.0269999999999999</v>
          </cell>
          <cell r="R208">
            <v>1.0485669999999998</v>
          </cell>
        </row>
        <row r="209">
          <cell r="A209">
            <v>7542</v>
          </cell>
          <cell r="B209" t="str">
            <v>MISCELLANEOUS OUTDOOR RECREATION FACILITY</v>
          </cell>
          <cell r="C209" t="str">
            <v>EA</v>
          </cell>
          <cell r="D209" t="str">
            <v>S</v>
          </cell>
          <cell r="F209">
            <v>1.0209999999999999</v>
          </cell>
          <cell r="G209">
            <v>1.0269999999999999</v>
          </cell>
          <cell r="R209">
            <v>1.0485669999999998</v>
          </cell>
        </row>
        <row r="210">
          <cell r="A210">
            <v>7601</v>
          </cell>
          <cell r="B210" t="str">
            <v>MUSEUM</v>
          </cell>
          <cell r="C210" t="str">
            <v>SF</v>
          </cell>
          <cell r="D210" t="str">
            <v>B</v>
          </cell>
          <cell r="E210">
            <v>1.0740000000000001</v>
          </cell>
          <cell r="F210">
            <v>1.0209999999999999</v>
          </cell>
          <cell r="G210">
            <v>1.0269999999999999</v>
          </cell>
          <cell r="H210">
            <v>1.0029999999999999</v>
          </cell>
          <cell r="I210">
            <v>1.0289999999999999</v>
          </cell>
          <cell r="J210">
            <v>1.0049999999999999</v>
          </cell>
          <cell r="K210">
            <v>1.026</v>
          </cell>
          <cell r="L210">
            <v>1.0129999999999999</v>
          </cell>
          <cell r="M210">
            <v>1.0029999999999999</v>
          </cell>
          <cell r="N210">
            <v>1.0029999999999999</v>
          </cell>
          <cell r="O210">
            <v>1.0209999999999999</v>
          </cell>
          <cell r="P210">
            <v>1.032</v>
          </cell>
          <cell r="Q210">
            <v>1.0349999999999999</v>
          </cell>
          <cell r="R210">
            <v>1.3319480854780448</v>
          </cell>
        </row>
        <row r="211">
          <cell r="A211">
            <v>7602</v>
          </cell>
          <cell r="B211" t="str">
            <v>MONUMENT AND MEMORIAL</v>
          </cell>
          <cell r="C211" t="str">
            <v>EA</v>
          </cell>
          <cell r="D211" t="str">
            <v>S</v>
          </cell>
          <cell r="F211">
            <v>1.0209999999999999</v>
          </cell>
          <cell r="G211">
            <v>1.0269999999999999</v>
          </cell>
          <cell r="P211">
            <v>1.032</v>
          </cell>
          <cell r="Q211">
            <v>1.0349999999999999</v>
          </cell>
          <cell r="R211">
            <v>1.1199953840399997</v>
          </cell>
        </row>
        <row r="212">
          <cell r="A212">
            <v>7604</v>
          </cell>
          <cell r="B212" t="str">
            <v>COLUMBARIUM</v>
          </cell>
          <cell r="C212" t="str">
            <v>CF</v>
          </cell>
          <cell r="D212" t="str">
            <v>S</v>
          </cell>
          <cell r="F212">
            <v>1.0209999999999999</v>
          </cell>
          <cell r="G212">
            <v>1.0269999999999999</v>
          </cell>
          <cell r="P212">
            <v>1.032</v>
          </cell>
          <cell r="Q212">
            <v>1.0349999999999999</v>
          </cell>
          <cell r="R212">
            <v>1.1199953840399997</v>
          </cell>
        </row>
        <row r="213">
          <cell r="A213">
            <v>8111</v>
          </cell>
          <cell r="B213" t="str">
            <v>ELECTRICAL POWER SOURCE</v>
          </cell>
          <cell r="C213" t="str">
            <v>KW</v>
          </cell>
          <cell r="D213" t="str">
            <v>S</v>
          </cell>
          <cell r="F213">
            <v>1.0209999999999999</v>
          </cell>
          <cell r="P213">
            <v>1.032</v>
          </cell>
          <cell r="Q213">
            <v>1.0349999999999999</v>
          </cell>
          <cell r="R213">
            <v>1.0905505199999999</v>
          </cell>
        </row>
        <row r="214">
          <cell r="A214">
            <v>8113</v>
          </cell>
          <cell r="B214" t="str">
            <v>ELECTRICAL POWER SOURCE HYDROELECTRIC</v>
          </cell>
          <cell r="C214" t="str">
            <v>MW</v>
          </cell>
          <cell r="D214" t="str">
            <v>S</v>
          </cell>
          <cell r="F214">
            <v>1.0209999999999999</v>
          </cell>
          <cell r="G214">
            <v>1.0269999999999999</v>
          </cell>
          <cell r="P214">
            <v>1.032</v>
          </cell>
          <cell r="Q214">
            <v>1.0349999999999999</v>
          </cell>
          <cell r="R214">
            <v>1.1199953840399997</v>
          </cell>
        </row>
        <row r="215">
          <cell r="A215">
            <v>8114</v>
          </cell>
          <cell r="B215" t="str">
            <v>ELECTRICAL POWER SOURCE, WIND GENERATED</v>
          </cell>
          <cell r="C215" t="str">
            <v>KW</v>
          </cell>
          <cell r="D215" t="str">
            <v>S</v>
          </cell>
          <cell r="F215">
            <v>1.0209999999999999</v>
          </cell>
          <cell r="G215">
            <v>1.0269999999999999</v>
          </cell>
          <cell r="P215">
            <v>1.032</v>
          </cell>
          <cell r="Q215">
            <v>1.0349999999999999</v>
          </cell>
          <cell r="R215">
            <v>1.1199953840399997</v>
          </cell>
        </row>
        <row r="216">
          <cell r="A216">
            <v>8115</v>
          </cell>
          <cell r="B216" t="str">
            <v>ELECTRICAL POWER SOURCE, PHOTOVOLTAIC</v>
          </cell>
          <cell r="C216" t="str">
            <v>KW</v>
          </cell>
          <cell r="D216" t="str">
            <v>S</v>
          </cell>
          <cell r="F216">
            <v>1.0209999999999999</v>
          </cell>
          <cell r="G216">
            <v>1.0269999999999999</v>
          </cell>
          <cell r="P216">
            <v>1.032</v>
          </cell>
          <cell r="Q216">
            <v>1.0349999999999999</v>
          </cell>
          <cell r="R216">
            <v>1.1199953840399997</v>
          </cell>
        </row>
        <row r="217">
          <cell r="A217">
            <v>8122</v>
          </cell>
          <cell r="B217" t="str">
            <v>EXTERIOR LIGHTING, POLE</v>
          </cell>
          <cell r="C217" t="str">
            <v>EA</v>
          </cell>
          <cell r="D217" t="str">
            <v>S</v>
          </cell>
          <cell r="F217">
            <v>1.0209999999999999</v>
          </cell>
          <cell r="P217">
            <v>1.032</v>
          </cell>
          <cell r="Q217">
            <v>1.0349999999999999</v>
          </cell>
          <cell r="R217">
            <v>1.0905505199999999</v>
          </cell>
        </row>
        <row r="218">
          <cell r="A218">
            <v>8124</v>
          </cell>
          <cell r="B218" t="str">
            <v>ELECTRIC VEHICLE CHARGE FACILITY</v>
          </cell>
          <cell r="C218" t="str">
            <v>KW</v>
          </cell>
          <cell r="D218" t="str">
            <v>S</v>
          </cell>
          <cell r="F218">
            <v>1.0209999999999999</v>
          </cell>
          <cell r="P218">
            <v>1.032</v>
          </cell>
          <cell r="Q218">
            <v>1.0349999999999999</v>
          </cell>
          <cell r="R218">
            <v>1.0905505199999999</v>
          </cell>
        </row>
        <row r="219">
          <cell r="A219">
            <v>8134</v>
          </cell>
          <cell r="B219" t="str">
            <v>LIGHTNING PROTECTION SYSTEM, STAND-ALONE</v>
          </cell>
          <cell r="C219" t="str">
            <v>EA</v>
          </cell>
          <cell r="D219" t="str">
            <v>S</v>
          </cell>
          <cell r="F219">
            <v>1.0209999999999999</v>
          </cell>
          <cell r="P219">
            <v>1.032</v>
          </cell>
          <cell r="Q219">
            <v>1.0349999999999999</v>
          </cell>
          <cell r="R219">
            <v>1.0905505199999999</v>
          </cell>
        </row>
        <row r="220">
          <cell r="A220">
            <v>8211</v>
          </cell>
          <cell r="B220" t="str">
            <v>HEAT SOURCE</v>
          </cell>
          <cell r="C220" t="str">
            <v>MB</v>
          </cell>
          <cell r="D220" t="str">
            <v>S</v>
          </cell>
          <cell r="F220">
            <v>1.0209999999999999</v>
          </cell>
          <cell r="P220">
            <v>1.032</v>
          </cell>
          <cell r="Q220">
            <v>1.0349999999999999</v>
          </cell>
          <cell r="R220">
            <v>1.0905505199999999</v>
          </cell>
        </row>
        <row r="221">
          <cell r="A221">
            <v>8231</v>
          </cell>
          <cell r="B221" t="str">
            <v>HEAT GAS PRODUCTION PLANT</v>
          </cell>
          <cell r="C221" t="str">
            <v>MB</v>
          </cell>
          <cell r="D221" t="str">
            <v>S</v>
          </cell>
          <cell r="F221">
            <v>1.0209999999999999</v>
          </cell>
          <cell r="P221">
            <v>1.032</v>
          </cell>
          <cell r="Q221">
            <v>1.0349999999999999</v>
          </cell>
          <cell r="R221">
            <v>1.0905505199999999</v>
          </cell>
        </row>
        <row r="222">
          <cell r="A222">
            <v>8232</v>
          </cell>
          <cell r="B222" t="str">
            <v>HEAT GAS STORAGE</v>
          </cell>
          <cell r="C222" t="str">
            <v>EA</v>
          </cell>
          <cell r="D222" t="str">
            <v>S</v>
          </cell>
          <cell r="F222">
            <v>1.0209999999999999</v>
          </cell>
          <cell r="P222">
            <v>1.032</v>
          </cell>
          <cell r="Q222">
            <v>1.0349999999999999</v>
          </cell>
          <cell r="R222">
            <v>1.0905505199999999</v>
          </cell>
        </row>
        <row r="223">
          <cell r="A223">
            <v>8241</v>
          </cell>
          <cell r="B223" t="str">
            <v>HEAT GAS DISTRIBUTION LINE</v>
          </cell>
          <cell r="C223" t="str">
            <v>LF</v>
          </cell>
          <cell r="D223" t="str">
            <v>LS</v>
          </cell>
          <cell r="F223">
            <v>1.0209999999999999</v>
          </cell>
          <cell r="P223">
            <v>1.032</v>
          </cell>
          <cell r="Q223">
            <v>1.0349999999999999</v>
          </cell>
          <cell r="R223">
            <v>1.0905505199999999</v>
          </cell>
        </row>
        <row r="224">
          <cell r="A224">
            <v>8261</v>
          </cell>
          <cell r="B224" t="str">
            <v>REFRIGERATION AND AIR CONDITIONING SOURCE</v>
          </cell>
          <cell r="C224" t="str">
            <v>TR</v>
          </cell>
          <cell r="D224" t="str">
            <v>S</v>
          </cell>
          <cell r="F224">
            <v>1.0209999999999999</v>
          </cell>
          <cell r="P224">
            <v>1.032</v>
          </cell>
          <cell r="Q224">
            <v>1.0349999999999999</v>
          </cell>
          <cell r="R224">
            <v>1.0905505199999999</v>
          </cell>
        </row>
        <row r="225">
          <cell r="A225">
            <v>8271</v>
          </cell>
          <cell r="B225" t="str">
            <v>CHILLED WATER AND REFRIGERANT DISTRIBUTION LINE</v>
          </cell>
          <cell r="C225" t="str">
            <v>LF</v>
          </cell>
          <cell r="D225" t="str">
            <v>LS</v>
          </cell>
          <cell r="F225">
            <v>1.0209999999999999</v>
          </cell>
          <cell r="P225">
            <v>1.032</v>
          </cell>
          <cell r="Q225">
            <v>1.0349999999999999</v>
          </cell>
          <cell r="R225">
            <v>1.0905505199999999</v>
          </cell>
        </row>
        <row r="226">
          <cell r="A226">
            <v>8311</v>
          </cell>
          <cell r="B226" t="str">
            <v>SEWAGE TREATMENT</v>
          </cell>
          <cell r="C226" t="str">
            <v>KG</v>
          </cell>
          <cell r="D226" t="str">
            <v>S</v>
          </cell>
          <cell r="F226">
            <v>1.0209999999999999</v>
          </cell>
          <cell r="G226">
            <v>1.0269999999999999</v>
          </cell>
          <cell r="P226">
            <v>1.032</v>
          </cell>
          <cell r="Q226">
            <v>1.0349999999999999</v>
          </cell>
          <cell r="R226">
            <v>1.1199953840399997</v>
          </cell>
        </row>
        <row r="227">
          <cell r="A227">
            <v>8312</v>
          </cell>
          <cell r="B227" t="str">
            <v>INDUSTRIAL WASTE TREATMENT</v>
          </cell>
          <cell r="C227" t="str">
            <v>KG</v>
          </cell>
          <cell r="D227" t="str">
            <v>S</v>
          </cell>
          <cell r="F227">
            <v>1.0209999999999999</v>
          </cell>
          <cell r="G227">
            <v>1.0269999999999999</v>
          </cell>
          <cell r="P227">
            <v>1.032</v>
          </cell>
          <cell r="Q227">
            <v>1.0349999999999999</v>
          </cell>
          <cell r="R227">
            <v>1.1199953840399997</v>
          </cell>
        </row>
        <row r="228">
          <cell r="A228">
            <v>8313</v>
          </cell>
          <cell r="B228" t="str">
            <v>WATER SEPARATION FACILITY</v>
          </cell>
          <cell r="C228" t="str">
            <v>KG</v>
          </cell>
          <cell r="D228" t="str">
            <v>S</v>
          </cell>
          <cell r="F228">
            <v>1.0209999999999999</v>
          </cell>
          <cell r="G228">
            <v>1.0269999999999999</v>
          </cell>
          <cell r="P228">
            <v>1.032</v>
          </cell>
          <cell r="Q228">
            <v>1.0349999999999999</v>
          </cell>
          <cell r="R228">
            <v>1.1199953840399997</v>
          </cell>
        </row>
        <row r="229">
          <cell r="A229">
            <v>8314</v>
          </cell>
          <cell r="B229" t="str">
            <v>SEPTIC TANK AND DRAIN FIELD</v>
          </cell>
          <cell r="C229" t="str">
            <v>GA</v>
          </cell>
          <cell r="D229" t="str">
            <v>S</v>
          </cell>
          <cell r="F229">
            <v>1.0209999999999999</v>
          </cell>
          <cell r="P229">
            <v>1.032</v>
          </cell>
          <cell r="Q229">
            <v>1.0349999999999999</v>
          </cell>
          <cell r="R229">
            <v>1.0905505199999999</v>
          </cell>
        </row>
        <row r="230">
          <cell r="A230">
            <v>8315</v>
          </cell>
          <cell r="B230" t="str">
            <v>SEPTIC LAGOON AND SETTLEMENT PONDS</v>
          </cell>
          <cell r="C230" t="str">
            <v>GA</v>
          </cell>
          <cell r="D230" t="str">
            <v>S</v>
          </cell>
          <cell r="F230">
            <v>1.0209999999999999</v>
          </cell>
          <cell r="P230">
            <v>1.032</v>
          </cell>
          <cell r="Q230">
            <v>1.0349999999999999</v>
          </cell>
          <cell r="R230">
            <v>1.0905505199999999</v>
          </cell>
        </row>
        <row r="231">
          <cell r="A231">
            <v>8321</v>
          </cell>
          <cell r="B231" t="str">
            <v>SEWER AND INDUSTRIAL WASTE LINE</v>
          </cell>
          <cell r="C231" t="str">
            <v>LF</v>
          </cell>
          <cell r="D231" t="str">
            <v>LS</v>
          </cell>
          <cell r="F231">
            <v>1.0209999999999999</v>
          </cell>
          <cell r="P231">
            <v>1.032</v>
          </cell>
          <cell r="Q231">
            <v>1.0349999999999999</v>
          </cell>
          <cell r="R231">
            <v>1.0905505199999999</v>
          </cell>
        </row>
        <row r="232">
          <cell r="A232">
            <v>8331</v>
          </cell>
          <cell r="B232" t="str">
            <v>REFUSE COLLECTION AND RECYCLING FACILITY</v>
          </cell>
          <cell r="C232" t="str">
            <v>EA</v>
          </cell>
          <cell r="D232" t="str">
            <v>S</v>
          </cell>
          <cell r="F232">
            <v>1.0209999999999999</v>
          </cell>
          <cell r="G232">
            <v>1.0269999999999999</v>
          </cell>
          <cell r="R232">
            <v>1.0485669999999998</v>
          </cell>
        </row>
        <row r="233">
          <cell r="A233">
            <v>8332</v>
          </cell>
          <cell r="B233" t="str">
            <v>INCINERATOR</v>
          </cell>
          <cell r="C233" t="str">
            <v>TH</v>
          </cell>
          <cell r="D233" t="str">
            <v>S</v>
          </cell>
          <cell r="F233">
            <v>1.0209999999999999</v>
          </cell>
          <cell r="G233">
            <v>1.0269999999999999</v>
          </cell>
          <cell r="P233">
            <v>1.032</v>
          </cell>
          <cell r="Q233">
            <v>1.0349999999999999</v>
          </cell>
          <cell r="R233">
            <v>1.1199953840399997</v>
          </cell>
        </row>
        <row r="234">
          <cell r="A234">
            <v>8333</v>
          </cell>
          <cell r="B234" t="str">
            <v>SANITARY LANDFILL</v>
          </cell>
          <cell r="C234" t="str">
            <v>AC</v>
          </cell>
          <cell r="D234" t="str">
            <v>S</v>
          </cell>
          <cell r="F234">
            <v>1.0209999999999999</v>
          </cell>
          <cell r="G234">
            <v>1.0269999999999999</v>
          </cell>
          <cell r="P234">
            <v>1.032</v>
          </cell>
          <cell r="Q234">
            <v>1.0349999999999999</v>
          </cell>
          <cell r="R234">
            <v>1.1199953840399997</v>
          </cell>
        </row>
        <row r="235">
          <cell r="A235">
            <v>8334</v>
          </cell>
          <cell r="B235" t="str">
            <v>HAZARDOUS WASTE LANDFILL</v>
          </cell>
          <cell r="C235" t="str">
            <v>AC</v>
          </cell>
          <cell r="D235" t="str">
            <v>S</v>
          </cell>
          <cell r="F235">
            <v>1.0209999999999999</v>
          </cell>
          <cell r="G235">
            <v>1.0269999999999999</v>
          </cell>
          <cell r="P235">
            <v>1.032</v>
          </cell>
          <cell r="Q235">
            <v>1.0349999999999999</v>
          </cell>
          <cell r="R235">
            <v>1.1199953840399997</v>
          </cell>
        </row>
        <row r="236">
          <cell r="A236">
            <v>8412</v>
          </cell>
          <cell r="B236" t="str">
            <v>WATER TREATMENT FACILITY</v>
          </cell>
          <cell r="C236" t="str">
            <v>KG</v>
          </cell>
          <cell r="D236" t="str">
            <v>S</v>
          </cell>
          <cell r="F236">
            <v>1.0209999999999999</v>
          </cell>
          <cell r="G236">
            <v>1.0269999999999999</v>
          </cell>
          <cell r="P236">
            <v>1.032</v>
          </cell>
          <cell r="Q236">
            <v>1.0349999999999999</v>
          </cell>
          <cell r="R236">
            <v>1.1199953840399997</v>
          </cell>
        </row>
        <row r="237">
          <cell r="A237">
            <v>8413</v>
          </cell>
          <cell r="B237" t="str">
            <v>WATER STORAGE, POTABLE</v>
          </cell>
          <cell r="C237" t="str">
            <v>GA</v>
          </cell>
          <cell r="D237" t="str">
            <v>S</v>
          </cell>
          <cell r="F237">
            <v>1.0209999999999999</v>
          </cell>
          <cell r="P237">
            <v>1.032</v>
          </cell>
          <cell r="Q237">
            <v>1.0349999999999999</v>
          </cell>
          <cell r="R237">
            <v>1.0905505199999999</v>
          </cell>
        </row>
        <row r="238">
          <cell r="A238">
            <v>8414</v>
          </cell>
          <cell r="B238" t="str">
            <v>WATER WELL, POTABLE</v>
          </cell>
          <cell r="C238" t="str">
            <v>KG</v>
          </cell>
          <cell r="D238" t="str">
            <v>S</v>
          </cell>
          <cell r="F238">
            <v>1.0209999999999999</v>
          </cell>
          <cell r="R238">
            <v>1.0209999999999999</v>
          </cell>
        </row>
        <row r="239">
          <cell r="A239">
            <v>8415</v>
          </cell>
          <cell r="B239" t="str">
            <v>DESALINIZATION PLANT</v>
          </cell>
          <cell r="C239" t="str">
            <v>KG</v>
          </cell>
          <cell r="D239" t="str">
            <v>S</v>
          </cell>
          <cell r="F239">
            <v>1.0209999999999999</v>
          </cell>
          <cell r="G239">
            <v>1.0269999999999999</v>
          </cell>
          <cell r="P239">
            <v>1.032</v>
          </cell>
          <cell r="Q239">
            <v>1.0349999999999999</v>
          </cell>
          <cell r="R239">
            <v>1.1199953840399997</v>
          </cell>
        </row>
        <row r="240">
          <cell r="A240">
            <v>8421</v>
          </cell>
          <cell r="B240" t="str">
            <v>WATER DISTRIBUTION LINE, POTABLE</v>
          </cell>
          <cell r="C240" t="str">
            <v>LF</v>
          </cell>
          <cell r="D240" t="str">
            <v>LS</v>
          </cell>
          <cell r="F240">
            <v>1.0209999999999999</v>
          </cell>
          <cell r="P240">
            <v>1.032</v>
          </cell>
          <cell r="Q240">
            <v>1.0349999999999999</v>
          </cell>
          <cell r="R240">
            <v>1.0905505199999999</v>
          </cell>
        </row>
        <row r="241">
          <cell r="A241">
            <v>8432</v>
          </cell>
          <cell r="B241" t="str">
            <v>WATER DISTRIBUTION LINE, FIRE PROTECTION</v>
          </cell>
          <cell r="C241" t="str">
            <v>LF</v>
          </cell>
          <cell r="D241" t="str">
            <v>LS</v>
          </cell>
          <cell r="F241">
            <v>1.0209999999999999</v>
          </cell>
          <cell r="P241">
            <v>1.032</v>
          </cell>
          <cell r="Q241">
            <v>1.0349999999999999</v>
          </cell>
          <cell r="R241">
            <v>1.0905505199999999</v>
          </cell>
        </row>
        <row r="242">
          <cell r="A242">
            <v>8441</v>
          </cell>
          <cell r="B242" t="str">
            <v>WATER SOURCE, NON-POTABLE</v>
          </cell>
          <cell r="C242" t="str">
            <v>KG</v>
          </cell>
          <cell r="D242" t="str">
            <v>S</v>
          </cell>
          <cell r="F242">
            <v>1.0209999999999999</v>
          </cell>
          <cell r="P242">
            <v>1.032</v>
          </cell>
          <cell r="Q242">
            <v>1.0349999999999999</v>
          </cell>
          <cell r="R242">
            <v>1.0905505199999999</v>
          </cell>
        </row>
        <row r="243">
          <cell r="A243">
            <v>8442</v>
          </cell>
          <cell r="B243" t="str">
            <v>WATER STORAGE, NON-POTABLE</v>
          </cell>
          <cell r="C243" t="str">
            <v>GA</v>
          </cell>
          <cell r="D243" t="str">
            <v>S</v>
          </cell>
          <cell r="F243">
            <v>1.0209999999999999</v>
          </cell>
          <cell r="P243">
            <v>1.032</v>
          </cell>
          <cell r="Q243">
            <v>1.0349999999999999</v>
          </cell>
          <cell r="R243">
            <v>1.0905505199999999</v>
          </cell>
        </row>
        <row r="244">
          <cell r="A244">
            <v>8511</v>
          </cell>
          <cell r="B244" t="str">
            <v>ROAD, SURFACED</v>
          </cell>
          <cell r="C244" t="str">
            <v>SY</v>
          </cell>
          <cell r="D244" t="str">
            <v>LS</v>
          </cell>
          <cell r="F244">
            <v>1.0209999999999999</v>
          </cell>
          <cell r="G244">
            <v>1.0269999999999999</v>
          </cell>
          <cell r="P244">
            <v>1.032</v>
          </cell>
          <cell r="Q244">
            <v>1.0349999999999999</v>
          </cell>
          <cell r="R244">
            <v>1.1199953840399997</v>
          </cell>
        </row>
        <row r="245">
          <cell r="A245">
            <v>8513</v>
          </cell>
          <cell r="B245" t="str">
            <v>VEHICLE BRIDGE</v>
          </cell>
          <cell r="C245" t="str">
            <v>SY</v>
          </cell>
          <cell r="D245" t="str">
            <v>S</v>
          </cell>
          <cell r="F245">
            <v>1.0209999999999999</v>
          </cell>
          <cell r="G245">
            <v>1.0269999999999999</v>
          </cell>
          <cell r="P245">
            <v>1.032</v>
          </cell>
          <cell r="Q245">
            <v>1.0349999999999999</v>
          </cell>
          <cell r="R245">
            <v>1.1199953840399997</v>
          </cell>
        </row>
        <row r="246">
          <cell r="A246">
            <v>8514</v>
          </cell>
          <cell r="B246" t="str">
            <v>VEHICULAR TUNNEL</v>
          </cell>
          <cell r="C246" t="str">
            <v>LF</v>
          </cell>
          <cell r="D246" t="str">
            <v>LS</v>
          </cell>
          <cell r="F246">
            <v>1.0209999999999999</v>
          </cell>
          <cell r="G246">
            <v>1.0269999999999999</v>
          </cell>
          <cell r="P246">
            <v>1.032</v>
          </cell>
          <cell r="Q246">
            <v>1.0349999999999999</v>
          </cell>
          <cell r="R246">
            <v>1.1199953840399997</v>
          </cell>
        </row>
        <row r="247">
          <cell r="A247">
            <v>8521</v>
          </cell>
          <cell r="B247" t="str">
            <v>VEHICLE PARKING, SURFACED</v>
          </cell>
          <cell r="C247" t="str">
            <v>SY</v>
          </cell>
          <cell r="D247" t="str">
            <v>LS</v>
          </cell>
          <cell r="F247">
            <v>1.0209999999999999</v>
          </cell>
          <cell r="G247">
            <v>1.0269999999999999</v>
          </cell>
          <cell r="P247">
            <v>1.032</v>
          </cell>
          <cell r="Q247">
            <v>1.0349999999999999</v>
          </cell>
          <cell r="R247">
            <v>1.1199953840399997</v>
          </cell>
        </row>
        <row r="248">
          <cell r="A248">
            <v>8522</v>
          </cell>
          <cell r="B248" t="str">
            <v>VEHICLE PARKING AND STAGING AREA, UNSURFACED</v>
          </cell>
          <cell r="C248" t="str">
            <v>SY</v>
          </cell>
          <cell r="D248" t="str">
            <v>LS</v>
          </cell>
          <cell r="F248">
            <v>1.0209999999999999</v>
          </cell>
          <cell r="R248">
            <v>1.0209999999999999</v>
          </cell>
        </row>
        <row r="249">
          <cell r="A249">
            <v>8523</v>
          </cell>
          <cell r="B249" t="str">
            <v>VEHICLE STAGING AREA, SURFACED</v>
          </cell>
          <cell r="C249" t="str">
            <v>SY</v>
          </cell>
          <cell r="D249" t="str">
            <v>LS</v>
          </cell>
          <cell r="F249">
            <v>1.0209999999999999</v>
          </cell>
          <cell r="G249">
            <v>1.0269999999999999</v>
          </cell>
          <cell r="P249">
            <v>1.032</v>
          </cell>
          <cell r="Q249">
            <v>1.0349999999999999</v>
          </cell>
          <cell r="R249">
            <v>1.1199953840399997</v>
          </cell>
        </row>
        <row r="250">
          <cell r="A250">
            <v>8524</v>
          </cell>
          <cell r="B250" t="str">
            <v>SIDEWALK AND WALKWAY</v>
          </cell>
          <cell r="C250" t="str">
            <v>SY</v>
          </cell>
          <cell r="D250" t="str">
            <v>S</v>
          </cell>
          <cell r="F250">
            <v>1.0209999999999999</v>
          </cell>
          <cell r="R250">
            <v>1.0209999999999999</v>
          </cell>
        </row>
        <row r="251">
          <cell r="A251">
            <v>8525</v>
          </cell>
          <cell r="B251" t="str">
            <v>PEDESTRIAN BRIDGE</v>
          </cell>
          <cell r="C251" t="str">
            <v>SY</v>
          </cell>
          <cell r="D251" t="str">
            <v>S</v>
          </cell>
          <cell r="F251">
            <v>1.0209999999999999</v>
          </cell>
          <cell r="P251">
            <v>1.032</v>
          </cell>
          <cell r="Q251">
            <v>1.0349999999999999</v>
          </cell>
          <cell r="R251">
            <v>1.0905505199999999</v>
          </cell>
        </row>
        <row r="252">
          <cell r="A252">
            <v>8526</v>
          </cell>
          <cell r="B252" t="str">
            <v>MISCELLANEOUS PAVED AREA</v>
          </cell>
          <cell r="C252" t="str">
            <v>SY</v>
          </cell>
          <cell r="D252" t="str">
            <v>LS</v>
          </cell>
          <cell r="F252">
            <v>1.0209999999999999</v>
          </cell>
          <cell r="P252">
            <v>1.032</v>
          </cell>
          <cell r="Q252">
            <v>1.0349999999999999</v>
          </cell>
          <cell r="R252">
            <v>1.0905505199999999</v>
          </cell>
        </row>
        <row r="253">
          <cell r="A253">
            <v>8541</v>
          </cell>
          <cell r="B253" t="str">
            <v>TRAFFIC CONTROL SIGNALS</v>
          </cell>
          <cell r="C253" t="str">
            <v>EA</v>
          </cell>
          <cell r="D253" t="str">
            <v>S</v>
          </cell>
          <cell r="F253">
            <v>1.0209999999999999</v>
          </cell>
          <cell r="P253">
            <v>1.032</v>
          </cell>
          <cell r="Q253">
            <v>1.0349999999999999</v>
          </cell>
          <cell r="R253">
            <v>1.0905505199999999</v>
          </cell>
        </row>
        <row r="254">
          <cell r="A254">
            <v>8601</v>
          </cell>
          <cell r="B254" t="str">
            <v>RAILROAD TRACK</v>
          </cell>
          <cell r="C254" t="str">
            <v>MI</v>
          </cell>
          <cell r="D254" t="str">
            <v>LS</v>
          </cell>
          <cell r="F254">
            <v>1.0209999999999999</v>
          </cell>
          <cell r="G254">
            <v>1.0269999999999999</v>
          </cell>
          <cell r="P254">
            <v>1.032</v>
          </cell>
          <cell r="Q254">
            <v>1.0349999999999999</v>
          </cell>
          <cell r="R254">
            <v>1.1199953840399997</v>
          </cell>
        </row>
        <row r="255">
          <cell r="A255">
            <v>8611</v>
          </cell>
          <cell r="B255" t="str">
            <v>RAILROAD BRIDGE</v>
          </cell>
          <cell r="C255" t="str">
            <v>LF</v>
          </cell>
          <cell r="D255" t="str">
            <v>S</v>
          </cell>
          <cell r="F255">
            <v>1.0209999999999999</v>
          </cell>
          <cell r="G255">
            <v>1.0269999999999999</v>
          </cell>
          <cell r="P255">
            <v>1.032</v>
          </cell>
          <cell r="Q255">
            <v>1.0349999999999999</v>
          </cell>
          <cell r="R255">
            <v>1.1199953840399997</v>
          </cell>
        </row>
        <row r="256">
          <cell r="A256">
            <v>8612</v>
          </cell>
          <cell r="B256" t="str">
            <v>MISCELLANEOUS RAILROAD FACILITY</v>
          </cell>
          <cell r="C256" t="str">
            <v>EA</v>
          </cell>
          <cell r="D256" t="str">
            <v>S</v>
          </cell>
          <cell r="F256">
            <v>1.0209999999999999</v>
          </cell>
          <cell r="P256">
            <v>1.032</v>
          </cell>
          <cell r="Q256">
            <v>1.0349999999999999</v>
          </cell>
          <cell r="R256">
            <v>1.0905505199999999</v>
          </cell>
        </row>
        <row r="257">
          <cell r="A257">
            <v>8711</v>
          </cell>
          <cell r="B257" t="str">
            <v>STORM DRAINAGE</v>
          </cell>
          <cell r="C257" t="str">
            <v>LF</v>
          </cell>
          <cell r="D257" t="str">
            <v>LS</v>
          </cell>
          <cell r="F257">
            <v>1.0209999999999999</v>
          </cell>
          <cell r="P257">
            <v>1.032</v>
          </cell>
          <cell r="Q257">
            <v>1.0349999999999999</v>
          </cell>
          <cell r="R257">
            <v>1.0905505199999999</v>
          </cell>
        </row>
        <row r="258">
          <cell r="A258">
            <v>8712</v>
          </cell>
          <cell r="B258" t="str">
            <v>RETAINING STRUCTURE</v>
          </cell>
          <cell r="C258" t="str">
            <v>LF</v>
          </cell>
          <cell r="D258" t="str">
            <v>S</v>
          </cell>
          <cell r="F258">
            <v>1.0209999999999999</v>
          </cell>
          <cell r="R258">
            <v>1.0209999999999999</v>
          </cell>
        </row>
        <row r="259">
          <cell r="A259">
            <v>8714</v>
          </cell>
          <cell r="B259" t="str">
            <v>LEVEES AND DIKES FOR GROUNDS DRAINAGE</v>
          </cell>
          <cell r="C259" t="str">
            <v>LF</v>
          </cell>
          <cell r="D259" t="str">
            <v>S</v>
          </cell>
          <cell r="F259">
            <v>1.0209999999999999</v>
          </cell>
          <cell r="R259">
            <v>1.0209999999999999</v>
          </cell>
        </row>
        <row r="260">
          <cell r="A260">
            <v>8716</v>
          </cell>
          <cell r="B260" t="str">
            <v>STORM WATER FILTRATION</v>
          </cell>
          <cell r="C260" t="str">
            <v>SY</v>
          </cell>
          <cell r="D260" t="str">
            <v>S</v>
          </cell>
          <cell r="F260">
            <v>1.0209999999999999</v>
          </cell>
          <cell r="G260">
            <v>1.0269999999999999</v>
          </cell>
          <cell r="R260">
            <v>1.0485669999999998</v>
          </cell>
        </row>
        <row r="261">
          <cell r="A261">
            <v>8717</v>
          </cell>
          <cell r="B261" t="str">
            <v>STORM WATER TREATMENT STUCTURE</v>
          </cell>
          <cell r="C261" t="str">
            <v>GM</v>
          </cell>
          <cell r="D261" t="str">
            <v>S</v>
          </cell>
          <cell r="F261">
            <v>1.0209999999999999</v>
          </cell>
          <cell r="G261">
            <v>1.0269999999999999</v>
          </cell>
          <cell r="R261">
            <v>1.0485669999999998</v>
          </cell>
        </row>
        <row r="262">
          <cell r="A262">
            <v>8721</v>
          </cell>
          <cell r="B262" t="str">
            <v>BOUNDARY FENCE AND WALL</v>
          </cell>
          <cell r="C262" t="str">
            <v>LF</v>
          </cell>
          <cell r="D262" t="str">
            <v>LS</v>
          </cell>
          <cell r="F262">
            <v>1.0209999999999999</v>
          </cell>
          <cell r="P262">
            <v>1.032</v>
          </cell>
          <cell r="Q262">
            <v>1.0349999999999999</v>
          </cell>
          <cell r="R262">
            <v>1.0905505199999999</v>
          </cell>
        </row>
        <row r="263">
          <cell r="A263">
            <v>8722</v>
          </cell>
          <cell r="B263" t="str">
            <v>SECURITY FENCE</v>
          </cell>
          <cell r="C263" t="str">
            <v>LF</v>
          </cell>
          <cell r="D263" t="str">
            <v>LS</v>
          </cell>
          <cell r="F263">
            <v>1.0209999999999999</v>
          </cell>
          <cell r="P263">
            <v>1.032</v>
          </cell>
          <cell r="Q263">
            <v>1.0349999999999999</v>
          </cell>
          <cell r="R263">
            <v>1.0905505199999999</v>
          </cell>
        </row>
        <row r="264">
          <cell r="A264">
            <v>8813</v>
          </cell>
          <cell r="B264" t="str">
            <v>NAVIGATION REVETMENTS</v>
          </cell>
          <cell r="C264" t="str">
            <v>LF</v>
          </cell>
          <cell r="D264" t="str">
            <v>LS</v>
          </cell>
          <cell r="F264">
            <v>1.0209999999999999</v>
          </cell>
          <cell r="P264">
            <v>1.032</v>
          </cell>
          <cell r="Q264">
            <v>1.0349999999999999</v>
          </cell>
          <cell r="R264">
            <v>1.0905505199999999</v>
          </cell>
        </row>
        <row r="265">
          <cell r="A265">
            <v>8840</v>
          </cell>
          <cell r="B265" t="str">
            <v>MONITORING WELL</v>
          </cell>
          <cell r="C265" t="str">
            <v>EA</v>
          </cell>
          <cell r="D265" t="str">
            <v>S</v>
          </cell>
          <cell r="F265">
            <v>1.0209999999999999</v>
          </cell>
          <cell r="R265">
            <v>1.0209999999999999</v>
          </cell>
        </row>
        <row r="266">
          <cell r="A266">
            <v>8910</v>
          </cell>
          <cell r="B266" t="str">
            <v>UTILITY BUILDING</v>
          </cell>
          <cell r="C266" t="str">
            <v>SF</v>
          </cell>
          <cell r="D266" t="str">
            <v>B</v>
          </cell>
          <cell r="F266">
            <v>1.0209999999999999</v>
          </cell>
          <cell r="G266">
            <v>1.0269999999999999</v>
          </cell>
          <cell r="H266">
            <v>1.0029999999999999</v>
          </cell>
          <cell r="J266">
            <v>1.0049999999999999</v>
          </cell>
          <cell r="N266">
            <v>1.0029999999999999</v>
          </cell>
          <cell r="P266">
            <v>1.032</v>
          </cell>
          <cell r="Q266">
            <v>1.0349999999999999</v>
          </cell>
          <cell r="R266">
            <v>1.1323590634842093</v>
          </cell>
        </row>
        <row r="267">
          <cell r="A267">
            <v>8921</v>
          </cell>
          <cell r="B267" t="str">
            <v>INSTALLATION GAS PRODUCTION PLANT</v>
          </cell>
          <cell r="C267" t="str">
            <v>EA</v>
          </cell>
          <cell r="D267" t="str">
            <v>S</v>
          </cell>
          <cell r="F267">
            <v>1.0209999999999999</v>
          </cell>
          <cell r="G267">
            <v>1.0269999999999999</v>
          </cell>
          <cell r="P267">
            <v>1.032</v>
          </cell>
          <cell r="Q267">
            <v>1.0349999999999999</v>
          </cell>
          <cell r="R267">
            <v>1.1199953840399997</v>
          </cell>
        </row>
        <row r="268">
          <cell r="A268">
            <v>8922</v>
          </cell>
          <cell r="B268" t="str">
            <v>INSTALLATION GAS STORAGE</v>
          </cell>
          <cell r="C268" t="str">
            <v>EA</v>
          </cell>
          <cell r="D268" t="str">
            <v>S</v>
          </cell>
          <cell r="F268">
            <v>1.0209999999999999</v>
          </cell>
          <cell r="R268">
            <v>1.0209999999999999</v>
          </cell>
        </row>
        <row r="269">
          <cell r="A269">
            <v>8923</v>
          </cell>
          <cell r="B269" t="str">
            <v>VEHICLE SCALES</v>
          </cell>
          <cell r="C269" t="str">
            <v>EA</v>
          </cell>
          <cell r="D269" t="str">
            <v>S</v>
          </cell>
          <cell r="F269">
            <v>1.0209999999999999</v>
          </cell>
          <cell r="N269">
            <v>1.0029999999999999</v>
          </cell>
          <cell r="R269">
            <v>1.0240629999999997</v>
          </cell>
        </row>
        <row r="270">
          <cell r="A270">
            <v>8924</v>
          </cell>
          <cell r="B270" t="str">
            <v>MISCELLANEOUS PUMP STATION</v>
          </cell>
          <cell r="C270" t="str">
            <v>EA</v>
          </cell>
          <cell r="D270" t="str">
            <v>S</v>
          </cell>
          <cell r="F270">
            <v>1.0209999999999999</v>
          </cell>
          <cell r="N270">
            <v>1.0029999999999999</v>
          </cell>
          <cell r="R270">
            <v>1.0240629999999997</v>
          </cell>
        </row>
        <row r="271">
          <cell r="A271">
            <v>8926</v>
          </cell>
          <cell r="B271" t="str">
            <v>HAZARDOUS WASTE STORAGE OR DISPOSAL FACILITY</v>
          </cell>
          <cell r="C271" t="str">
            <v>EA</v>
          </cell>
          <cell r="D271" t="str">
            <v>S</v>
          </cell>
          <cell r="F271">
            <v>1.0209999999999999</v>
          </cell>
          <cell r="G271">
            <v>1.0269999999999999</v>
          </cell>
          <cell r="N271">
            <v>1.0029999999999999</v>
          </cell>
          <cell r="R271">
            <v>1.0517127009999996</v>
          </cell>
        </row>
        <row r="272">
          <cell r="A272">
            <v>8927</v>
          </cell>
          <cell r="B272" t="str">
            <v>UTILITY VAULTS</v>
          </cell>
          <cell r="C272" t="str">
            <v>EA</v>
          </cell>
          <cell r="D272" t="str">
            <v>S</v>
          </cell>
          <cell r="F272">
            <v>1.0209999999999999</v>
          </cell>
          <cell r="R272">
            <v>1.0209999999999999</v>
          </cell>
        </row>
        <row r="273">
          <cell r="A273">
            <v>8928</v>
          </cell>
          <cell r="B273" t="str">
            <v>LOADING PLATFORM/RAMP</v>
          </cell>
          <cell r="C273" t="str">
            <v>EA</v>
          </cell>
          <cell r="D273" t="str">
            <v>S</v>
          </cell>
          <cell r="F273">
            <v>1.0209999999999999</v>
          </cell>
          <cell r="R273">
            <v>1.0209999999999999</v>
          </cell>
        </row>
        <row r="274">
          <cell r="A274">
            <v>8929</v>
          </cell>
          <cell r="B274" t="str">
            <v>MISCELLANEOUS UTILITY FACILITY</v>
          </cell>
          <cell r="C274" t="str">
            <v>EA</v>
          </cell>
          <cell r="D274" t="str">
            <v>S</v>
          </cell>
          <cell r="F274">
            <v>1.0209999999999999</v>
          </cell>
          <cell r="R274">
            <v>1.0209999999999999</v>
          </cell>
        </row>
        <row r="275">
          <cell r="A275">
            <v>8930</v>
          </cell>
          <cell r="B275" t="str">
            <v>INSTALLATION GAS DISTRIBUTION LINE</v>
          </cell>
          <cell r="C275" t="str">
            <v>LF</v>
          </cell>
          <cell r="D275" t="str">
            <v>LS</v>
          </cell>
          <cell r="F275">
            <v>1.0209999999999999</v>
          </cell>
          <cell r="P275">
            <v>1.032</v>
          </cell>
          <cell r="Q275">
            <v>1.0349999999999999</v>
          </cell>
          <cell r="R275">
            <v>1.0905505199999999</v>
          </cell>
        </row>
        <row r="276">
          <cell r="A276">
            <v>8931</v>
          </cell>
          <cell r="B276" t="str">
            <v>UTILITY TUNNEL</v>
          </cell>
          <cell r="C276" t="str">
            <v>LF</v>
          </cell>
          <cell r="D276" t="str">
            <v>LS</v>
          </cell>
          <cell r="F276">
            <v>1.0209999999999999</v>
          </cell>
          <cell r="P276">
            <v>1.032</v>
          </cell>
          <cell r="Q276">
            <v>1.0349999999999999</v>
          </cell>
          <cell r="R276">
            <v>1.0905505199999999</v>
          </cell>
        </row>
        <row r="277">
          <cell r="A277">
            <v>8932</v>
          </cell>
          <cell r="B277" t="str">
            <v>UTILIITY CHANNEL</v>
          </cell>
          <cell r="C277" t="str">
            <v>LF</v>
          </cell>
          <cell r="D277" t="str">
            <v>LS</v>
          </cell>
          <cell r="F277">
            <v>1.0209999999999999</v>
          </cell>
          <cell r="P277">
            <v>1.032</v>
          </cell>
          <cell r="Q277">
            <v>1.0349999999999999</v>
          </cell>
          <cell r="R277">
            <v>1.0905505199999999</v>
          </cell>
        </row>
        <row r="278">
          <cell r="A278">
            <v>8951</v>
          </cell>
          <cell r="B278" t="str">
            <v>MISCELLANEOUS STORAGE TANK AND BASIN</v>
          </cell>
          <cell r="C278" t="str">
            <v>GA</v>
          </cell>
          <cell r="D278" t="str">
            <v>S</v>
          </cell>
          <cell r="F278">
            <v>1.0209999999999999</v>
          </cell>
          <cell r="R278">
            <v>1.0209999999999999</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310F1-C1DB-47F4-A178-B70CA9247BA2}">
  <sheetPr>
    <pageSetUpPr fitToPage="1"/>
  </sheetPr>
  <dimension ref="A1:AH4621"/>
  <sheetViews>
    <sheetView tabSelected="1" zoomScale="70" zoomScaleNormal="70" workbookViewId="0">
      <selection activeCell="A3" sqref="A3:L3"/>
    </sheetView>
  </sheetViews>
  <sheetFormatPr defaultColWidth="8.86328125" defaultRowHeight="30" customHeight="1" x14ac:dyDescent="0.45"/>
  <cols>
    <col min="1" max="1" width="16.86328125" style="26" customWidth="1"/>
    <col min="2" max="3" width="8.86328125" style="2"/>
    <col min="4" max="4" width="38.1328125" style="2" customWidth="1"/>
    <col min="5" max="5" width="19.1328125" style="2" customWidth="1"/>
    <col min="6" max="6" width="16.73046875" style="2" customWidth="1"/>
    <col min="7" max="7" width="17.1328125" style="2" customWidth="1"/>
    <col min="8" max="8" width="17" style="2" customWidth="1"/>
    <col min="9" max="9" width="16.1328125" style="2" customWidth="1"/>
    <col min="10" max="10" width="18.3984375" style="2" customWidth="1"/>
    <col min="11" max="11" width="19.1328125" style="2" customWidth="1"/>
    <col min="12" max="12" width="9.1328125" style="2" customWidth="1"/>
    <col min="13" max="13" width="17.59765625" style="1" customWidth="1"/>
    <col min="14" max="14" width="20.1328125" style="2" customWidth="1"/>
    <col min="15" max="15" width="49.3984375" style="3" customWidth="1"/>
    <col min="16" max="16" width="14.59765625" style="2" customWidth="1"/>
    <col min="17" max="17" width="8.86328125" style="2"/>
    <col min="18" max="18" width="12.1328125" style="2" customWidth="1"/>
    <col min="19" max="19" width="15.59765625" style="2" customWidth="1"/>
    <col min="20" max="20" width="11.86328125" style="2" customWidth="1"/>
    <col min="21" max="21" width="8.86328125" style="2"/>
    <col min="22" max="22" width="13.3984375" style="2" customWidth="1"/>
    <col min="23" max="16384" width="8.86328125" style="2"/>
  </cols>
  <sheetData>
    <row r="1" spans="1:22" ht="30" customHeight="1" thickBot="1" x14ac:dyDescent="0.5">
      <c r="A1" s="1488" t="s">
        <v>0</v>
      </c>
      <c r="B1" s="1489"/>
      <c r="C1" s="1489"/>
      <c r="D1" s="1489"/>
      <c r="E1" s="1489"/>
      <c r="F1" s="1489"/>
      <c r="G1" s="1489"/>
      <c r="H1" s="1489"/>
      <c r="I1" s="1489"/>
      <c r="J1" s="1489"/>
      <c r="K1" s="1489"/>
      <c r="L1" s="1490"/>
    </row>
    <row r="2" spans="1:22" ht="30" customHeight="1" x14ac:dyDescent="0.45">
      <c r="A2" s="1491" t="s">
        <v>1</v>
      </c>
      <c r="B2" s="1491"/>
      <c r="C2" s="1491"/>
      <c r="D2" s="1491"/>
      <c r="E2" s="1491"/>
      <c r="F2" s="1491"/>
      <c r="G2" s="1491"/>
      <c r="H2" s="1491"/>
      <c r="I2" s="1491"/>
      <c r="J2" s="1491"/>
      <c r="K2" s="1491"/>
      <c r="L2" s="1492"/>
    </row>
    <row r="3" spans="1:22" ht="30" customHeight="1" x14ac:dyDescent="0.45">
      <c r="A3" s="994" t="s">
        <v>2</v>
      </c>
      <c r="B3" s="994"/>
      <c r="C3" s="994"/>
      <c r="D3" s="994"/>
      <c r="E3" s="994"/>
      <c r="F3" s="994"/>
      <c r="G3" s="994"/>
      <c r="H3" s="994"/>
      <c r="I3" s="994"/>
      <c r="J3" s="994"/>
      <c r="K3" s="994"/>
      <c r="L3" s="1493"/>
    </row>
    <row r="4" spans="1:22" s="5" customFormat="1" ht="30" customHeight="1" thickBot="1" x14ac:dyDescent="0.5">
      <c r="A4" s="994" t="s">
        <v>3</v>
      </c>
      <c r="B4" s="994"/>
      <c r="C4" s="994"/>
      <c r="D4" s="994"/>
      <c r="E4" s="994"/>
      <c r="F4" s="994"/>
      <c r="G4" s="994"/>
      <c r="H4" s="994"/>
      <c r="I4" s="994"/>
      <c r="J4" s="994"/>
      <c r="K4" s="994"/>
      <c r="L4" s="1493"/>
    </row>
    <row r="5" spans="1:22" ht="30" customHeight="1" thickBot="1" x14ac:dyDescent="0.5">
      <c r="A5" s="999"/>
      <c r="B5" s="1000"/>
      <c r="C5" s="1000"/>
      <c r="D5" s="1000"/>
      <c r="E5" s="1000"/>
      <c r="F5" s="1000"/>
      <c r="G5" s="1000"/>
      <c r="H5" s="1000"/>
      <c r="I5" s="1000"/>
      <c r="J5" s="1000"/>
      <c r="K5" s="1000"/>
      <c r="L5" s="1001"/>
    </row>
    <row r="6" spans="1:22" s="18" customFormat="1" ht="30" customHeight="1" x14ac:dyDescent="0.45">
      <c r="A6" s="9" t="s">
        <v>4</v>
      </c>
      <c r="B6" s="10">
        <v>1111</v>
      </c>
      <c r="C6" s="1028" t="s">
        <v>5</v>
      </c>
      <c r="D6" s="1029"/>
      <c r="E6" s="11" t="s">
        <v>6</v>
      </c>
      <c r="F6" s="12">
        <v>110638.165691056</v>
      </c>
      <c r="G6" s="13" t="s">
        <v>7</v>
      </c>
      <c r="H6" s="14" t="s">
        <v>8</v>
      </c>
      <c r="I6" s="13" t="s">
        <v>9</v>
      </c>
      <c r="J6" s="1155" t="s">
        <v>10</v>
      </c>
      <c r="K6" s="1156"/>
      <c r="L6" s="1127"/>
      <c r="M6" s="17"/>
      <c r="O6" s="5"/>
      <c r="P6" s="2"/>
      <c r="Q6" s="2"/>
      <c r="R6" s="2"/>
      <c r="S6" s="2"/>
      <c r="T6" s="2"/>
      <c r="U6" s="2"/>
    </row>
    <row r="7" spans="1:22" ht="30" customHeight="1" x14ac:dyDescent="0.45">
      <c r="A7" s="19" t="s">
        <v>11</v>
      </c>
      <c r="B7" s="1005" t="s">
        <v>12</v>
      </c>
      <c r="C7" s="1005"/>
      <c r="D7" s="1005"/>
      <c r="E7" s="20" t="s">
        <v>13</v>
      </c>
      <c r="F7" s="20" t="s">
        <v>14</v>
      </c>
      <c r="G7" s="1068" t="s">
        <v>15</v>
      </c>
      <c r="H7" s="1069"/>
      <c r="I7" s="1068" t="s">
        <v>16</v>
      </c>
      <c r="J7" s="1069"/>
      <c r="K7" s="992" t="s">
        <v>17</v>
      </c>
      <c r="L7" s="993"/>
      <c r="M7" s="25"/>
      <c r="N7" s="26"/>
      <c r="O7" s="2"/>
      <c r="P7" s="27"/>
      <c r="Q7" s="26"/>
      <c r="R7" s="28"/>
    </row>
    <row r="8" spans="1:22" ht="30" customHeight="1" x14ac:dyDescent="0.45">
      <c r="A8" s="29">
        <v>11110</v>
      </c>
      <c r="B8" s="994" t="s">
        <v>18</v>
      </c>
      <c r="C8" s="994"/>
      <c r="D8" s="994"/>
      <c r="E8" s="30">
        <v>180.36</v>
      </c>
      <c r="F8" s="31" t="s">
        <v>8</v>
      </c>
      <c r="G8" s="32">
        <v>1.25</v>
      </c>
      <c r="H8" s="33" t="s">
        <v>19</v>
      </c>
      <c r="I8" s="1119">
        <f>+'[1]2023 MILCON Inflation Table'!F22</f>
        <v>0.93771935922451721</v>
      </c>
      <c r="J8" s="1120"/>
      <c r="K8" s="36">
        <f>+E8*G8*I8</f>
        <v>211.40882953716743</v>
      </c>
      <c r="L8" s="16" t="s">
        <v>8</v>
      </c>
      <c r="M8" s="25"/>
      <c r="N8" s="5"/>
      <c r="O8" s="2"/>
      <c r="P8" s="27"/>
      <c r="Q8" s="26"/>
      <c r="R8" s="28"/>
    </row>
    <row r="9" spans="1:22" ht="30" customHeight="1" x14ac:dyDescent="0.45">
      <c r="A9" s="29">
        <v>11110</v>
      </c>
      <c r="B9" s="994" t="s">
        <v>20</v>
      </c>
      <c r="C9" s="994"/>
      <c r="D9" s="994"/>
      <c r="E9" s="30">
        <v>137.56</v>
      </c>
      <c r="F9" s="31" t="s">
        <v>8</v>
      </c>
      <c r="G9" s="32">
        <f>16/12</f>
        <v>1.3333333333333333</v>
      </c>
      <c r="H9" s="33" t="s">
        <v>21</v>
      </c>
      <c r="I9" s="1119">
        <f>+I8</f>
        <v>0.93771935922451721</v>
      </c>
      <c r="J9" s="1120"/>
      <c r="K9" s="36">
        <f>+E9*G9*I9</f>
        <v>171.99023340656612</v>
      </c>
      <c r="L9" s="16" t="s">
        <v>8</v>
      </c>
      <c r="M9" s="37"/>
    </row>
    <row r="10" spans="1:22" ht="30" customHeight="1" thickBot="1" x14ac:dyDescent="0.5">
      <c r="A10" s="29">
        <v>11110</v>
      </c>
      <c r="B10" s="994" t="s">
        <v>22</v>
      </c>
      <c r="C10" s="994"/>
      <c r="D10" s="994"/>
      <c r="E10" s="30">
        <v>119.89</v>
      </c>
      <c r="F10" s="38" t="s">
        <v>8</v>
      </c>
      <c r="G10" s="39"/>
      <c r="H10" s="39"/>
      <c r="I10" s="1119">
        <f>+I8</f>
        <v>0.93771935922451721</v>
      </c>
      <c r="J10" s="1120"/>
      <c r="K10" s="36">
        <f>+E10*I10</f>
        <v>112.42317397742737</v>
      </c>
      <c r="L10" s="16" t="s">
        <v>8</v>
      </c>
      <c r="M10" s="40"/>
      <c r="N10" s="26"/>
      <c r="U10" s="41"/>
      <c r="V10" s="41"/>
    </row>
    <row r="11" spans="1:22" ht="30" customHeight="1" x14ac:dyDescent="0.45">
      <c r="A11" s="29"/>
      <c r="B11" s="4"/>
      <c r="C11" s="4"/>
      <c r="D11" s="4"/>
      <c r="E11" s="30"/>
      <c r="F11" s="42"/>
      <c r="G11" s="1482" t="s">
        <v>23</v>
      </c>
      <c r="H11" s="1483"/>
      <c r="I11" s="44" t="s">
        <v>24</v>
      </c>
      <c r="J11" s="45">
        <v>0.71</v>
      </c>
      <c r="K11" s="36">
        <f>+K8</f>
        <v>211.40882953716743</v>
      </c>
      <c r="L11" s="16" t="s">
        <v>8</v>
      </c>
      <c r="M11" s="40"/>
      <c r="N11" s="26"/>
      <c r="U11" s="41"/>
      <c r="V11" s="41"/>
    </row>
    <row r="12" spans="1:22" ht="30" customHeight="1" x14ac:dyDescent="0.45">
      <c r="A12" s="29"/>
      <c r="B12" s="4"/>
      <c r="C12" s="4"/>
      <c r="D12" s="4"/>
      <c r="E12" s="30"/>
      <c r="F12" s="42"/>
      <c r="G12" s="1486"/>
      <c r="H12" s="1487"/>
      <c r="I12" s="47" t="s">
        <v>25</v>
      </c>
      <c r="J12" s="48">
        <v>0.14000000000000001</v>
      </c>
      <c r="K12" s="36">
        <f>+K9</f>
        <v>171.99023340656612</v>
      </c>
      <c r="L12" s="16" t="s">
        <v>8</v>
      </c>
      <c r="M12" s="40"/>
      <c r="N12" s="26"/>
      <c r="U12" s="41"/>
      <c r="V12" s="41"/>
    </row>
    <row r="13" spans="1:22" ht="30" customHeight="1" thickBot="1" x14ac:dyDescent="0.5">
      <c r="A13" s="29"/>
      <c r="B13" s="4"/>
      <c r="C13" s="4"/>
      <c r="D13" s="4"/>
      <c r="E13" s="30"/>
      <c r="F13" s="42"/>
      <c r="G13" s="1484"/>
      <c r="H13" s="1485"/>
      <c r="I13" s="50" t="s">
        <v>26</v>
      </c>
      <c r="J13" s="51">
        <v>0.15</v>
      </c>
      <c r="K13" s="52">
        <f>+K10</f>
        <v>112.42317397742737</v>
      </c>
      <c r="L13" s="16" t="s">
        <v>8</v>
      </c>
      <c r="M13" s="40"/>
      <c r="N13" s="26"/>
      <c r="U13" s="41"/>
      <c r="V13" s="41"/>
    </row>
    <row r="14" spans="1:22" ht="30" customHeight="1" x14ac:dyDescent="0.45">
      <c r="A14" s="38"/>
      <c r="E14" s="53"/>
      <c r="F14" s="38"/>
      <c r="G14" s="54"/>
      <c r="H14" s="54"/>
      <c r="I14" s="54"/>
      <c r="J14" s="54" t="s">
        <v>27</v>
      </c>
      <c r="K14" s="55">
        <f>+(K11*J11)+(K12*J12)+(K13*J13)</f>
        <v>191.04237774492222</v>
      </c>
      <c r="L14" s="16" t="s">
        <v>8</v>
      </c>
      <c r="M14" s="40"/>
      <c r="N14" s="26"/>
      <c r="U14" s="41"/>
      <c r="V14" s="41"/>
    </row>
    <row r="15" spans="1:22" ht="30" customHeight="1" x14ac:dyDescent="0.45">
      <c r="A15" s="38">
        <v>93410</v>
      </c>
      <c r="B15" s="994" t="s">
        <v>28</v>
      </c>
      <c r="C15" s="994"/>
      <c r="D15" s="994"/>
      <c r="E15" s="30">
        <v>12.99</v>
      </c>
      <c r="F15" s="38" t="s">
        <v>29</v>
      </c>
      <c r="G15" s="54">
        <v>0.33329999999999999</v>
      </c>
      <c r="H15" s="56" t="s">
        <v>30</v>
      </c>
      <c r="I15" s="1119">
        <f>+I8</f>
        <v>0.93771935922451721</v>
      </c>
      <c r="J15" s="1120"/>
      <c r="K15" s="55">
        <f>+E15*G15*I15</f>
        <v>4.059918792959615</v>
      </c>
      <c r="L15" s="16" t="s">
        <v>8</v>
      </c>
      <c r="M15" s="40"/>
      <c r="N15" s="26"/>
      <c r="U15" s="41"/>
      <c r="V15" s="41"/>
    </row>
    <row r="16" spans="1:22" ht="30" customHeight="1" x14ac:dyDescent="0.45">
      <c r="A16" s="38">
        <v>93410</v>
      </c>
      <c r="B16" s="994" t="s">
        <v>31</v>
      </c>
      <c r="C16" s="994"/>
      <c r="D16" s="994"/>
      <c r="E16" s="30">
        <v>20.86</v>
      </c>
      <c r="F16" s="38" t="s">
        <v>29</v>
      </c>
      <c r="G16" s="54">
        <v>0.33329999999999999</v>
      </c>
      <c r="H16" s="56" t="s">
        <v>30</v>
      </c>
      <c r="I16" s="1119">
        <f>+I8</f>
        <v>0.93771935922451721</v>
      </c>
      <c r="J16" s="1120"/>
      <c r="K16" s="55">
        <f>+E16*G16*I16</f>
        <v>6.519623250280028</v>
      </c>
      <c r="L16" s="16" t="s">
        <v>8</v>
      </c>
      <c r="M16" s="40"/>
      <c r="N16" s="26"/>
      <c r="U16" s="41"/>
      <c r="V16" s="41"/>
    </row>
    <row r="17" spans="1:22" ht="30" customHeight="1" x14ac:dyDescent="0.45">
      <c r="A17" s="38">
        <v>93210</v>
      </c>
      <c r="B17" s="994" t="s">
        <v>32</v>
      </c>
      <c r="C17" s="994"/>
      <c r="D17" s="994"/>
      <c r="E17" s="57">
        <v>5.84</v>
      </c>
      <c r="F17" s="38" t="s">
        <v>8</v>
      </c>
      <c r="G17" s="54"/>
      <c r="H17" s="56"/>
      <c r="I17" s="1119">
        <f>+I15</f>
        <v>0.93771935922451721</v>
      </c>
      <c r="J17" s="1120"/>
      <c r="K17" s="36">
        <f>+E17*I17</f>
        <v>5.47628105787118</v>
      </c>
      <c r="L17" s="16" t="s">
        <v>8</v>
      </c>
      <c r="M17" s="40"/>
      <c r="N17" s="26"/>
      <c r="U17" s="41"/>
      <c r="V17" s="41"/>
    </row>
    <row r="18" spans="1:22" ht="30" customHeight="1" x14ac:dyDescent="0.45">
      <c r="A18" s="29">
        <v>11110</v>
      </c>
      <c r="B18" s="994" t="s">
        <v>33</v>
      </c>
      <c r="C18" s="994"/>
      <c r="D18" s="994"/>
      <c r="E18" s="30">
        <v>43.94</v>
      </c>
      <c r="F18" s="38" t="s">
        <v>8</v>
      </c>
      <c r="G18" s="58"/>
      <c r="H18" s="58"/>
      <c r="I18" s="1119">
        <f>+I8</f>
        <v>0.93771935922451721</v>
      </c>
      <c r="J18" s="1120"/>
      <c r="K18" s="36">
        <f>+E18*I18</f>
        <v>41.203388644325287</v>
      </c>
      <c r="L18" s="16" t="s">
        <v>8</v>
      </c>
      <c r="M18" s="40"/>
      <c r="N18" s="26"/>
      <c r="U18" s="41"/>
      <c r="V18" s="41"/>
    </row>
    <row r="19" spans="1:22" ht="30" customHeight="1" x14ac:dyDescent="0.45">
      <c r="A19" s="29">
        <v>11110</v>
      </c>
      <c r="B19" s="994" t="s">
        <v>34</v>
      </c>
      <c r="C19" s="994"/>
      <c r="D19" s="994"/>
      <c r="E19" s="30">
        <v>8.31</v>
      </c>
      <c r="F19" s="38" t="s">
        <v>35</v>
      </c>
      <c r="G19" s="58">
        <f>9*0.06</f>
        <v>0.54</v>
      </c>
      <c r="H19" s="58" t="s">
        <v>36</v>
      </c>
      <c r="I19" s="1119">
        <f>+I9</f>
        <v>0.93771935922451721</v>
      </c>
      <c r="J19" s="1120"/>
      <c r="K19" s="39">
        <f>+E19*G19*I19</f>
        <v>4.2079218525840991</v>
      </c>
      <c r="L19" s="16" t="s">
        <v>8</v>
      </c>
      <c r="M19" s="40"/>
      <c r="N19" s="26"/>
      <c r="U19" s="41"/>
      <c r="V19" s="41"/>
    </row>
    <row r="20" spans="1:22" ht="30" customHeight="1" x14ac:dyDescent="0.45">
      <c r="A20" s="1104" t="s">
        <v>37</v>
      </c>
      <c r="B20" s="1105"/>
      <c r="C20" s="1105"/>
      <c r="D20" s="1105"/>
      <c r="E20" s="61"/>
      <c r="F20" s="38"/>
      <c r="G20" s="39"/>
      <c r="H20" s="39"/>
      <c r="I20" s="39"/>
      <c r="J20" s="62" t="s">
        <v>38</v>
      </c>
      <c r="K20" s="39">
        <f>+K14+K15+K16+K17+K18+K19</f>
        <v>252.50951134294243</v>
      </c>
      <c r="L20" s="16" t="s">
        <v>8</v>
      </c>
      <c r="M20" s="25"/>
      <c r="N20" s="26"/>
      <c r="U20" s="41"/>
      <c r="V20" s="41"/>
    </row>
    <row r="21" spans="1:22" ht="30" customHeight="1" thickBot="1" x14ac:dyDescent="0.5">
      <c r="A21" s="1166"/>
      <c r="B21" s="1167"/>
      <c r="C21" s="1167"/>
      <c r="D21" s="1167"/>
      <c r="E21" s="64"/>
      <c r="F21" s="65"/>
      <c r="G21" s="66"/>
      <c r="H21" s="66"/>
      <c r="I21" s="66"/>
      <c r="J21" s="67" t="s">
        <v>39</v>
      </c>
      <c r="K21" s="66">
        <f>+K20</f>
        <v>252.50951134294243</v>
      </c>
      <c r="L21" s="68" t="s">
        <v>8</v>
      </c>
      <c r="M21" s="25"/>
      <c r="N21" s="26"/>
      <c r="U21" s="41"/>
      <c r="V21" s="41"/>
    </row>
    <row r="22" spans="1:22" ht="30" customHeight="1" thickBot="1" x14ac:dyDescent="0.5">
      <c r="A22" s="1245"/>
      <c r="B22" s="1246"/>
      <c r="C22" s="1246"/>
      <c r="D22" s="1246"/>
      <c r="E22" s="1246"/>
      <c r="F22" s="1246"/>
      <c r="G22" s="1246"/>
      <c r="H22" s="1246"/>
      <c r="I22" s="1246"/>
      <c r="J22" s="1246"/>
      <c r="K22" s="1246"/>
      <c r="L22" s="1247"/>
      <c r="M22" s="25"/>
      <c r="S22" s="41"/>
      <c r="T22" s="41"/>
    </row>
    <row r="23" spans="1:22" s="18" customFormat="1" ht="30" customHeight="1" x14ac:dyDescent="0.45">
      <c r="A23" s="9" t="s">
        <v>4</v>
      </c>
      <c r="B23" s="10">
        <v>1112</v>
      </c>
      <c r="C23" s="1028" t="s">
        <v>40</v>
      </c>
      <c r="D23" s="1029"/>
      <c r="E23" s="11" t="s">
        <v>6</v>
      </c>
      <c r="F23" s="12">
        <v>4885.1333765079298</v>
      </c>
      <c r="G23" s="13" t="s">
        <v>7</v>
      </c>
      <c r="H23" s="14" t="s">
        <v>8</v>
      </c>
      <c r="I23" s="13" t="s">
        <v>9</v>
      </c>
      <c r="J23" s="1155" t="s">
        <v>10</v>
      </c>
      <c r="K23" s="1156"/>
      <c r="L23" s="1127"/>
      <c r="M23" s="17"/>
      <c r="O23" s="5"/>
      <c r="P23" s="2"/>
      <c r="Q23" s="2"/>
      <c r="R23" s="2"/>
      <c r="S23" s="2"/>
      <c r="T23" s="2"/>
      <c r="U23" s="2"/>
    </row>
    <row r="24" spans="1:22" ht="30" customHeight="1" x14ac:dyDescent="0.45">
      <c r="A24" s="19" t="s">
        <v>11</v>
      </c>
      <c r="B24" s="1005" t="s">
        <v>12</v>
      </c>
      <c r="C24" s="1005"/>
      <c r="D24" s="1005"/>
      <c r="E24" s="20" t="s">
        <v>13</v>
      </c>
      <c r="F24" s="20" t="s">
        <v>14</v>
      </c>
      <c r="G24" s="1068" t="s">
        <v>15</v>
      </c>
      <c r="H24" s="1069"/>
      <c r="I24" s="1068" t="s">
        <v>16</v>
      </c>
      <c r="J24" s="1069"/>
      <c r="K24" s="992" t="s">
        <v>17</v>
      </c>
      <c r="L24" s="993"/>
      <c r="M24" s="25"/>
      <c r="N24" s="26"/>
      <c r="O24" s="2"/>
      <c r="P24" s="27"/>
      <c r="Q24" s="26"/>
      <c r="R24" s="28"/>
    </row>
    <row r="25" spans="1:22" ht="30" customHeight="1" x14ac:dyDescent="0.45">
      <c r="A25" s="29">
        <v>11110</v>
      </c>
      <c r="B25" s="994" t="s">
        <v>20</v>
      </c>
      <c r="C25" s="994"/>
      <c r="D25" s="994"/>
      <c r="E25" s="30">
        <v>137.56</v>
      </c>
      <c r="F25" s="38" t="s">
        <v>8</v>
      </c>
      <c r="G25" s="39"/>
      <c r="H25" s="39"/>
      <c r="I25" s="1119">
        <f>+'[1]2023 MILCON Inflation Table'!F22</f>
        <v>0.93771935922451721</v>
      </c>
      <c r="J25" s="1120"/>
      <c r="K25" s="36">
        <f>+E25*I25</f>
        <v>128.9926750549246</v>
      </c>
      <c r="L25" s="16" t="s">
        <v>8</v>
      </c>
      <c r="M25" s="40"/>
      <c r="N25" s="26"/>
      <c r="U25" s="41"/>
      <c r="V25" s="41"/>
    </row>
    <row r="26" spans="1:22" ht="30" customHeight="1" thickBot="1" x14ac:dyDescent="0.5">
      <c r="A26" s="29">
        <v>11110</v>
      </c>
      <c r="B26" s="994" t="s">
        <v>41</v>
      </c>
      <c r="C26" s="994"/>
      <c r="D26" s="994"/>
      <c r="E26" s="30">
        <v>36.590000000000003</v>
      </c>
      <c r="F26" s="38" t="s">
        <v>8</v>
      </c>
      <c r="G26" s="72">
        <v>2</v>
      </c>
      <c r="H26" s="33" t="s">
        <v>42</v>
      </c>
      <c r="I26" s="1119">
        <f>+I25</f>
        <v>0.93771935922451721</v>
      </c>
      <c r="J26" s="1120"/>
      <c r="K26" s="36">
        <f>+E26*G26*I26</f>
        <v>68.622302708050171</v>
      </c>
      <c r="L26" s="16" t="s">
        <v>8</v>
      </c>
      <c r="M26" s="40"/>
      <c r="N26" s="26"/>
      <c r="U26" s="41"/>
      <c r="V26" s="41"/>
    </row>
    <row r="27" spans="1:22" ht="30" customHeight="1" x14ac:dyDescent="0.45">
      <c r="A27" s="29"/>
      <c r="B27" s="4"/>
      <c r="C27" s="4"/>
      <c r="D27" s="4"/>
      <c r="E27" s="30"/>
      <c r="F27" s="42"/>
      <c r="G27" s="1482" t="s">
        <v>23</v>
      </c>
      <c r="H27" s="1483"/>
      <c r="I27" s="44" t="s">
        <v>43</v>
      </c>
      <c r="J27" s="45">
        <v>0.76</v>
      </c>
      <c r="K27" s="36">
        <f>+K25</f>
        <v>128.9926750549246</v>
      </c>
      <c r="L27" s="16" t="s">
        <v>8</v>
      </c>
      <c r="M27" s="40"/>
      <c r="N27" s="26"/>
      <c r="U27" s="41"/>
      <c r="V27" s="41"/>
    </row>
    <row r="28" spans="1:22" ht="30" customHeight="1" thickBot="1" x14ac:dyDescent="0.5">
      <c r="A28" s="29"/>
      <c r="B28" s="4"/>
      <c r="C28" s="4"/>
      <c r="D28" s="4"/>
      <c r="E28" s="30"/>
      <c r="F28" s="42"/>
      <c r="G28" s="1484"/>
      <c r="H28" s="1485"/>
      <c r="I28" s="50" t="s">
        <v>44</v>
      </c>
      <c r="J28" s="51">
        <v>0.24</v>
      </c>
      <c r="K28" s="36">
        <f>+K26</f>
        <v>68.622302708050171</v>
      </c>
      <c r="L28" s="16" t="s">
        <v>8</v>
      </c>
      <c r="M28" s="40"/>
      <c r="N28" s="26"/>
      <c r="U28" s="41"/>
      <c r="V28" s="41"/>
    </row>
    <row r="29" spans="1:22" ht="30" customHeight="1" x14ac:dyDescent="0.45">
      <c r="A29" s="38"/>
      <c r="E29" s="53"/>
      <c r="F29" s="38"/>
      <c r="G29" s="54"/>
      <c r="H29" s="54"/>
      <c r="I29" s="54"/>
      <c r="J29" s="54" t="s">
        <v>27</v>
      </c>
      <c r="K29" s="55">
        <f>+(K27*J27)+(K28*J28)</f>
        <v>114.50378569167475</v>
      </c>
      <c r="L29" s="16" t="s">
        <v>8</v>
      </c>
      <c r="M29" s="40"/>
      <c r="N29" s="26"/>
      <c r="U29" s="41"/>
      <c r="V29" s="41"/>
    </row>
    <row r="30" spans="1:22" ht="30" customHeight="1" x14ac:dyDescent="0.45">
      <c r="A30" s="38">
        <v>93410</v>
      </c>
      <c r="B30" s="994" t="s">
        <v>28</v>
      </c>
      <c r="C30" s="994"/>
      <c r="D30" s="994"/>
      <c r="E30" s="30">
        <v>12.99</v>
      </c>
      <c r="F30" s="38" t="s">
        <v>29</v>
      </c>
      <c r="G30" s="54">
        <v>0.33329999999999999</v>
      </c>
      <c r="H30" s="56" t="s">
        <v>30</v>
      </c>
      <c r="I30" s="1119">
        <f>+I25</f>
        <v>0.93771935922451721</v>
      </c>
      <c r="J30" s="1120"/>
      <c r="K30" s="55">
        <f>+E30*G30*I30</f>
        <v>4.059918792959615</v>
      </c>
      <c r="L30" s="16" t="s">
        <v>8</v>
      </c>
      <c r="M30" s="40"/>
      <c r="N30" s="26"/>
      <c r="U30" s="41"/>
      <c r="V30" s="41"/>
    </row>
    <row r="31" spans="1:22" ht="30" customHeight="1" x14ac:dyDescent="0.45">
      <c r="A31" s="38">
        <v>93410</v>
      </c>
      <c r="B31" s="994" t="s">
        <v>31</v>
      </c>
      <c r="C31" s="994"/>
      <c r="D31" s="994"/>
      <c r="E31" s="30">
        <v>20.86</v>
      </c>
      <c r="F31" s="38" t="s">
        <v>29</v>
      </c>
      <c r="G31" s="54">
        <v>0.33329999999999999</v>
      </c>
      <c r="H31" s="56" t="s">
        <v>30</v>
      </c>
      <c r="I31" s="1119">
        <f>+I25</f>
        <v>0.93771935922451721</v>
      </c>
      <c r="J31" s="1120"/>
      <c r="K31" s="55">
        <f>+E31*G31*I31</f>
        <v>6.519623250280028</v>
      </c>
      <c r="L31" s="16" t="s">
        <v>8</v>
      </c>
      <c r="M31" s="40"/>
      <c r="N31" s="26"/>
      <c r="U31" s="41"/>
      <c r="V31" s="41"/>
    </row>
    <row r="32" spans="1:22" ht="30" customHeight="1" x14ac:dyDescent="0.45">
      <c r="A32" s="38">
        <v>93210</v>
      </c>
      <c r="B32" s="994" t="s">
        <v>32</v>
      </c>
      <c r="C32" s="994"/>
      <c r="D32" s="994"/>
      <c r="E32" s="57">
        <v>5.84</v>
      </c>
      <c r="F32" s="38" t="s">
        <v>8</v>
      </c>
      <c r="G32" s="54"/>
      <c r="H32" s="56"/>
      <c r="I32" s="1119">
        <f>+I25</f>
        <v>0.93771935922451721</v>
      </c>
      <c r="J32" s="1120"/>
      <c r="K32" s="36">
        <f>+E32*I32</f>
        <v>5.47628105787118</v>
      </c>
      <c r="L32" s="16" t="s">
        <v>8</v>
      </c>
      <c r="M32" s="40"/>
      <c r="N32" s="26"/>
      <c r="U32" s="41"/>
      <c r="V32" s="41"/>
    </row>
    <row r="33" spans="1:22" ht="30" customHeight="1" x14ac:dyDescent="0.45">
      <c r="A33" s="29">
        <v>11110</v>
      </c>
      <c r="B33" s="994" t="s">
        <v>34</v>
      </c>
      <c r="C33" s="994"/>
      <c r="D33" s="994"/>
      <c r="E33" s="30">
        <v>8.31</v>
      </c>
      <c r="F33" s="38" t="s">
        <v>35</v>
      </c>
      <c r="G33" s="58">
        <f>9*0.06</f>
        <v>0.54</v>
      </c>
      <c r="H33" s="58" t="s">
        <v>36</v>
      </c>
      <c r="I33" s="1119">
        <f>+I25</f>
        <v>0.93771935922451721</v>
      </c>
      <c r="J33" s="1120"/>
      <c r="K33" s="39">
        <f>+E33*G33*I33</f>
        <v>4.2079218525840991</v>
      </c>
      <c r="L33" s="16" t="s">
        <v>8</v>
      </c>
      <c r="M33" s="40"/>
      <c r="N33" s="26"/>
      <c r="U33" s="41"/>
      <c r="V33" s="41"/>
    </row>
    <row r="34" spans="1:22" ht="30" customHeight="1" x14ac:dyDescent="0.45">
      <c r="A34" s="58"/>
      <c r="B34" s="61"/>
      <c r="C34" s="61"/>
      <c r="D34" s="61"/>
      <c r="E34" s="61"/>
      <c r="F34" s="38"/>
      <c r="G34" s="39"/>
      <c r="H34" s="39"/>
      <c r="I34" s="39"/>
      <c r="J34" s="62" t="s">
        <v>38</v>
      </c>
      <c r="K34" s="39">
        <f>+K29+K30+K31+K32+K33</f>
        <v>134.76753064536967</v>
      </c>
      <c r="L34" s="16" t="s">
        <v>8</v>
      </c>
      <c r="M34" s="25"/>
      <c r="N34" s="26"/>
      <c r="U34" s="41"/>
      <c r="V34" s="41"/>
    </row>
    <row r="35" spans="1:22" ht="30" customHeight="1" thickBot="1" x14ac:dyDescent="0.5">
      <c r="A35" s="1107" t="s">
        <v>45</v>
      </c>
      <c r="B35" s="1108"/>
      <c r="C35" s="1108"/>
      <c r="D35" s="1109"/>
      <c r="E35" s="73"/>
      <c r="F35" s="65"/>
      <c r="G35" s="66"/>
      <c r="H35" s="66"/>
      <c r="I35" s="66"/>
      <c r="J35" s="67" t="s">
        <v>39</v>
      </c>
      <c r="K35" s="66">
        <f>+K34</f>
        <v>134.76753064536967</v>
      </c>
      <c r="L35" s="68" t="s">
        <v>8</v>
      </c>
      <c r="M35" s="25"/>
      <c r="N35" s="26"/>
      <c r="U35" s="41"/>
      <c r="V35" s="41"/>
    </row>
    <row r="36" spans="1:22" ht="30" customHeight="1" thickBot="1" x14ac:dyDescent="0.5">
      <c r="A36" s="1245"/>
      <c r="B36" s="1246"/>
      <c r="C36" s="1246"/>
      <c r="D36" s="1246"/>
      <c r="E36" s="1246"/>
      <c r="F36" s="1246"/>
      <c r="G36" s="1246"/>
      <c r="H36" s="1246"/>
      <c r="I36" s="1246"/>
      <c r="J36" s="1246"/>
      <c r="K36" s="1246"/>
      <c r="L36" s="1247"/>
      <c r="M36" s="25"/>
      <c r="S36" s="41"/>
      <c r="T36" s="41"/>
    </row>
    <row r="37" spans="1:22" s="18" customFormat="1" ht="30" customHeight="1" x14ac:dyDescent="0.45">
      <c r="A37" s="9" t="s">
        <v>4</v>
      </c>
      <c r="B37" s="10">
        <v>1113</v>
      </c>
      <c r="C37" s="1298" t="s">
        <v>46</v>
      </c>
      <c r="D37" s="1299"/>
      <c r="E37" s="11" t="s">
        <v>6</v>
      </c>
      <c r="F37" s="12">
        <v>25895.860276816598</v>
      </c>
      <c r="G37" s="13" t="s">
        <v>7</v>
      </c>
      <c r="H37" s="14" t="s">
        <v>8</v>
      </c>
      <c r="I37" s="13" t="s">
        <v>9</v>
      </c>
      <c r="J37" s="1155" t="s">
        <v>10</v>
      </c>
      <c r="K37" s="1156"/>
      <c r="L37" s="1127"/>
      <c r="M37" s="17"/>
      <c r="O37" s="5"/>
      <c r="P37" s="2"/>
      <c r="Q37" s="2"/>
      <c r="R37" s="2"/>
      <c r="S37" s="2"/>
      <c r="T37" s="2"/>
      <c r="U37" s="2"/>
    </row>
    <row r="38" spans="1:22" ht="30" customHeight="1" x14ac:dyDescent="0.45">
      <c r="A38" s="19" t="s">
        <v>11</v>
      </c>
      <c r="B38" s="1005" t="s">
        <v>12</v>
      </c>
      <c r="C38" s="1005"/>
      <c r="D38" s="1005"/>
      <c r="E38" s="20" t="s">
        <v>13</v>
      </c>
      <c r="F38" s="20" t="s">
        <v>14</v>
      </c>
      <c r="G38" s="1068" t="s">
        <v>15</v>
      </c>
      <c r="H38" s="1069"/>
      <c r="I38" s="1068" t="s">
        <v>16</v>
      </c>
      <c r="J38" s="1069"/>
      <c r="K38" s="992" t="s">
        <v>17</v>
      </c>
      <c r="L38" s="993"/>
      <c r="M38" s="25"/>
      <c r="N38" s="26"/>
      <c r="O38" s="2"/>
      <c r="P38" s="27"/>
      <c r="Q38" s="26"/>
      <c r="R38" s="28"/>
    </row>
    <row r="39" spans="1:22" ht="30" customHeight="1" x14ac:dyDescent="0.45">
      <c r="A39" s="29">
        <v>11110</v>
      </c>
      <c r="B39" s="994" t="s">
        <v>18</v>
      </c>
      <c r="C39" s="994"/>
      <c r="D39" s="994"/>
      <c r="E39" s="30">
        <v>180.36</v>
      </c>
      <c r="F39" s="31" t="s">
        <v>8</v>
      </c>
      <c r="G39" s="32"/>
      <c r="H39" s="74"/>
      <c r="I39" s="1119">
        <f>+'[1]2023 MILCON Inflation Table'!F22</f>
        <v>0.93771935922451721</v>
      </c>
      <c r="J39" s="1120"/>
      <c r="K39" s="36">
        <f>+E39*I39</f>
        <v>169.12706362973393</v>
      </c>
      <c r="L39" s="16" t="s">
        <v>8</v>
      </c>
      <c r="M39" s="25"/>
      <c r="N39" s="5"/>
      <c r="O39" s="2"/>
      <c r="P39" s="27"/>
      <c r="Q39" s="26"/>
      <c r="R39" s="28"/>
    </row>
    <row r="40" spans="1:22" ht="30" customHeight="1" x14ac:dyDescent="0.45">
      <c r="A40" s="38">
        <v>93410</v>
      </c>
      <c r="B40" s="994" t="s">
        <v>28</v>
      </c>
      <c r="C40" s="994"/>
      <c r="D40" s="994"/>
      <c r="E40" s="30">
        <v>12.99</v>
      </c>
      <c r="F40" s="38" t="s">
        <v>29</v>
      </c>
      <c r="G40" s="54">
        <v>0.33329999999999999</v>
      </c>
      <c r="H40" s="56" t="s">
        <v>30</v>
      </c>
      <c r="I40" s="1119">
        <f>+I39</f>
        <v>0.93771935922451721</v>
      </c>
      <c r="J40" s="1120"/>
      <c r="K40" s="55">
        <f>+E40*G40*I40</f>
        <v>4.059918792959615</v>
      </c>
      <c r="L40" s="16" t="s">
        <v>8</v>
      </c>
      <c r="M40" s="40"/>
      <c r="N40" s="26"/>
      <c r="U40" s="41"/>
      <c r="V40" s="41"/>
    </row>
    <row r="41" spans="1:22" ht="30" customHeight="1" x14ac:dyDescent="0.45">
      <c r="A41" s="38">
        <v>93410</v>
      </c>
      <c r="B41" s="994" t="s">
        <v>31</v>
      </c>
      <c r="C41" s="994"/>
      <c r="D41" s="994"/>
      <c r="E41" s="30">
        <v>20.86</v>
      </c>
      <c r="F41" s="38" t="s">
        <v>29</v>
      </c>
      <c r="G41" s="54">
        <v>0.33329999999999999</v>
      </c>
      <c r="H41" s="56" t="s">
        <v>30</v>
      </c>
      <c r="I41" s="1119">
        <f>+I39</f>
        <v>0.93771935922451721</v>
      </c>
      <c r="J41" s="1120"/>
      <c r="K41" s="55">
        <f>+E41*G41*I41</f>
        <v>6.519623250280028</v>
      </c>
      <c r="L41" s="16" t="s">
        <v>8</v>
      </c>
      <c r="M41" s="40"/>
      <c r="N41" s="26"/>
      <c r="U41" s="41"/>
      <c r="V41" s="41"/>
    </row>
    <row r="42" spans="1:22" ht="30" customHeight="1" x14ac:dyDescent="0.45">
      <c r="A42" s="38">
        <v>93210</v>
      </c>
      <c r="B42" s="994" t="s">
        <v>32</v>
      </c>
      <c r="C42" s="994"/>
      <c r="D42" s="994"/>
      <c r="E42" s="57">
        <v>5.84</v>
      </c>
      <c r="F42" s="38" t="s">
        <v>8</v>
      </c>
      <c r="G42" s="54"/>
      <c r="H42" s="56"/>
      <c r="I42" s="1119">
        <f>+I40</f>
        <v>0.93771935922451721</v>
      </c>
      <c r="J42" s="1120"/>
      <c r="K42" s="36">
        <f>+E42*I42</f>
        <v>5.47628105787118</v>
      </c>
      <c r="L42" s="16" t="s">
        <v>8</v>
      </c>
      <c r="M42" s="40"/>
      <c r="N42" s="26"/>
      <c r="U42" s="41"/>
      <c r="V42" s="41"/>
    </row>
    <row r="43" spans="1:22" ht="30" customHeight="1" x14ac:dyDescent="0.45">
      <c r="A43" s="29">
        <v>11110</v>
      </c>
      <c r="B43" s="994" t="s">
        <v>33</v>
      </c>
      <c r="C43" s="994"/>
      <c r="D43" s="994"/>
      <c r="E43" s="30">
        <v>43.94</v>
      </c>
      <c r="F43" s="38" t="s">
        <v>8</v>
      </c>
      <c r="G43" s="58"/>
      <c r="H43" s="58"/>
      <c r="I43" s="1119">
        <f>+I39</f>
        <v>0.93771935922451721</v>
      </c>
      <c r="J43" s="1120"/>
      <c r="K43" s="36">
        <f>+E43*I43</f>
        <v>41.203388644325287</v>
      </c>
      <c r="L43" s="16" t="s">
        <v>8</v>
      </c>
      <c r="M43" s="40"/>
      <c r="N43" s="26"/>
      <c r="U43" s="41"/>
      <c r="V43" s="41"/>
    </row>
    <row r="44" spans="1:22" ht="30" customHeight="1" x14ac:dyDescent="0.45">
      <c r="A44" s="61"/>
      <c r="B44" s="61"/>
      <c r="C44" s="61"/>
      <c r="D44" s="61"/>
      <c r="E44" s="61"/>
      <c r="F44" s="38"/>
      <c r="G44" s="39"/>
      <c r="H44" s="39"/>
      <c r="I44" s="39"/>
      <c r="J44" s="62" t="s">
        <v>38</v>
      </c>
      <c r="K44" s="39">
        <f>SUM(K39:K43)</f>
        <v>226.38627537517004</v>
      </c>
      <c r="L44" s="16" t="s">
        <v>8</v>
      </c>
      <c r="M44" s="25"/>
      <c r="N44" s="26"/>
      <c r="U44" s="41"/>
      <c r="V44" s="41"/>
    </row>
    <row r="45" spans="1:22" ht="30" customHeight="1" thickBot="1" x14ac:dyDescent="0.5">
      <c r="A45" s="1104" t="s">
        <v>47</v>
      </c>
      <c r="B45" s="1105"/>
      <c r="C45" s="1105"/>
      <c r="D45" s="1106"/>
      <c r="E45" s="64"/>
      <c r="F45" s="65"/>
      <c r="G45" s="66"/>
      <c r="H45" s="66"/>
      <c r="I45" s="66"/>
      <c r="J45" s="67" t="s">
        <v>39</v>
      </c>
      <c r="K45" s="66">
        <f>+K44</f>
        <v>226.38627537517004</v>
      </c>
      <c r="L45" s="68" t="s">
        <v>8</v>
      </c>
      <c r="M45" s="25"/>
      <c r="N45" s="26"/>
      <c r="U45" s="41"/>
      <c r="V45" s="41"/>
    </row>
    <row r="46" spans="1:22" ht="30" customHeight="1" thickBot="1" x14ac:dyDescent="0.5">
      <c r="A46" s="1245"/>
      <c r="B46" s="1246"/>
      <c r="C46" s="1246"/>
      <c r="D46" s="1246"/>
      <c r="E46" s="1246"/>
      <c r="F46" s="1246"/>
      <c r="G46" s="1246"/>
      <c r="H46" s="1246"/>
      <c r="I46" s="1246"/>
      <c r="J46" s="1246"/>
      <c r="K46" s="1246"/>
      <c r="L46" s="1247"/>
      <c r="M46" s="25"/>
      <c r="S46" s="41"/>
      <c r="T46" s="41"/>
    </row>
    <row r="47" spans="1:22" s="18" customFormat="1" ht="30" customHeight="1" x14ac:dyDescent="0.45">
      <c r="A47" s="9" t="s">
        <v>4</v>
      </c>
      <c r="B47" s="76">
        <v>1114</v>
      </c>
      <c r="C47" s="1073" t="s">
        <v>48</v>
      </c>
      <c r="D47" s="1074"/>
      <c r="E47" s="11" t="s">
        <v>6</v>
      </c>
      <c r="F47" s="12">
        <v>25895.860276816598</v>
      </c>
      <c r="G47" s="13" t="s">
        <v>7</v>
      </c>
      <c r="H47" s="14" t="s">
        <v>8</v>
      </c>
      <c r="I47" s="13" t="s">
        <v>9</v>
      </c>
      <c r="J47" s="1155" t="s">
        <v>10</v>
      </c>
      <c r="K47" s="1156"/>
      <c r="L47" s="1127"/>
      <c r="M47" s="17"/>
      <c r="O47" s="5"/>
      <c r="P47" s="2"/>
      <c r="Q47" s="2"/>
      <c r="R47" s="2"/>
      <c r="S47" s="2"/>
      <c r="T47" s="2"/>
      <c r="U47" s="2"/>
    </row>
    <row r="48" spans="1:22" ht="30" customHeight="1" x14ac:dyDescent="0.45">
      <c r="A48" s="19" t="s">
        <v>11</v>
      </c>
      <c r="B48" s="1005" t="s">
        <v>12</v>
      </c>
      <c r="C48" s="1005"/>
      <c r="D48" s="1005"/>
      <c r="E48" s="20" t="s">
        <v>13</v>
      </c>
      <c r="F48" s="20" t="s">
        <v>14</v>
      </c>
      <c r="G48" s="1068" t="s">
        <v>15</v>
      </c>
      <c r="H48" s="1069"/>
      <c r="I48" s="1068" t="s">
        <v>16</v>
      </c>
      <c r="J48" s="1069"/>
      <c r="K48" s="992" t="s">
        <v>17</v>
      </c>
      <c r="L48" s="993"/>
      <c r="M48" s="25"/>
      <c r="N48" s="26"/>
      <c r="O48" s="2"/>
      <c r="P48" s="27"/>
      <c r="Q48" s="26"/>
      <c r="R48" s="28"/>
    </row>
    <row r="49" spans="1:22" ht="30" customHeight="1" x14ac:dyDescent="0.45">
      <c r="A49" s="38">
        <v>93410</v>
      </c>
      <c r="B49" s="994" t="s">
        <v>28</v>
      </c>
      <c r="C49" s="994"/>
      <c r="D49" s="994"/>
      <c r="E49" s="30">
        <v>12.99</v>
      </c>
      <c r="F49" s="38" t="s">
        <v>29</v>
      </c>
      <c r="G49" s="54">
        <v>0.33329999999999999</v>
      </c>
      <c r="H49" s="56" t="s">
        <v>30</v>
      </c>
      <c r="I49" s="1119">
        <f>+'[1]2023 MILCON Inflation Table'!F22</f>
        <v>0.93771935922451721</v>
      </c>
      <c r="J49" s="1120"/>
      <c r="K49" s="55">
        <f>+E49*G49*I49</f>
        <v>4.059918792959615</v>
      </c>
      <c r="L49" s="16" t="s">
        <v>8</v>
      </c>
      <c r="M49" s="40"/>
      <c r="N49" s="26"/>
      <c r="U49" s="41"/>
      <c r="V49" s="41"/>
    </row>
    <row r="50" spans="1:22" ht="30" customHeight="1" x14ac:dyDescent="0.45">
      <c r="A50" s="38">
        <v>93410</v>
      </c>
      <c r="B50" s="994" t="s">
        <v>31</v>
      </c>
      <c r="C50" s="994"/>
      <c r="D50" s="994"/>
      <c r="E50" s="30">
        <v>20.86</v>
      </c>
      <c r="F50" s="38" t="s">
        <v>29</v>
      </c>
      <c r="G50" s="54">
        <v>0.33329999999999999</v>
      </c>
      <c r="H50" s="56" t="s">
        <v>30</v>
      </c>
      <c r="I50" s="1119">
        <f>+I49</f>
        <v>0.93771935922451721</v>
      </c>
      <c r="J50" s="1120"/>
      <c r="K50" s="55">
        <f>+E50*G50*I50</f>
        <v>6.519623250280028</v>
      </c>
      <c r="L50" s="16" t="s">
        <v>8</v>
      </c>
      <c r="M50" s="40"/>
      <c r="N50" s="26"/>
      <c r="U50" s="41"/>
      <c r="V50" s="41"/>
    </row>
    <row r="51" spans="1:22" ht="30" customHeight="1" x14ac:dyDescent="0.45">
      <c r="A51" s="38">
        <v>93220</v>
      </c>
      <c r="B51" s="994" t="s">
        <v>49</v>
      </c>
      <c r="C51" s="994"/>
      <c r="D51" s="994"/>
      <c r="E51" s="30">
        <v>20.2</v>
      </c>
      <c r="F51" s="38" t="s">
        <v>8</v>
      </c>
      <c r="G51" s="77"/>
      <c r="H51" s="56"/>
      <c r="I51" s="1119">
        <f>+I50</f>
        <v>0.93771935922451721</v>
      </c>
      <c r="J51" s="1120"/>
      <c r="K51" s="55">
        <f>+E51*I51</f>
        <v>18.941931056335246</v>
      </c>
      <c r="L51" s="16" t="s">
        <v>8</v>
      </c>
      <c r="M51" s="40"/>
      <c r="N51" s="26"/>
      <c r="U51" s="41"/>
      <c r="V51" s="41"/>
    </row>
    <row r="52" spans="1:22" ht="30" customHeight="1" x14ac:dyDescent="0.45">
      <c r="A52" s="38">
        <v>93210</v>
      </c>
      <c r="B52" s="994" t="s">
        <v>32</v>
      </c>
      <c r="C52" s="994"/>
      <c r="D52" s="994"/>
      <c r="E52" s="57">
        <v>5.84</v>
      </c>
      <c r="F52" s="38" t="s">
        <v>8</v>
      </c>
      <c r="G52" s="54"/>
      <c r="H52" s="56"/>
      <c r="I52" s="1119">
        <f>+I49</f>
        <v>0.93771935922451721</v>
      </c>
      <c r="J52" s="1120"/>
      <c r="K52" s="36">
        <f>+E52*I52</f>
        <v>5.47628105787118</v>
      </c>
      <c r="L52" s="16" t="s">
        <v>8</v>
      </c>
      <c r="M52" s="40"/>
      <c r="N52" s="26"/>
      <c r="U52" s="41"/>
      <c r="V52" s="41"/>
    </row>
    <row r="53" spans="1:22" ht="30" customHeight="1" x14ac:dyDescent="0.45">
      <c r="A53" s="38">
        <v>85110</v>
      </c>
      <c r="B53" s="994" t="s">
        <v>50</v>
      </c>
      <c r="C53" s="994"/>
      <c r="D53" s="994"/>
      <c r="E53" s="57">
        <v>5.45</v>
      </c>
      <c r="F53" s="38" t="s">
        <v>8</v>
      </c>
      <c r="G53" s="54">
        <v>1.5</v>
      </c>
      <c r="H53" s="78" t="s">
        <v>51</v>
      </c>
      <c r="I53" s="1119">
        <f>+I50</f>
        <v>0.93771935922451721</v>
      </c>
      <c r="J53" s="1120"/>
      <c r="K53" s="36">
        <f>+E53*G53*I53</f>
        <v>7.6658557616604286</v>
      </c>
      <c r="L53" s="16" t="s">
        <v>8</v>
      </c>
      <c r="M53" s="40"/>
      <c r="N53" s="26"/>
      <c r="U53" s="41"/>
      <c r="V53" s="41"/>
    </row>
    <row r="54" spans="1:22" ht="30" customHeight="1" x14ac:dyDescent="0.45">
      <c r="A54" s="61"/>
      <c r="B54" s="61"/>
      <c r="C54" s="61"/>
      <c r="D54" s="61"/>
      <c r="E54" s="61"/>
      <c r="F54" s="38"/>
      <c r="G54" s="39"/>
      <c r="H54" s="39"/>
      <c r="I54" s="39"/>
      <c r="J54" s="62" t="s">
        <v>38</v>
      </c>
      <c r="K54" s="39">
        <f>SUM(K49:K53)</f>
        <v>42.663609919106499</v>
      </c>
      <c r="L54" s="16" t="s">
        <v>8</v>
      </c>
      <c r="M54" s="25"/>
      <c r="N54" s="26"/>
      <c r="U54" s="41"/>
      <c r="V54" s="41"/>
    </row>
    <row r="55" spans="1:22" ht="30" customHeight="1" thickBot="1" x14ac:dyDescent="0.5">
      <c r="A55" s="1104" t="s">
        <v>47</v>
      </c>
      <c r="B55" s="1105"/>
      <c r="C55" s="1105"/>
      <c r="D55" s="1106"/>
      <c r="E55" s="64"/>
      <c r="F55" s="65"/>
      <c r="G55" s="66"/>
      <c r="H55" s="66"/>
      <c r="I55" s="66"/>
      <c r="J55" s="67" t="s">
        <v>39</v>
      </c>
      <c r="K55" s="66">
        <f>+K54</f>
        <v>42.663609919106499</v>
      </c>
      <c r="L55" s="68" t="s">
        <v>8</v>
      </c>
      <c r="M55" s="25"/>
      <c r="N55" s="26"/>
      <c r="U55" s="41"/>
      <c r="V55" s="41"/>
    </row>
    <row r="56" spans="1:22" ht="30" customHeight="1" thickBot="1" x14ac:dyDescent="0.5">
      <c r="A56" s="1245"/>
      <c r="B56" s="1246"/>
      <c r="C56" s="1246"/>
      <c r="D56" s="1246"/>
      <c r="E56" s="1246"/>
      <c r="F56" s="1246"/>
      <c r="G56" s="1246"/>
      <c r="H56" s="1246"/>
      <c r="I56" s="1246"/>
      <c r="J56" s="1246"/>
      <c r="K56" s="1246"/>
      <c r="L56" s="1247"/>
      <c r="M56" s="25"/>
      <c r="S56" s="41"/>
      <c r="T56" s="41"/>
    </row>
    <row r="57" spans="1:22" s="18" customFormat="1" ht="30" customHeight="1" x14ac:dyDescent="0.45">
      <c r="A57" s="9" t="s">
        <v>4</v>
      </c>
      <c r="B57" s="76">
        <v>1115</v>
      </c>
      <c r="C57" s="1132" t="s">
        <v>52</v>
      </c>
      <c r="D57" s="1133"/>
      <c r="E57" s="11" t="s">
        <v>6</v>
      </c>
      <c r="F57" s="12">
        <v>10989.490250000001</v>
      </c>
      <c r="G57" s="13" t="s">
        <v>7</v>
      </c>
      <c r="H57" s="14" t="s">
        <v>8</v>
      </c>
      <c r="I57" s="13" t="s">
        <v>9</v>
      </c>
      <c r="J57" s="1155" t="s">
        <v>10</v>
      </c>
      <c r="K57" s="1156"/>
      <c r="L57" s="1127"/>
      <c r="M57" s="17"/>
      <c r="O57" s="5"/>
      <c r="P57" s="2"/>
      <c r="Q57" s="2"/>
      <c r="R57" s="2"/>
      <c r="S57" s="2"/>
      <c r="T57" s="2"/>
      <c r="U57" s="2"/>
    </row>
    <row r="58" spans="1:22" ht="30" customHeight="1" x14ac:dyDescent="0.45">
      <c r="A58" s="19" t="s">
        <v>11</v>
      </c>
      <c r="B58" s="1005" t="s">
        <v>12</v>
      </c>
      <c r="C58" s="1005"/>
      <c r="D58" s="1005"/>
      <c r="E58" s="20" t="s">
        <v>13</v>
      </c>
      <c r="F58" s="20" t="s">
        <v>14</v>
      </c>
      <c r="G58" s="1068" t="s">
        <v>15</v>
      </c>
      <c r="H58" s="1069"/>
      <c r="I58" s="1068" t="s">
        <v>16</v>
      </c>
      <c r="J58" s="1069"/>
      <c r="K58" s="992" t="s">
        <v>17</v>
      </c>
      <c r="L58" s="993"/>
      <c r="M58" s="25"/>
      <c r="N58" s="26"/>
      <c r="O58" s="2"/>
      <c r="P58" s="27"/>
      <c r="Q58" s="26"/>
      <c r="R58" s="28"/>
    </row>
    <row r="59" spans="1:22" ht="30" customHeight="1" x14ac:dyDescent="0.45">
      <c r="A59" s="29">
        <v>11110</v>
      </c>
      <c r="B59" s="994" t="s">
        <v>41</v>
      </c>
      <c r="C59" s="994"/>
      <c r="D59" s="994"/>
      <c r="E59" s="30">
        <v>36.590000000000003</v>
      </c>
      <c r="F59" s="38" t="s">
        <v>8</v>
      </c>
      <c r="G59" s="72">
        <v>2</v>
      </c>
      <c r="H59" s="33" t="s">
        <v>53</v>
      </c>
      <c r="I59" s="1119">
        <f>+'[1]2023 MILCON Inflation Table'!F22</f>
        <v>0.93771935922451721</v>
      </c>
      <c r="J59" s="1120"/>
      <c r="K59" s="36">
        <f>+E59*G59*I59</f>
        <v>68.622302708050171</v>
      </c>
      <c r="L59" s="16" t="s">
        <v>8</v>
      </c>
      <c r="M59" s="40"/>
      <c r="N59" s="26"/>
      <c r="U59" s="41"/>
      <c r="V59" s="41"/>
    </row>
    <row r="60" spans="1:22" ht="30" customHeight="1" x14ac:dyDescent="0.45">
      <c r="A60" s="29">
        <v>85110</v>
      </c>
      <c r="B60" s="994" t="s">
        <v>54</v>
      </c>
      <c r="C60" s="994"/>
      <c r="D60" s="994"/>
      <c r="E60" s="30">
        <v>25.98</v>
      </c>
      <c r="F60" s="38" t="s">
        <v>8</v>
      </c>
      <c r="G60" s="72"/>
      <c r="H60" s="33"/>
      <c r="I60" s="1119">
        <f>+I59</f>
        <v>0.93771935922451721</v>
      </c>
      <c r="J60" s="1120"/>
      <c r="K60" s="36">
        <f>+E60*I60</f>
        <v>24.361948952652959</v>
      </c>
      <c r="L60" s="16" t="s">
        <v>8</v>
      </c>
      <c r="M60" s="40"/>
      <c r="N60" s="26"/>
      <c r="U60" s="41"/>
      <c r="V60" s="41"/>
    </row>
    <row r="61" spans="1:22" ht="30" customHeight="1" x14ac:dyDescent="0.45">
      <c r="A61" s="38">
        <v>93410</v>
      </c>
      <c r="B61" s="994" t="s">
        <v>28</v>
      </c>
      <c r="C61" s="994"/>
      <c r="D61" s="994"/>
      <c r="E61" s="30">
        <v>12.99</v>
      </c>
      <c r="F61" s="38" t="s">
        <v>29</v>
      </c>
      <c r="G61" s="54">
        <v>0.33329999999999999</v>
      </c>
      <c r="H61" s="56" t="s">
        <v>30</v>
      </c>
      <c r="I61" s="1119">
        <f>+I59</f>
        <v>0.93771935922451721</v>
      </c>
      <c r="J61" s="1120"/>
      <c r="K61" s="55">
        <f>+E61*G61*I61</f>
        <v>4.059918792959615</v>
      </c>
      <c r="L61" s="16" t="s">
        <v>8</v>
      </c>
      <c r="M61" s="40"/>
      <c r="N61" s="26"/>
      <c r="U61" s="41"/>
      <c r="V61" s="41"/>
    </row>
    <row r="62" spans="1:22" ht="30" customHeight="1" x14ac:dyDescent="0.45">
      <c r="A62" s="38">
        <v>93410</v>
      </c>
      <c r="B62" s="994" t="s">
        <v>31</v>
      </c>
      <c r="C62" s="994"/>
      <c r="D62" s="994"/>
      <c r="E62" s="30">
        <v>20.86</v>
      </c>
      <c r="F62" s="38" t="s">
        <v>29</v>
      </c>
      <c r="G62" s="54">
        <v>0.33329999999999999</v>
      </c>
      <c r="H62" s="56" t="s">
        <v>30</v>
      </c>
      <c r="I62" s="1119">
        <f>+I59</f>
        <v>0.93771935922451721</v>
      </c>
      <c r="J62" s="1120"/>
      <c r="K62" s="55">
        <f>+E62*G62*I62</f>
        <v>6.519623250280028</v>
      </c>
      <c r="L62" s="16" t="s">
        <v>8</v>
      </c>
      <c r="M62" s="40"/>
      <c r="N62" s="26"/>
      <c r="U62" s="41"/>
      <c r="V62" s="41"/>
    </row>
    <row r="63" spans="1:22" ht="30" customHeight="1" x14ac:dyDescent="0.45">
      <c r="A63" s="38">
        <v>93210</v>
      </c>
      <c r="B63" s="994" t="s">
        <v>32</v>
      </c>
      <c r="C63" s="994"/>
      <c r="D63" s="994"/>
      <c r="E63" s="57">
        <v>5.84</v>
      </c>
      <c r="F63" s="38" t="s">
        <v>8</v>
      </c>
      <c r="G63" s="54"/>
      <c r="H63" s="56"/>
      <c r="I63" s="1119">
        <f>+I59</f>
        <v>0.93771935922451721</v>
      </c>
      <c r="J63" s="1120"/>
      <c r="K63" s="36">
        <f>+E63*I63</f>
        <v>5.47628105787118</v>
      </c>
      <c r="L63" s="16" t="s">
        <v>8</v>
      </c>
      <c r="M63" s="40"/>
      <c r="N63" s="26"/>
      <c r="U63" s="41"/>
      <c r="V63" s="41"/>
    </row>
    <row r="64" spans="1:22" ht="30" customHeight="1" x14ac:dyDescent="0.45">
      <c r="A64" s="29">
        <v>11110</v>
      </c>
      <c r="B64" s="994" t="s">
        <v>34</v>
      </c>
      <c r="C64" s="994"/>
      <c r="D64" s="994"/>
      <c r="E64" s="30">
        <v>8.31</v>
      </c>
      <c r="F64" s="38" t="s">
        <v>35</v>
      </c>
      <c r="G64" s="58">
        <f>9*0.06</f>
        <v>0.54</v>
      </c>
      <c r="H64" s="58" t="s">
        <v>36</v>
      </c>
      <c r="I64" s="1119">
        <f>+I59</f>
        <v>0.93771935922451721</v>
      </c>
      <c r="J64" s="1120"/>
      <c r="K64" s="39">
        <f>+E64*G64*I64</f>
        <v>4.2079218525840991</v>
      </c>
      <c r="L64" s="16" t="s">
        <v>8</v>
      </c>
      <c r="M64" s="40"/>
      <c r="N64" s="26"/>
      <c r="U64" s="41"/>
      <c r="V64" s="41"/>
    </row>
    <row r="65" spans="1:22" ht="30" customHeight="1" x14ac:dyDescent="0.45">
      <c r="A65" s="58"/>
      <c r="B65" s="61"/>
      <c r="C65" s="61"/>
      <c r="D65" s="61"/>
      <c r="E65" s="61"/>
      <c r="F65" s="38"/>
      <c r="G65" s="39"/>
      <c r="H65" s="39"/>
      <c r="I65" s="39"/>
      <c r="J65" s="62" t="s">
        <v>38</v>
      </c>
      <c r="K65" s="39">
        <f>SUM(K59:K64)</f>
        <v>113.24799661439806</v>
      </c>
      <c r="L65" s="16" t="s">
        <v>8</v>
      </c>
      <c r="M65" s="25"/>
      <c r="N65" s="26"/>
      <c r="U65" s="41"/>
      <c r="V65" s="41"/>
    </row>
    <row r="66" spans="1:22" ht="30" customHeight="1" thickBot="1" x14ac:dyDescent="0.5">
      <c r="A66" s="1107"/>
      <c r="B66" s="1108"/>
      <c r="C66" s="1108"/>
      <c r="D66" s="1109"/>
      <c r="E66" s="73"/>
      <c r="F66" s="65"/>
      <c r="G66" s="66"/>
      <c r="H66" s="66"/>
      <c r="I66" s="66"/>
      <c r="J66" s="67" t="s">
        <v>39</v>
      </c>
      <c r="K66" s="66">
        <f>+K65</f>
        <v>113.24799661439806</v>
      </c>
      <c r="L66" s="68" t="s">
        <v>8</v>
      </c>
      <c r="M66" s="25"/>
      <c r="N66" s="26"/>
      <c r="U66" s="41"/>
      <c r="V66" s="41"/>
    </row>
    <row r="67" spans="1:22" ht="30" customHeight="1" thickBot="1" x14ac:dyDescent="0.5">
      <c r="A67" s="1245"/>
      <c r="B67" s="1246"/>
      <c r="C67" s="1246"/>
      <c r="D67" s="1246"/>
      <c r="E67" s="1246"/>
      <c r="F67" s="1246"/>
      <c r="G67" s="1246"/>
      <c r="H67" s="1246"/>
      <c r="I67" s="1246"/>
      <c r="J67" s="1246"/>
      <c r="K67" s="1246"/>
      <c r="L67" s="1247"/>
      <c r="M67" s="25"/>
      <c r="S67" s="41"/>
      <c r="T67" s="41"/>
    </row>
    <row r="68" spans="1:22" s="18" customFormat="1" ht="30" customHeight="1" x14ac:dyDescent="0.45">
      <c r="A68" s="9" t="s">
        <v>4</v>
      </c>
      <c r="B68" s="76">
        <v>1121</v>
      </c>
      <c r="C68" s="1073" t="s">
        <v>55</v>
      </c>
      <c r="D68" s="1074"/>
      <c r="E68" s="11" t="s">
        <v>6</v>
      </c>
      <c r="F68" s="12">
        <v>30718.355115694099</v>
      </c>
      <c r="G68" s="13" t="s">
        <v>7</v>
      </c>
      <c r="H68" s="14" t="s">
        <v>8</v>
      </c>
      <c r="I68" s="13" t="s">
        <v>9</v>
      </c>
      <c r="J68" s="1155" t="s">
        <v>10</v>
      </c>
      <c r="K68" s="1156"/>
      <c r="L68" s="1127"/>
      <c r="M68" s="17"/>
      <c r="O68" s="5"/>
      <c r="P68" s="2"/>
      <c r="Q68" s="2"/>
      <c r="R68" s="2"/>
      <c r="S68" s="2"/>
      <c r="T68" s="2"/>
      <c r="U68" s="2"/>
    </row>
    <row r="69" spans="1:22" ht="30" customHeight="1" x14ac:dyDescent="0.45">
      <c r="A69" s="19" t="s">
        <v>11</v>
      </c>
      <c r="B69" s="1005" t="s">
        <v>12</v>
      </c>
      <c r="C69" s="1005"/>
      <c r="D69" s="1005"/>
      <c r="E69" s="20" t="s">
        <v>13</v>
      </c>
      <c r="F69" s="20" t="s">
        <v>14</v>
      </c>
      <c r="G69" s="1068" t="s">
        <v>15</v>
      </c>
      <c r="H69" s="1069"/>
      <c r="I69" s="1068" t="s">
        <v>16</v>
      </c>
      <c r="J69" s="1069"/>
      <c r="K69" s="992" t="s">
        <v>17</v>
      </c>
      <c r="L69" s="993"/>
      <c r="M69" s="25"/>
      <c r="N69" s="26"/>
      <c r="O69" s="2"/>
      <c r="P69" s="27"/>
      <c r="Q69" s="26"/>
      <c r="R69" s="28"/>
    </row>
    <row r="70" spans="1:22" ht="30" customHeight="1" x14ac:dyDescent="0.45">
      <c r="A70" s="29">
        <v>11110</v>
      </c>
      <c r="B70" s="994" t="s">
        <v>20</v>
      </c>
      <c r="C70" s="994"/>
      <c r="D70" s="994"/>
      <c r="E70" s="30">
        <v>137.56</v>
      </c>
      <c r="F70" s="31" t="s">
        <v>8</v>
      </c>
      <c r="G70" s="32"/>
      <c r="H70" s="33"/>
      <c r="I70" s="1119">
        <f>+'[1]2023 MILCON Inflation Table'!F22</f>
        <v>0.93771935922451721</v>
      </c>
      <c r="J70" s="1120"/>
      <c r="K70" s="36">
        <f>+E70*I70</f>
        <v>128.9926750549246</v>
      </c>
      <c r="L70" s="16" t="s">
        <v>8</v>
      </c>
      <c r="M70" s="37"/>
    </row>
    <row r="71" spans="1:22" ht="30" customHeight="1" x14ac:dyDescent="0.45">
      <c r="A71" s="29">
        <v>11110</v>
      </c>
      <c r="B71" s="994" t="s">
        <v>22</v>
      </c>
      <c r="C71" s="994"/>
      <c r="D71" s="994"/>
      <c r="E71" s="30">
        <v>119.89</v>
      </c>
      <c r="F71" s="38" t="s">
        <v>8</v>
      </c>
      <c r="G71" s="39"/>
      <c r="H71" s="39"/>
      <c r="I71" s="1119">
        <f>+I70</f>
        <v>0.93771935922451721</v>
      </c>
      <c r="J71" s="1120"/>
      <c r="K71" s="36">
        <f>+E71*I71</f>
        <v>112.42317397742737</v>
      </c>
      <c r="L71" s="16" t="s">
        <v>8</v>
      </c>
      <c r="M71" s="40"/>
      <c r="N71" s="26"/>
      <c r="U71" s="41"/>
      <c r="V71" s="41"/>
    </row>
    <row r="72" spans="1:22" ht="30" customHeight="1" x14ac:dyDescent="0.45">
      <c r="A72" s="38"/>
      <c r="E72" s="53"/>
      <c r="F72" s="38"/>
      <c r="G72" s="54"/>
      <c r="H72" s="54"/>
      <c r="I72" s="54"/>
      <c r="J72" s="54" t="s">
        <v>56</v>
      </c>
      <c r="K72" s="55">
        <f>AVERAGE(K70:K71)</f>
        <v>120.70792451617598</v>
      </c>
      <c r="L72" s="16" t="s">
        <v>8</v>
      </c>
      <c r="M72" s="40"/>
      <c r="N72" s="26"/>
      <c r="U72" s="41"/>
      <c r="V72" s="41"/>
    </row>
    <row r="73" spans="1:22" ht="30" customHeight="1" x14ac:dyDescent="0.45">
      <c r="A73" s="38">
        <v>93410</v>
      </c>
      <c r="B73" s="994" t="s">
        <v>28</v>
      </c>
      <c r="C73" s="994"/>
      <c r="D73" s="994"/>
      <c r="E73" s="30">
        <v>12.99</v>
      </c>
      <c r="F73" s="38" t="s">
        <v>29</v>
      </c>
      <c r="G73" s="54">
        <v>0.33329999999999999</v>
      </c>
      <c r="H73" s="56" t="s">
        <v>30</v>
      </c>
      <c r="I73" s="1119">
        <f>+I70</f>
        <v>0.93771935922451721</v>
      </c>
      <c r="J73" s="1120"/>
      <c r="K73" s="55">
        <f>+E73*G73*I73</f>
        <v>4.059918792959615</v>
      </c>
      <c r="L73" s="16" t="s">
        <v>8</v>
      </c>
      <c r="M73" s="40"/>
      <c r="N73" s="26"/>
      <c r="U73" s="41"/>
      <c r="V73" s="41"/>
    </row>
    <row r="74" spans="1:22" ht="30" customHeight="1" x14ac:dyDescent="0.45">
      <c r="A74" s="38">
        <v>93410</v>
      </c>
      <c r="B74" s="994" t="s">
        <v>31</v>
      </c>
      <c r="C74" s="994"/>
      <c r="D74" s="994"/>
      <c r="E74" s="30">
        <v>20.86</v>
      </c>
      <c r="F74" s="38" t="s">
        <v>29</v>
      </c>
      <c r="G74" s="54">
        <v>0.33329999999999999</v>
      </c>
      <c r="H74" s="56" t="s">
        <v>30</v>
      </c>
      <c r="I74" s="1119">
        <f>+I70</f>
        <v>0.93771935922451721</v>
      </c>
      <c r="J74" s="1120"/>
      <c r="K74" s="55">
        <f>+E74*G74*I74</f>
        <v>6.519623250280028</v>
      </c>
      <c r="L74" s="16" t="s">
        <v>8</v>
      </c>
      <c r="M74" s="40"/>
      <c r="N74" s="26"/>
      <c r="U74" s="41"/>
      <c r="V74" s="41"/>
    </row>
    <row r="75" spans="1:22" ht="30" customHeight="1" x14ac:dyDescent="0.45">
      <c r="A75" s="38">
        <v>93210</v>
      </c>
      <c r="B75" s="994" t="s">
        <v>32</v>
      </c>
      <c r="C75" s="994"/>
      <c r="D75" s="994"/>
      <c r="E75" s="57">
        <v>5.84</v>
      </c>
      <c r="F75" s="38" t="s">
        <v>8</v>
      </c>
      <c r="G75" s="54"/>
      <c r="H75" s="56"/>
      <c r="I75" s="1119">
        <f>+I73</f>
        <v>0.93771935922451721</v>
      </c>
      <c r="J75" s="1120"/>
      <c r="K75" s="36">
        <f>+E75*I75</f>
        <v>5.47628105787118</v>
      </c>
      <c r="L75" s="16" t="s">
        <v>8</v>
      </c>
      <c r="M75" s="40"/>
      <c r="N75" s="26"/>
      <c r="U75" s="41"/>
      <c r="V75" s="41"/>
    </row>
    <row r="76" spans="1:22" ht="30" customHeight="1" x14ac:dyDescent="0.45">
      <c r="A76" s="29">
        <v>11110</v>
      </c>
      <c r="B76" s="994" t="s">
        <v>34</v>
      </c>
      <c r="C76" s="994"/>
      <c r="D76" s="994"/>
      <c r="E76" s="30">
        <v>8.31</v>
      </c>
      <c r="F76" s="38" t="s">
        <v>35</v>
      </c>
      <c r="G76" s="58">
        <f>9*0.06</f>
        <v>0.54</v>
      </c>
      <c r="H76" s="79" t="s">
        <v>36</v>
      </c>
      <c r="I76" s="1119">
        <f>+I70</f>
        <v>0.93771935922451721</v>
      </c>
      <c r="J76" s="1120"/>
      <c r="K76" s="39">
        <f>+E76*G76*I76</f>
        <v>4.2079218525840991</v>
      </c>
      <c r="L76" s="16" t="s">
        <v>8</v>
      </c>
      <c r="M76" s="40"/>
      <c r="N76" s="26"/>
      <c r="U76" s="41"/>
      <c r="V76" s="41"/>
    </row>
    <row r="77" spans="1:22" ht="30" customHeight="1" x14ac:dyDescent="0.45">
      <c r="A77" s="1104"/>
      <c r="B77" s="1105"/>
      <c r="C77" s="1105"/>
      <c r="D77" s="1105"/>
      <c r="E77" s="61"/>
      <c r="F77" s="38"/>
      <c r="G77" s="39"/>
      <c r="H77" s="39"/>
      <c r="I77" s="39"/>
      <c r="J77" s="62" t="s">
        <v>38</v>
      </c>
      <c r="K77" s="39">
        <f>+K76+K75+K74+K73+K72</f>
        <v>140.9716694698709</v>
      </c>
      <c r="L77" s="16" t="s">
        <v>8</v>
      </c>
      <c r="M77" s="25"/>
      <c r="N77" s="26"/>
      <c r="U77" s="41"/>
      <c r="V77" s="41"/>
    </row>
    <row r="78" spans="1:22" ht="30" customHeight="1" thickBot="1" x14ac:dyDescent="0.5">
      <c r="A78" s="1166"/>
      <c r="B78" s="1167"/>
      <c r="C78" s="1167"/>
      <c r="D78" s="1167"/>
      <c r="E78" s="64"/>
      <c r="F78" s="65"/>
      <c r="G78" s="66"/>
      <c r="H78" s="66"/>
      <c r="I78" s="66"/>
      <c r="J78" s="67" t="s">
        <v>39</v>
      </c>
      <c r="K78" s="66">
        <f>+K77</f>
        <v>140.9716694698709</v>
      </c>
      <c r="L78" s="68" t="s">
        <v>8</v>
      </c>
      <c r="M78" s="25"/>
      <c r="N78" s="26"/>
      <c r="U78" s="41"/>
      <c r="V78" s="41"/>
    </row>
    <row r="79" spans="1:22" ht="30" customHeight="1" thickBot="1" x14ac:dyDescent="0.5">
      <c r="A79" s="1245"/>
      <c r="B79" s="1246"/>
      <c r="C79" s="1246"/>
      <c r="D79" s="1246"/>
      <c r="E79" s="1246"/>
      <c r="F79" s="1246"/>
      <c r="G79" s="1246"/>
      <c r="H79" s="1246"/>
      <c r="I79" s="1246"/>
      <c r="J79" s="1246"/>
      <c r="K79" s="1246"/>
      <c r="L79" s="1247"/>
      <c r="M79" s="25"/>
      <c r="S79" s="41"/>
      <c r="T79" s="41"/>
    </row>
    <row r="80" spans="1:22" ht="30" customHeight="1" x14ac:dyDescent="0.45">
      <c r="A80" s="80" t="s">
        <v>4</v>
      </c>
      <c r="B80" s="80">
        <v>1122</v>
      </c>
      <c r="C80" s="1031" t="s">
        <v>57</v>
      </c>
      <c r="D80" s="1031"/>
      <c r="E80" s="81" t="s">
        <v>7</v>
      </c>
      <c r="F80" s="82" t="s">
        <v>8</v>
      </c>
      <c r="G80" s="11" t="s">
        <v>6</v>
      </c>
      <c r="H80" s="12">
        <v>14641.837305699401</v>
      </c>
      <c r="I80" s="81" t="s">
        <v>9</v>
      </c>
      <c r="J80" s="1004" t="s">
        <v>58</v>
      </c>
      <c r="K80" s="1012"/>
      <c r="L80" s="1012"/>
      <c r="M80" s="84"/>
      <c r="S80" s="41"/>
      <c r="T80" s="41"/>
    </row>
    <row r="81" spans="1:22" ht="30" customHeight="1" x14ac:dyDescent="0.45">
      <c r="A81" s="19"/>
      <c r="B81" s="1005" t="s">
        <v>12</v>
      </c>
      <c r="C81" s="1005"/>
      <c r="D81" s="1005"/>
      <c r="E81" s="19" t="s">
        <v>13</v>
      </c>
      <c r="F81" s="19" t="s">
        <v>14</v>
      </c>
      <c r="G81" s="1006" t="s">
        <v>15</v>
      </c>
      <c r="H81" s="1006"/>
      <c r="I81" s="19" t="s">
        <v>59</v>
      </c>
      <c r="J81" s="19" t="s">
        <v>60</v>
      </c>
      <c r="K81" s="1006" t="s">
        <v>39</v>
      </c>
      <c r="L81" s="1006"/>
      <c r="S81" s="41"/>
      <c r="T81" s="41"/>
    </row>
    <row r="82" spans="1:22" ht="30" customHeight="1" thickBot="1" x14ac:dyDescent="0.5">
      <c r="A82" s="65"/>
      <c r="B82" s="1070" t="s">
        <v>61</v>
      </c>
      <c r="C82" s="1070"/>
      <c r="D82" s="1070"/>
      <c r="E82" s="86">
        <f>+K78</f>
        <v>140.9716694698709</v>
      </c>
      <c r="F82" s="87" t="s">
        <v>8</v>
      </c>
      <c r="G82" s="1475"/>
      <c r="H82" s="1475"/>
      <c r="I82" s="87"/>
      <c r="J82" s="88"/>
      <c r="K82" s="89">
        <f>E82</f>
        <v>140.9716694698709</v>
      </c>
      <c r="L82" s="87" t="s">
        <v>8</v>
      </c>
      <c r="M82" s="25"/>
      <c r="S82" s="41"/>
      <c r="T82" s="41"/>
    </row>
    <row r="83" spans="1:22" ht="30" customHeight="1" thickBot="1" x14ac:dyDescent="0.5">
      <c r="A83" s="999"/>
      <c r="B83" s="1000"/>
      <c r="C83" s="1000"/>
      <c r="D83" s="1000"/>
      <c r="E83" s="1000"/>
      <c r="F83" s="1000"/>
      <c r="G83" s="1000"/>
      <c r="H83" s="1000"/>
      <c r="I83" s="1000"/>
      <c r="J83" s="1000"/>
      <c r="K83" s="1000"/>
      <c r="L83" s="1001"/>
      <c r="M83" s="25"/>
      <c r="S83" s="90"/>
      <c r="T83" s="90"/>
    </row>
    <row r="84" spans="1:22" s="18" customFormat="1" ht="30" customHeight="1" x14ac:dyDescent="0.45">
      <c r="A84" s="9" t="s">
        <v>4</v>
      </c>
      <c r="B84" s="10">
        <v>1131</v>
      </c>
      <c r="C84" s="983" t="s">
        <v>62</v>
      </c>
      <c r="D84" s="984"/>
      <c r="E84" s="11" t="s">
        <v>6</v>
      </c>
      <c r="F84" s="12">
        <v>31262.863621140699</v>
      </c>
      <c r="G84" s="13" t="s">
        <v>7</v>
      </c>
      <c r="H84" s="14" t="s">
        <v>8</v>
      </c>
      <c r="I84" s="13" t="s">
        <v>9</v>
      </c>
      <c r="J84" s="1155" t="s">
        <v>10</v>
      </c>
      <c r="K84" s="1156"/>
      <c r="L84" s="1127"/>
      <c r="M84" s="17"/>
      <c r="O84" s="5"/>
      <c r="P84" s="2"/>
      <c r="Q84" s="2"/>
      <c r="R84" s="2"/>
      <c r="S84" s="2"/>
      <c r="T84" s="2"/>
      <c r="U84" s="2"/>
    </row>
    <row r="85" spans="1:22" ht="30" customHeight="1" x14ac:dyDescent="0.45">
      <c r="A85" s="19" t="s">
        <v>11</v>
      </c>
      <c r="B85" s="1005" t="s">
        <v>12</v>
      </c>
      <c r="C85" s="1005"/>
      <c r="D85" s="1005"/>
      <c r="E85" s="20" t="s">
        <v>13</v>
      </c>
      <c r="F85" s="20" t="s">
        <v>14</v>
      </c>
      <c r="G85" s="1068" t="s">
        <v>15</v>
      </c>
      <c r="H85" s="1069"/>
      <c r="I85" s="1068" t="s">
        <v>16</v>
      </c>
      <c r="J85" s="1069"/>
      <c r="K85" s="992" t="s">
        <v>17</v>
      </c>
      <c r="L85" s="993"/>
      <c r="M85" s="25"/>
      <c r="N85" s="26"/>
      <c r="O85" s="2"/>
      <c r="P85" s="27"/>
      <c r="Q85" s="26"/>
      <c r="R85" s="28"/>
    </row>
    <row r="86" spans="1:22" ht="30" customHeight="1" x14ac:dyDescent="0.45">
      <c r="A86" s="29">
        <v>11110</v>
      </c>
      <c r="B86" s="994" t="s">
        <v>63</v>
      </c>
      <c r="C86" s="994"/>
      <c r="D86" s="994"/>
      <c r="E86" s="57">
        <v>149.66</v>
      </c>
      <c r="F86" s="31" t="s">
        <v>8</v>
      </c>
      <c r="G86" s="32"/>
      <c r="H86" s="33"/>
      <c r="I86" s="1119">
        <f>+'[1]2023 MILCON Inflation Table'!F22</f>
        <v>0.93771935922451721</v>
      </c>
      <c r="J86" s="1120"/>
      <c r="K86" s="36">
        <f>+E86*I86</f>
        <v>140.33907930154123</v>
      </c>
      <c r="L86" s="16" t="s">
        <v>8</v>
      </c>
      <c r="M86" s="37"/>
    </row>
    <row r="87" spans="1:22" ht="30" customHeight="1" x14ac:dyDescent="0.45">
      <c r="A87" s="29">
        <v>11110</v>
      </c>
      <c r="B87" s="994" t="s">
        <v>64</v>
      </c>
      <c r="C87" s="994"/>
      <c r="D87" s="994"/>
      <c r="E87" s="57">
        <v>177.66</v>
      </c>
      <c r="F87" s="38" t="s">
        <v>8</v>
      </c>
      <c r="G87" s="39"/>
      <c r="H87" s="39"/>
      <c r="I87" s="1119">
        <f>+I86</f>
        <v>0.93771935922451721</v>
      </c>
      <c r="J87" s="1120"/>
      <c r="K87" s="36">
        <f>+E87*I87</f>
        <v>166.59522135982772</v>
      </c>
      <c r="L87" s="16" t="s">
        <v>8</v>
      </c>
      <c r="M87" s="40"/>
      <c r="N87" s="26"/>
      <c r="U87" s="41"/>
      <c r="V87" s="41"/>
    </row>
    <row r="88" spans="1:22" ht="30" customHeight="1" x14ac:dyDescent="0.45">
      <c r="A88" s="38"/>
      <c r="E88" s="53"/>
      <c r="F88" s="38"/>
      <c r="G88" s="54"/>
      <c r="H88" s="54"/>
      <c r="I88" s="54"/>
      <c r="J88" s="54" t="s">
        <v>56</v>
      </c>
      <c r="K88" s="55">
        <f>AVERAGE(K86:K87)</f>
        <v>153.46715033068449</v>
      </c>
      <c r="L88" s="16" t="s">
        <v>8</v>
      </c>
      <c r="M88" s="40"/>
      <c r="N88" s="26"/>
      <c r="U88" s="41"/>
      <c r="V88" s="41"/>
    </row>
    <row r="89" spans="1:22" ht="30" customHeight="1" x14ac:dyDescent="0.45">
      <c r="A89" s="38">
        <v>93410</v>
      </c>
      <c r="B89" s="994" t="s">
        <v>28</v>
      </c>
      <c r="C89" s="994"/>
      <c r="D89" s="994"/>
      <c r="E89" s="30">
        <v>12.99</v>
      </c>
      <c r="F89" s="38" t="s">
        <v>29</v>
      </c>
      <c r="G89" s="54">
        <v>0.33329999999999999</v>
      </c>
      <c r="H89" s="56" t="s">
        <v>30</v>
      </c>
      <c r="I89" s="1119">
        <f>+I86</f>
        <v>0.93771935922451721</v>
      </c>
      <c r="J89" s="1120"/>
      <c r="K89" s="55">
        <f>+E89*G89*I89</f>
        <v>4.059918792959615</v>
      </c>
      <c r="L89" s="16" t="s">
        <v>8</v>
      </c>
      <c r="M89" s="40"/>
      <c r="N89" s="26"/>
      <c r="U89" s="41"/>
      <c r="V89" s="41"/>
    </row>
    <row r="90" spans="1:22" ht="30" customHeight="1" x14ac:dyDescent="0.45">
      <c r="A90" s="38">
        <v>93410</v>
      </c>
      <c r="B90" s="994" t="s">
        <v>31</v>
      </c>
      <c r="C90" s="994"/>
      <c r="D90" s="994"/>
      <c r="E90" s="30">
        <v>20.86</v>
      </c>
      <c r="F90" s="38" t="s">
        <v>29</v>
      </c>
      <c r="G90" s="54">
        <v>0.33329999999999999</v>
      </c>
      <c r="H90" s="56" t="s">
        <v>30</v>
      </c>
      <c r="I90" s="1119">
        <f>+I86</f>
        <v>0.93771935922451721</v>
      </c>
      <c r="J90" s="1120"/>
      <c r="K90" s="55">
        <f>+E90*G90*I90</f>
        <v>6.519623250280028</v>
      </c>
      <c r="L90" s="16" t="s">
        <v>8</v>
      </c>
      <c r="M90" s="40"/>
      <c r="N90" s="26"/>
      <c r="U90" s="41"/>
      <c r="V90" s="41"/>
    </row>
    <row r="91" spans="1:22" ht="30" customHeight="1" x14ac:dyDescent="0.45">
      <c r="A91" s="38">
        <v>93210</v>
      </c>
      <c r="B91" s="994" t="s">
        <v>32</v>
      </c>
      <c r="C91" s="994"/>
      <c r="D91" s="994"/>
      <c r="E91" s="57">
        <v>5.84</v>
      </c>
      <c r="F91" s="38" t="s">
        <v>8</v>
      </c>
      <c r="G91" s="54"/>
      <c r="H91" s="56"/>
      <c r="I91" s="1119">
        <f>+I89</f>
        <v>0.93771935922451721</v>
      </c>
      <c r="J91" s="1120"/>
      <c r="K91" s="36">
        <f>+E91*I91</f>
        <v>5.47628105787118</v>
      </c>
      <c r="L91" s="16" t="s">
        <v>8</v>
      </c>
      <c r="M91" s="40"/>
      <c r="N91" s="26"/>
      <c r="U91" s="41"/>
      <c r="V91" s="41"/>
    </row>
    <row r="92" spans="1:22" ht="30" customHeight="1" x14ac:dyDescent="0.45">
      <c r="A92" s="1104"/>
      <c r="B92" s="1105"/>
      <c r="C92" s="1105"/>
      <c r="D92" s="1105"/>
      <c r="E92" s="61"/>
      <c r="F92" s="38"/>
      <c r="G92" s="39"/>
      <c r="H92" s="39"/>
      <c r="I92" s="39"/>
      <c r="J92" s="62" t="s">
        <v>38</v>
      </c>
      <c r="K92" s="39">
        <f>+K91+K90+K89+K88</f>
        <v>169.52297343179532</v>
      </c>
      <c r="L92" s="16" t="s">
        <v>8</v>
      </c>
      <c r="M92" s="25"/>
      <c r="N92" s="26"/>
      <c r="U92" s="41"/>
      <c r="V92" s="41"/>
    </row>
    <row r="93" spans="1:22" ht="30" customHeight="1" thickBot="1" x14ac:dyDescent="0.5">
      <c r="A93" s="1166"/>
      <c r="B93" s="1167"/>
      <c r="C93" s="1167"/>
      <c r="D93" s="1167"/>
      <c r="E93" s="64"/>
      <c r="F93" s="65"/>
      <c r="G93" s="66"/>
      <c r="H93" s="66"/>
      <c r="I93" s="66"/>
      <c r="J93" s="67" t="s">
        <v>39</v>
      </c>
      <c r="K93" s="66">
        <f>+K92</f>
        <v>169.52297343179532</v>
      </c>
      <c r="L93" s="68" t="s">
        <v>8</v>
      </c>
      <c r="M93" s="25"/>
      <c r="N93" s="26"/>
      <c r="U93" s="41"/>
      <c r="V93" s="41"/>
    </row>
    <row r="94" spans="1:22" ht="30" customHeight="1" thickBot="1" x14ac:dyDescent="0.5">
      <c r="A94" s="1245"/>
      <c r="B94" s="1246"/>
      <c r="C94" s="1246"/>
      <c r="D94" s="1246"/>
      <c r="E94" s="1246"/>
      <c r="F94" s="1246"/>
      <c r="G94" s="1246"/>
      <c r="H94" s="1246"/>
      <c r="I94" s="1246"/>
      <c r="J94" s="1246"/>
      <c r="K94" s="1246"/>
      <c r="L94" s="1247"/>
      <c r="M94" s="25"/>
      <c r="S94" s="41"/>
      <c r="T94" s="41"/>
    </row>
    <row r="95" spans="1:22" ht="30" customHeight="1" x14ac:dyDescent="0.45">
      <c r="A95" s="93" t="s">
        <v>4</v>
      </c>
      <c r="B95" s="76">
        <v>1161</v>
      </c>
      <c r="C95" s="1132" t="s">
        <v>65</v>
      </c>
      <c r="D95" s="1133"/>
      <c r="E95" s="94" t="s">
        <v>7</v>
      </c>
      <c r="F95" s="95" t="s">
        <v>8</v>
      </c>
      <c r="G95" s="11" t="s">
        <v>6</v>
      </c>
      <c r="H95" s="96">
        <v>1874.2209774436001</v>
      </c>
      <c r="I95" s="94" t="s">
        <v>9</v>
      </c>
      <c r="J95" s="1088" t="s">
        <v>66</v>
      </c>
      <c r="K95" s="1478"/>
      <c r="L95" s="1048"/>
      <c r="M95" s="25"/>
      <c r="S95" s="41"/>
      <c r="T95" s="41"/>
    </row>
    <row r="96" spans="1:22" ht="30" customHeight="1" x14ac:dyDescent="0.45">
      <c r="A96" s="19"/>
      <c r="B96" s="1300" t="s">
        <v>12</v>
      </c>
      <c r="C96" s="1301"/>
      <c r="D96" s="1302"/>
      <c r="E96" s="19" t="s">
        <v>13</v>
      </c>
      <c r="F96" s="19" t="s">
        <v>14</v>
      </c>
      <c r="G96" s="990" t="s">
        <v>15</v>
      </c>
      <c r="H96" s="991"/>
      <c r="I96" s="19" t="s">
        <v>59</v>
      </c>
      <c r="J96" s="19" t="s">
        <v>60</v>
      </c>
      <c r="K96" s="992" t="s">
        <v>39</v>
      </c>
      <c r="L96" s="993"/>
      <c r="M96" s="84"/>
      <c r="N96" s="26"/>
      <c r="U96" s="41"/>
      <c r="V96" s="41"/>
    </row>
    <row r="97" spans="1:22" ht="30" customHeight="1" thickBot="1" x14ac:dyDescent="0.5">
      <c r="A97" s="65"/>
      <c r="B97" s="1065" t="s">
        <v>62</v>
      </c>
      <c r="C97" s="1065"/>
      <c r="D97" s="1065"/>
      <c r="E97" s="86">
        <f>+K93</f>
        <v>169.52297343179532</v>
      </c>
      <c r="F97" s="87" t="s">
        <v>8</v>
      </c>
      <c r="G97" s="1071"/>
      <c r="H97" s="1072"/>
      <c r="I97" s="87"/>
      <c r="J97" s="100"/>
      <c r="K97" s="89">
        <f>E97</f>
        <v>169.52297343179532</v>
      </c>
      <c r="L97" s="87" t="s">
        <v>8</v>
      </c>
      <c r="N97" s="26"/>
      <c r="U97" s="41"/>
      <c r="V97" s="41"/>
    </row>
    <row r="98" spans="1:22" ht="30" customHeight="1" thickBot="1" x14ac:dyDescent="0.5">
      <c r="A98" s="1479"/>
      <c r="B98" s="1480"/>
      <c r="C98" s="1480"/>
      <c r="D98" s="1480"/>
      <c r="E98" s="1480"/>
      <c r="F98" s="1480"/>
      <c r="G98" s="1480"/>
      <c r="H98" s="1480"/>
      <c r="I98" s="1480"/>
      <c r="J98" s="1480"/>
      <c r="K98" s="1480"/>
      <c r="L98" s="1481"/>
      <c r="M98" s="25"/>
      <c r="S98" s="41"/>
      <c r="T98" s="41"/>
    </row>
    <row r="99" spans="1:22" s="18" customFormat="1" ht="30" customHeight="1" x14ac:dyDescent="0.45">
      <c r="A99" s="9" t="s">
        <v>4</v>
      </c>
      <c r="B99" s="76">
        <v>1162</v>
      </c>
      <c r="C99" s="1073" t="s">
        <v>67</v>
      </c>
      <c r="D99" s="1074"/>
      <c r="E99" s="13" t="s">
        <v>7</v>
      </c>
      <c r="F99" s="14" t="s">
        <v>8</v>
      </c>
      <c r="G99" s="11" t="s">
        <v>6</v>
      </c>
      <c r="H99" s="12">
        <v>2166.3000000000002</v>
      </c>
      <c r="I99" s="13" t="s">
        <v>9</v>
      </c>
      <c r="J99" s="1155" t="s">
        <v>10</v>
      </c>
      <c r="K99" s="1156"/>
      <c r="L99" s="1127"/>
      <c r="M99" s="101"/>
      <c r="O99" s="5"/>
      <c r="P99" s="2"/>
      <c r="Q99" s="2"/>
      <c r="R99" s="2"/>
      <c r="S99" s="2"/>
      <c r="T99" s="2"/>
      <c r="U99" s="2"/>
    </row>
    <row r="100" spans="1:22" ht="30" customHeight="1" x14ac:dyDescent="0.45">
      <c r="A100" s="19" t="s">
        <v>11</v>
      </c>
      <c r="B100" s="1005" t="s">
        <v>12</v>
      </c>
      <c r="C100" s="1005"/>
      <c r="D100" s="1005"/>
      <c r="E100" s="20" t="s">
        <v>13</v>
      </c>
      <c r="F100" s="20" t="s">
        <v>14</v>
      </c>
      <c r="G100" s="1068" t="s">
        <v>15</v>
      </c>
      <c r="H100" s="1069"/>
      <c r="I100" s="1068" t="s">
        <v>16</v>
      </c>
      <c r="J100" s="1069"/>
      <c r="K100" s="992" t="s">
        <v>17</v>
      </c>
      <c r="L100" s="993"/>
      <c r="M100" s="25"/>
      <c r="N100" s="26"/>
      <c r="O100" s="2"/>
      <c r="P100" s="27"/>
      <c r="Q100" s="26"/>
      <c r="R100" s="28"/>
    </row>
    <row r="101" spans="1:22" ht="30" customHeight="1" x14ac:dyDescent="0.45">
      <c r="A101" s="29">
        <v>11110</v>
      </c>
      <c r="B101" s="994" t="s">
        <v>68</v>
      </c>
      <c r="C101" s="994"/>
      <c r="D101" s="994"/>
      <c r="E101" s="57">
        <v>197.3</v>
      </c>
      <c r="F101" s="31" t="s">
        <v>8</v>
      </c>
      <c r="G101" s="32"/>
      <c r="H101" s="33"/>
      <c r="I101" s="1119">
        <f>+'[1]2023 MILCON Inflation Table'!F22</f>
        <v>0.93771935922451721</v>
      </c>
      <c r="J101" s="1120"/>
      <c r="K101" s="36">
        <f>+E101*I101</f>
        <v>185.01202957499726</v>
      </c>
      <c r="L101" s="16" t="s">
        <v>8</v>
      </c>
      <c r="M101" s="37"/>
    </row>
    <row r="102" spans="1:22" ht="30" customHeight="1" x14ac:dyDescent="0.45">
      <c r="A102" s="38">
        <v>93410</v>
      </c>
      <c r="B102" s="994" t="s">
        <v>28</v>
      </c>
      <c r="C102" s="994"/>
      <c r="D102" s="994"/>
      <c r="E102" s="30">
        <v>12.99</v>
      </c>
      <c r="F102" s="38" t="s">
        <v>29</v>
      </c>
      <c r="G102" s="54">
        <v>0.33329999999999999</v>
      </c>
      <c r="H102" s="56" t="s">
        <v>30</v>
      </c>
      <c r="I102" s="1119">
        <f>+I101</f>
        <v>0.93771935922451721</v>
      </c>
      <c r="J102" s="1120"/>
      <c r="K102" s="55">
        <f>+E102*G102*I102</f>
        <v>4.059918792959615</v>
      </c>
      <c r="L102" s="16" t="s">
        <v>8</v>
      </c>
      <c r="M102" s="40"/>
      <c r="N102" s="26"/>
      <c r="U102" s="41"/>
      <c r="V102" s="41"/>
    </row>
    <row r="103" spans="1:22" ht="30" customHeight="1" x14ac:dyDescent="0.45">
      <c r="A103" s="38">
        <v>93410</v>
      </c>
      <c r="B103" s="994" t="s">
        <v>31</v>
      </c>
      <c r="C103" s="994"/>
      <c r="D103" s="994"/>
      <c r="E103" s="30">
        <v>20.86</v>
      </c>
      <c r="F103" s="38" t="s">
        <v>29</v>
      </c>
      <c r="G103" s="54">
        <v>0.33329999999999999</v>
      </c>
      <c r="H103" s="56" t="s">
        <v>30</v>
      </c>
      <c r="I103" s="1119">
        <f>+I101</f>
        <v>0.93771935922451721</v>
      </c>
      <c r="J103" s="1120"/>
      <c r="K103" s="55">
        <f>+E103*G103*I103</f>
        <v>6.519623250280028</v>
      </c>
      <c r="L103" s="16" t="s">
        <v>8</v>
      </c>
      <c r="M103" s="40"/>
      <c r="N103" s="26"/>
      <c r="U103" s="41"/>
      <c r="V103" s="41"/>
    </row>
    <row r="104" spans="1:22" ht="30" customHeight="1" x14ac:dyDescent="0.45">
      <c r="A104" s="38">
        <v>93210</v>
      </c>
      <c r="B104" s="994" t="s">
        <v>32</v>
      </c>
      <c r="C104" s="994"/>
      <c r="D104" s="994"/>
      <c r="E104" s="57">
        <v>5.84</v>
      </c>
      <c r="F104" s="38" t="s">
        <v>8</v>
      </c>
      <c r="G104" s="54"/>
      <c r="H104" s="56"/>
      <c r="I104" s="1119">
        <f>+I102</f>
        <v>0.93771935922451721</v>
      </c>
      <c r="J104" s="1120"/>
      <c r="K104" s="36">
        <f>+E104*I104</f>
        <v>5.47628105787118</v>
      </c>
      <c r="L104" s="16" t="s">
        <v>8</v>
      </c>
      <c r="M104" s="40"/>
      <c r="N104" s="26"/>
      <c r="U104" s="41"/>
      <c r="V104" s="41"/>
    </row>
    <row r="105" spans="1:22" ht="30" customHeight="1" x14ac:dyDescent="0.45">
      <c r="A105" s="29">
        <v>11110</v>
      </c>
      <c r="B105" s="994" t="s">
        <v>33</v>
      </c>
      <c r="C105" s="994"/>
      <c r="D105" s="994"/>
      <c r="E105" s="30">
        <v>43.94</v>
      </c>
      <c r="F105" s="38" t="s">
        <v>8</v>
      </c>
      <c r="G105" s="58"/>
      <c r="H105" s="58"/>
      <c r="I105" s="1119">
        <f>+I104</f>
        <v>0.93771935922451721</v>
      </c>
      <c r="J105" s="1120"/>
      <c r="K105" s="36">
        <f>+E105*I105</f>
        <v>41.203388644325287</v>
      </c>
      <c r="L105" s="16" t="s">
        <v>8</v>
      </c>
      <c r="M105" s="40"/>
      <c r="N105" s="26"/>
      <c r="U105" s="41"/>
      <c r="V105" s="41"/>
    </row>
    <row r="106" spans="1:22" ht="30" customHeight="1" x14ac:dyDescent="0.45">
      <c r="A106" s="1104"/>
      <c r="B106" s="1105"/>
      <c r="C106" s="1105"/>
      <c r="D106" s="1105"/>
      <c r="E106" s="61"/>
      <c r="F106" s="38"/>
      <c r="G106" s="39"/>
      <c r="H106" s="39"/>
      <c r="I106" s="39"/>
      <c r="J106" s="62" t="s">
        <v>38</v>
      </c>
      <c r="K106" s="39">
        <f>SUM(K101:K105)</f>
        <v>242.27124132043338</v>
      </c>
      <c r="L106" s="16" t="s">
        <v>8</v>
      </c>
      <c r="M106" s="25"/>
      <c r="N106" s="26"/>
      <c r="U106" s="41"/>
      <c r="V106" s="41"/>
    </row>
    <row r="107" spans="1:22" ht="30" customHeight="1" thickBot="1" x14ac:dyDescent="0.5">
      <c r="A107" s="1166"/>
      <c r="B107" s="1167"/>
      <c r="C107" s="1167"/>
      <c r="D107" s="1167"/>
      <c r="E107" s="64"/>
      <c r="F107" s="65"/>
      <c r="G107" s="66"/>
      <c r="H107" s="66"/>
      <c r="I107" s="66"/>
      <c r="J107" s="67" t="s">
        <v>39</v>
      </c>
      <c r="K107" s="66">
        <f>+K106</f>
        <v>242.27124132043338</v>
      </c>
      <c r="L107" s="68" t="s">
        <v>8</v>
      </c>
      <c r="M107" s="25"/>
      <c r="N107" s="26"/>
      <c r="U107" s="41"/>
      <c r="V107" s="41"/>
    </row>
    <row r="108" spans="1:22" ht="30" customHeight="1" thickBot="1" x14ac:dyDescent="0.5">
      <c r="A108" s="1245"/>
      <c r="B108" s="1246"/>
      <c r="C108" s="1246"/>
      <c r="D108" s="1246"/>
      <c r="E108" s="1246"/>
      <c r="F108" s="1246"/>
      <c r="G108" s="1246"/>
      <c r="H108" s="1246"/>
      <c r="I108" s="1246"/>
      <c r="J108" s="1246"/>
      <c r="K108" s="1246"/>
      <c r="L108" s="1247"/>
      <c r="M108" s="25"/>
      <c r="S108" s="41"/>
      <c r="T108" s="41"/>
    </row>
    <row r="109" spans="1:22" ht="30" customHeight="1" x14ac:dyDescent="0.45">
      <c r="A109" s="93" t="s">
        <v>4</v>
      </c>
      <c r="B109" s="76">
        <v>1163</v>
      </c>
      <c r="C109" s="1132" t="s">
        <v>69</v>
      </c>
      <c r="D109" s="1133"/>
      <c r="E109" s="94" t="s">
        <v>7</v>
      </c>
      <c r="F109" s="95" t="s">
        <v>8</v>
      </c>
      <c r="G109" s="102" t="s">
        <v>6</v>
      </c>
      <c r="H109" s="96">
        <v>1911</v>
      </c>
      <c r="I109" s="94" t="s">
        <v>9</v>
      </c>
      <c r="J109" s="1088" t="s">
        <v>66</v>
      </c>
      <c r="K109" s="1478"/>
      <c r="L109" s="1048"/>
      <c r="M109" s="90"/>
    </row>
    <row r="110" spans="1:22" ht="30" customHeight="1" x14ac:dyDescent="0.45">
      <c r="A110" s="19"/>
      <c r="B110" s="1300" t="s">
        <v>12</v>
      </c>
      <c r="C110" s="1301"/>
      <c r="D110" s="1302"/>
      <c r="E110" s="19" t="s">
        <v>13</v>
      </c>
      <c r="F110" s="19" t="s">
        <v>14</v>
      </c>
      <c r="G110" s="990" t="s">
        <v>15</v>
      </c>
      <c r="H110" s="991"/>
      <c r="I110" s="19" t="s">
        <v>59</v>
      </c>
      <c r="J110" s="19" t="s">
        <v>60</v>
      </c>
      <c r="K110" s="992" t="s">
        <v>39</v>
      </c>
      <c r="L110" s="993"/>
      <c r="M110" s="103"/>
    </row>
    <row r="111" spans="1:22" ht="30" customHeight="1" thickBot="1" x14ac:dyDescent="0.5">
      <c r="A111" s="38"/>
      <c r="B111" s="1065" t="s">
        <v>62</v>
      </c>
      <c r="C111" s="1065"/>
      <c r="D111" s="1065"/>
      <c r="E111" s="104">
        <f>+K93</f>
        <v>169.52297343179532</v>
      </c>
      <c r="F111" s="105"/>
      <c r="G111" s="1084"/>
      <c r="H111" s="1085"/>
      <c r="I111" s="105"/>
      <c r="J111" s="106"/>
      <c r="K111" s="108">
        <f>E111</f>
        <v>169.52297343179532</v>
      </c>
      <c r="L111" s="105" t="s">
        <v>8</v>
      </c>
      <c r="M111" s="41"/>
      <c r="S111" s="41"/>
      <c r="T111" s="41"/>
    </row>
    <row r="112" spans="1:22" ht="30" customHeight="1" thickBot="1" x14ac:dyDescent="0.5">
      <c r="A112" s="999"/>
      <c r="B112" s="1000"/>
      <c r="C112" s="1000"/>
      <c r="D112" s="1000"/>
      <c r="E112" s="1000"/>
      <c r="F112" s="1000"/>
      <c r="G112" s="1000"/>
      <c r="H112" s="1000"/>
      <c r="I112" s="1000"/>
      <c r="J112" s="1000"/>
      <c r="K112" s="1000"/>
      <c r="L112" s="1001"/>
      <c r="M112" s="90"/>
    </row>
    <row r="113" spans="1:22" s="18" customFormat="1" ht="30" customHeight="1" x14ac:dyDescent="0.45">
      <c r="A113" s="9" t="s">
        <v>4</v>
      </c>
      <c r="B113" s="10">
        <v>1164</v>
      </c>
      <c r="C113" s="1163" t="s">
        <v>70</v>
      </c>
      <c r="D113" s="1164"/>
      <c r="E113" s="13" t="s">
        <v>7</v>
      </c>
      <c r="F113" s="14" t="s">
        <v>8</v>
      </c>
      <c r="G113" s="11" t="s">
        <v>6</v>
      </c>
      <c r="H113" s="12">
        <v>5310.3738310893496</v>
      </c>
      <c r="I113" s="13" t="s">
        <v>9</v>
      </c>
      <c r="J113" s="1155" t="s">
        <v>10</v>
      </c>
      <c r="K113" s="1156"/>
      <c r="L113" s="1127"/>
      <c r="M113" s="101"/>
      <c r="O113" s="5"/>
      <c r="P113" s="2"/>
      <c r="Q113" s="2"/>
      <c r="R113" s="2"/>
      <c r="S113" s="2"/>
      <c r="T113" s="2"/>
      <c r="U113" s="2"/>
    </row>
    <row r="114" spans="1:22" ht="30" customHeight="1" x14ac:dyDescent="0.45">
      <c r="A114" s="19" t="s">
        <v>11</v>
      </c>
      <c r="B114" s="1005" t="s">
        <v>12</v>
      </c>
      <c r="C114" s="1005"/>
      <c r="D114" s="1005"/>
      <c r="E114" s="20" t="s">
        <v>13</v>
      </c>
      <c r="F114" s="20" t="s">
        <v>14</v>
      </c>
      <c r="G114" s="1068" t="s">
        <v>15</v>
      </c>
      <c r="H114" s="1069"/>
      <c r="I114" s="1068" t="s">
        <v>16</v>
      </c>
      <c r="J114" s="1069"/>
      <c r="K114" s="992" t="s">
        <v>17</v>
      </c>
      <c r="L114" s="993"/>
      <c r="M114" s="90"/>
      <c r="N114" s="26"/>
      <c r="O114" s="2"/>
      <c r="P114" s="27"/>
      <c r="Q114" s="26"/>
      <c r="R114" s="28"/>
    </row>
    <row r="115" spans="1:22" ht="30" customHeight="1" x14ac:dyDescent="0.45">
      <c r="A115" s="29">
        <v>11110</v>
      </c>
      <c r="B115" s="994" t="s">
        <v>71</v>
      </c>
      <c r="C115" s="994"/>
      <c r="D115" s="994"/>
      <c r="E115" s="30">
        <v>149.66</v>
      </c>
      <c r="F115" s="38" t="s">
        <v>8</v>
      </c>
      <c r="G115" s="39"/>
      <c r="H115" s="39"/>
      <c r="I115" s="1119">
        <f>+'[1]2023 MILCON Inflation Table'!F22</f>
        <v>0.93771935922451721</v>
      </c>
      <c r="J115" s="1120"/>
      <c r="K115" s="36">
        <f>+E115*I115</f>
        <v>140.33907930154123</v>
      </c>
      <c r="L115" s="16" t="s">
        <v>8</v>
      </c>
      <c r="M115" s="109"/>
      <c r="N115" s="26"/>
      <c r="U115" s="41"/>
      <c r="V115" s="41"/>
    </row>
    <row r="116" spans="1:22" ht="30" customHeight="1" x14ac:dyDescent="0.45">
      <c r="A116" s="38">
        <v>93410</v>
      </c>
      <c r="B116" s="994" t="s">
        <v>28</v>
      </c>
      <c r="C116" s="994"/>
      <c r="D116" s="994"/>
      <c r="E116" s="30">
        <v>12.99</v>
      </c>
      <c r="F116" s="38" t="s">
        <v>29</v>
      </c>
      <c r="G116" s="54">
        <v>0.33329999999999999</v>
      </c>
      <c r="H116" s="56" t="s">
        <v>30</v>
      </c>
      <c r="I116" s="1119">
        <f>+I115</f>
        <v>0.93771935922451721</v>
      </c>
      <c r="J116" s="1120"/>
      <c r="K116" s="55">
        <f>+E116*G116*I116</f>
        <v>4.059918792959615</v>
      </c>
      <c r="L116" s="16" t="s">
        <v>8</v>
      </c>
      <c r="M116" s="40"/>
      <c r="N116" s="26"/>
      <c r="U116" s="41"/>
      <c r="V116" s="41"/>
    </row>
    <row r="117" spans="1:22" ht="30" customHeight="1" x14ac:dyDescent="0.45">
      <c r="A117" s="38">
        <v>93410</v>
      </c>
      <c r="B117" s="994" t="s">
        <v>31</v>
      </c>
      <c r="C117" s="994"/>
      <c r="D117" s="994"/>
      <c r="E117" s="30">
        <v>20.86</v>
      </c>
      <c r="F117" s="38" t="s">
        <v>29</v>
      </c>
      <c r="G117" s="54">
        <v>0.33329999999999999</v>
      </c>
      <c r="H117" s="56" t="s">
        <v>30</v>
      </c>
      <c r="I117" s="1119">
        <f>+I115</f>
        <v>0.93771935922451721</v>
      </c>
      <c r="J117" s="1120"/>
      <c r="K117" s="55">
        <f>+E117*G117*I117</f>
        <v>6.519623250280028</v>
      </c>
      <c r="L117" s="16" t="s">
        <v>8</v>
      </c>
      <c r="M117" s="40"/>
      <c r="N117" s="26"/>
      <c r="U117" s="41"/>
      <c r="V117" s="41"/>
    </row>
    <row r="118" spans="1:22" ht="30" customHeight="1" x14ac:dyDescent="0.45">
      <c r="A118" s="38">
        <v>93210</v>
      </c>
      <c r="B118" s="994" t="s">
        <v>32</v>
      </c>
      <c r="C118" s="994"/>
      <c r="D118" s="994"/>
      <c r="E118" s="57">
        <v>5.84</v>
      </c>
      <c r="F118" s="38" t="s">
        <v>8</v>
      </c>
      <c r="G118" s="54"/>
      <c r="H118" s="56"/>
      <c r="I118" s="1119">
        <f>+I116</f>
        <v>0.93771935922451721</v>
      </c>
      <c r="J118" s="1120"/>
      <c r="K118" s="36">
        <f>+E118*I118</f>
        <v>5.47628105787118</v>
      </c>
      <c r="L118" s="16" t="s">
        <v>8</v>
      </c>
      <c r="M118" s="40"/>
      <c r="N118" s="26"/>
      <c r="U118" s="41"/>
      <c r="V118" s="41"/>
    </row>
    <row r="119" spans="1:22" ht="30" customHeight="1" x14ac:dyDescent="0.45">
      <c r="A119" s="1104"/>
      <c r="B119" s="1105"/>
      <c r="C119" s="1105"/>
      <c r="D119" s="1105"/>
      <c r="E119" s="61"/>
      <c r="F119" s="38"/>
      <c r="G119" s="39"/>
      <c r="H119" s="39"/>
      <c r="I119" s="39"/>
      <c r="J119" s="62" t="s">
        <v>38</v>
      </c>
      <c r="K119" s="39">
        <f>SUM(K115:K118)</f>
        <v>156.39490240265206</v>
      </c>
      <c r="L119" s="16" t="s">
        <v>8</v>
      </c>
      <c r="M119" s="25"/>
      <c r="N119" s="26"/>
      <c r="U119" s="41"/>
      <c r="V119" s="41"/>
    </row>
    <row r="120" spans="1:22" ht="30" customHeight="1" thickBot="1" x14ac:dyDescent="0.5">
      <c r="A120" s="1166"/>
      <c r="B120" s="1167"/>
      <c r="C120" s="1167"/>
      <c r="D120" s="1167"/>
      <c r="E120" s="64"/>
      <c r="F120" s="65"/>
      <c r="G120" s="66"/>
      <c r="H120" s="66"/>
      <c r="I120" s="66"/>
      <c r="J120" s="67" t="s">
        <v>39</v>
      </c>
      <c r="K120" s="66">
        <f>+K119</f>
        <v>156.39490240265206</v>
      </c>
      <c r="L120" s="68" t="s">
        <v>8</v>
      </c>
      <c r="M120" s="25"/>
      <c r="N120" s="26"/>
      <c r="U120" s="41"/>
      <c r="V120" s="41"/>
    </row>
    <row r="121" spans="1:22" ht="30" customHeight="1" thickBot="1" x14ac:dyDescent="0.5">
      <c r="A121" s="1245"/>
      <c r="B121" s="1246"/>
      <c r="C121" s="1246"/>
      <c r="D121" s="1246"/>
      <c r="E121" s="1246"/>
      <c r="F121" s="1246"/>
      <c r="G121" s="1246"/>
      <c r="H121" s="1246"/>
      <c r="I121" s="1246"/>
      <c r="J121" s="1246"/>
      <c r="K121" s="1246"/>
      <c r="L121" s="1247"/>
      <c r="M121" s="25"/>
      <c r="S121" s="41"/>
      <c r="T121" s="41"/>
    </row>
    <row r="122" spans="1:22" s="18" customFormat="1" ht="30" customHeight="1" x14ac:dyDescent="0.45">
      <c r="A122" s="9" t="s">
        <v>4</v>
      </c>
      <c r="B122" s="10">
        <v>1165</v>
      </c>
      <c r="C122" s="1298" t="s">
        <v>72</v>
      </c>
      <c r="D122" s="1299"/>
      <c r="E122" s="13" t="s">
        <v>7</v>
      </c>
      <c r="F122" s="14" t="s">
        <v>8</v>
      </c>
      <c r="G122" s="11" t="s">
        <v>6</v>
      </c>
      <c r="H122" s="12">
        <v>53192.9413369963</v>
      </c>
      <c r="I122" s="13" t="s">
        <v>9</v>
      </c>
      <c r="J122" s="1155" t="s">
        <v>10</v>
      </c>
      <c r="K122" s="1156"/>
      <c r="L122" s="1127"/>
      <c r="M122" s="101"/>
      <c r="O122" s="5"/>
      <c r="P122" s="2"/>
      <c r="Q122" s="2"/>
      <c r="R122" s="2"/>
      <c r="S122" s="2"/>
      <c r="T122" s="2"/>
      <c r="U122" s="2"/>
    </row>
    <row r="123" spans="1:22" ht="30" customHeight="1" x14ac:dyDescent="0.45">
      <c r="A123" s="19" t="s">
        <v>11</v>
      </c>
      <c r="B123" s="1005" t="s">
        <v>12</v>
      </c>
      <c r="C123" s="1005"/>
      <c r="D123" s="1005"/>
      <c r="E123" s="20" t="s">
        <v>13</v>
      </c>
      <c r="F123" s="20" t="s">
        <v>14</v>
      </c>
      <c r="G123" s="1068" t="s">
        <v>15</v>
      </c>
      <c r="H123" s="1069"/>
      <c r="I123" s="1068" t="s">
        <v>16</v>
      </c>
      <c r="J123" s="1069"/>
      <c r="K123" s="992" t="s">
        <v>17</v>
      </c>
      <c r="L123" s="993"/>
      <c r="M123" s="25"/>
      <c r="N123" s="26"/>
      <c r="O123" s="2"/>
      <c r="P123" s="27"/>
      <c r="Q123" s="26"/>
      <c r="R123" s="28"/>
    </row>
    <row r="124" spans="1:22" ht="30" customHeight="1" x14ac:dyDescent="0.45">
      <c r="A124" s="29">
        <v>11110</v>
      </c>
      <c r="B124" s="994" t="s">
        <v>22</v>
      </c>
      <c r="C124" s="994"/>
      <c r="D124" s="994"/>
      <c r="E124" s="30">
        <v>119.89</v>
      </c>
      <c r="F124" s="38" t="s">
        <v>8</v>
      </c>
      <c r="G124" s="39"/>
      <c r="H124" s="39"/>
      <c r="I124" s="1119">
        <f>+'[1]2023 MILCON Inflation Table'!F22</f>
        <v>0.93771935922451721</v>
      </c>
      <c r="J124" s="1120"/>
      <c r="K124" s="36">
        <f>+E124*I124</f>
        <v>112.42317397742737</v>
      </c>
      <c r="L124" s="16" t="s">
        <v>8</v>
      </c>
      <c r="M124" s="40"/>
      <c r="N124" s="26"/>
      <c r="U124" s="41"/>
      <c r="V124" s="41"/>
    </row>
    <row r="125" spans="1:22" ht="30" customHeight="1" x14ac:dyDescent="0.45">
      <c r="A125" s="38">
        <v>93410</v>
      </c>
      <c r="B125" s="994" t="s">
        <v>28</v>
      </c>
      <c r="C125" s="994"/>
      <c r="D125" s="994"/>
      <c r="E125" s="30">
        <v>12.99</v>
      </c>
      <c r="F125" s="38" t="s">
        <v>29</v>
      </c>
      <c r="G125" s="54">
        <v>0.33329999999999999</v>
      </c>
      <c r="H125" s="56" t="s">
        <v>30</v>
      </c>
      <c r="I125" s="1119">
        <f>+I124</f>
        <v>0.93771935922451721</v>
      </c>
      <c r="J125" s="1120"/>
      <c r="K125" s="55">
        <f>+E125*G125*I125</f>
        <v>4.059918792959615</v>
      </c>
      <c r="L125" s="16" t="s">
        <v>8</v>
      </c>
      <c r="M125" s="40"/>
      <c r="N125" s="26"/>
      <c r="U125" s="41"/>
      <c r="V125" s="41"/>
    </row>
    <row r="126" spans="1:22" ht="30" customHeight="1" x14ac:dyDescent="0.45">
      <c r="A126" s="38">
        <v>93410</v>
      </c>
      <c r="B126" s="994" t="s">
        <v>31</v>
      </c>
      <c r="C126" s="994"/>
      <c r="D126" s="994"/>
      <c r="E126" s="30">
        <v>20.86</v>
      </c>
      <c r="F126" s="38" t="s">
        <v>29</v>
      </c>
      <c r="G126" s="54">
        <v>0.33329999999999999</v>
      </c>
      <c r="H126" s="56" t="s">
        <v>30</v>
      </c>
      <c r="I126" s="1119">
        <f>+I124</f>
        <v>0.93771935922451721</v>
      </c>
      <c r="J126" s="1120"/>
      <c r="K126" s="55">
        <f>+E126*G126*I126</f>
        <v>6.519623250280028</v>
      </c>
      <c r="L126" s="16" t="s">
        <v>8</v>
      </c>
      <c r="M126" s="40"/>
      <c r="N126" s="26"/>
      <c r="U126" s="41"/>
      <c r="V126" s="41"/>
    </row>
    <row r="127" spans="1:22" ht="30" customHeight="1" x14ac:dyDescent="0.45">
      <c r="A127" s="38">
        <v>93210</v>
      </c>
      <c r="B127" s="994" t="s">
        <v>32</v>
      </c>
      <c r="C127" s="994"/>
      <c r="D127" s="994"/>
      <c r="E127" s="57">
        <v>5.84</v>
      </c>
      <c r="F127" s="38" t="s">
        <v>8</v>
      </c>
      <c r="G127" s="54"/>
      <c r="H127" s="56"/>
      <c r="I127" s="1119">
        <f>+I124</f>
        <v>0.93771935922451721</v>
      </c>
      <c r="J127" s="1120"/>
      <c r="K127" s="36">
        <f>+E127*I127</f>
        <v>5.47628105787118</v>
      </c>
      <c r="L127" s="16" t="s">
        <v>8</v>
      </c>
      <c r="M127" s="40"/>
      <c r="N127" s="26"/>
      <c r="U127" s="41"/>
      <c r="V127" s="41"/>
    </row>
    <row r="128" spans="1:22" ht="30" customHeight="1" x14ac:dyDescent="0.45">
      <c r="A128" s="1104"/>
      <c r="B128" s="1105"/>
      <c r="C128" s="1105"/>
      <c r="D128" s="1105"/>
      <c r="E128" s="61"/>
      <c r="F128" s="38"/>
      <c r="G128" s="39"/>
      <c r="H128" s="39"/>
      <c r="I128" s="39"/>
      <c r="J128" s="62" t="s">
        <v>38</v>
      </c>
      <c r="K128" s="39">
        <f>SUM(K124:K127)</f>
        <v>128.47899707853821</v>
      </c>
      <c r="L128" s="16" t="s">
        <v>8</v>
      </c>
      <c r="M128" s="25"/>
      <c r="N128" s="26"/>
      <c r="U128" s="41"/>
      <c r="V128" s="41"/>
    </row>
    <row r="129" spans="1:22" ht="30" customHeight="1" thickBot="1" x14ac:dyDescent="0.5">
      <c r="A129" s="1166"/>
      <c r="B129" s="1167"/>
      <c r="C129" s="1167"/>
      <c r="D129" s="1167"/>
      <c r="E129" s="64"/>
      <c r="F129" s="65"/>
      <c r="G129" s="66"/>
      <c r="H129" s="66"/>
      <c r="I129" s="66"/>
      <c r="J129" s="67" t="s">
        <v>39</v>
      </c>
      <c r="K129" s="66">
        <f>+K128</f>
        <v>128.47899707853821</v>
      </c>
      <c r="L129" s="68" t="s">
        <v>8</v>
      </c>
      <c r="M129" s="25"/>
      <c r="N129" s="26"/>
      <c r="U129" s="41"/>
      <c r="V129" s="41"/>
    </row>
    <row r="130" spans="1:22" ht="30" customHeight="1" thickBot="1" x14ac:dyDescent="0.5">
      <c r="A130" s="1245"/>
      <c r="B130" s="1246"/>
      <c r="C130" s="1246"/>
      <c r="D130" s="1246"/>
      <c r="E130" s="1246"/>
      <c r="F130" s="1246"/>
      <c r="G130" s="1246"/>
      <c r="H130" s="1246"/>
      <c r="I130" s="1246"/>
      <c r="J130" s="1246"/>
      <c r="K130" s="1246"/>
      <c r="L130" s="1247"/>
      <c r="M130" s="25"/>
      <c r="S130" s="41"/>
      <c r="T130" s="41"/>
    </row>
    <row r="131" spans="1:22" ht="30" customHeight="1" x14ac:dyDescent="0.45">
      <c r="A131" s="80" t="s">
        <v>4</v>
      </c>
      <c r="B131" s="80">
        <v>1166</v>
      </c>
      <c r="C131" s="1476" t="s">
        <v>73</v>
      </c>
      <c r="D131" s="1476"/>
      <c r="E131" s="81" t="s">
        <v>7</v>
      </c>
      <c r="F131" s="82" t="s">
        <v>8</v>
      </c>
      <c r="G131" s="83" t="s">
        <v>6</v>
      </c>
      <c r="H131" s="110">
        <v>64072.754065934001</v>
      </c>
      <c r="I131" s="81" t="s">
        <v>9</v>
      </c>
      <c r="J131" s="1004" t="s">
        <v>74</v>
      </c>
      <c r="K131" s="1004"/>
      <c r="L131" s="1004"/>
      <c r="M131" s="25"/>
      <c r="N131" s="111"/>
      <c r="U131" s="41"/>
      <c r="V131" s="41"/>
    </row>
    <row r="132" spans="1:22" ht="30" customHeight="1" x14ac:dyDescent="0.45">
      <c r="A132" s="19"/>
      <c r="B132" s="1477" t="s">
        <v>12</v>
      </c>
      <c r="C132" s="1477"/>
      <c r="D132" s="1477"/>
      <c r="E132" s="19" t="s">
        <v>13</v>
      </c>
      <c r="F132" s="19" t="s">
        <v>14</v>
      </c>
      <c r="G132" s="1006" t="s">
        <v>15</v>
      </c>
      <c r="H132" s="1006"/>
      <c r="I132" s="1068" t="s">
        <v>16</v>
      </c>
      <c r="J132" s="1069"/>
      <c r="K132" s="992" t="s">
        <v>17</v>
      </c>
      <c r="L132" s="993"/>
      <c r="M132" s="84"/>
      <c r="N132" s="112"/>
      <c r="S132" s="41"/>
      <c r="T132" s="41"/>
    </row>
    <row r="133" spans="1:22" ht="30" customHeight="1" thickBot="1" x14ac:dyDescent="0.5">
      <c r="A133" s="65"/>
      <c r="B133" s="1070" t="s">
        <v>48</v>
      </c>
      <c r="C133" s="1070"/>
      <c r="D133" s="1070"/>
      <c r="E133" s="86">
        <f>+K55</f>
        <v>42.663609919106499</v>
      </c>
      <c r="F133" s="87"/>
      <c r="G133" s="1475"/>
      <c r="H133" s="1475"/>
      <c r="I133" s="87"/>
      <c r="J133" s="113" t="s">
        <v>39</v>
      </c>
      <c r="K133" s="89">
        <f>E133</f>
        <v>42.663609919106499</v>
      </c>
      <c r="L133" s="87" t="s">
        <v>8</v>
      </c>
      <c r="S133" s="41"/>
      <c r="T133" s="41"/>
    </row>
    <row r="134" spans="1:22" ht="30" customHeight="1" thickBot="1" x14ac:dyDescent="0.5">
      <c r="A134" s="999"/>
      <c r="B134" s="1000"/>
      <c r="C134" s="1000"/>
      <c r="D134" s="1000"/>
      <c r="E134" s="1000"/>
      <c r="F134" s="1000"/>
      <c r="G134" s="1000"/>
      <c r="H134" s="1000"/>
      <c r="I134" s="1000"/>
      <c r="J134" s="1000"/>
      <c r="K134" s="1000"/>
      <c r="L134" s="1001"/>
      <c r="M134" s="25"/>
      <c r="N134" s="26"/>
      <c r="U134" s="41"/>
      <c r="V134" s="41"/>
    </row>
    <row r="135" spans="1:22" ht="30" customHeight="1" x14ac:dyDescent="0.45">
      <c r="A135" s="9" t="s">
        <v>4</v>
      </c>
      <c r="B135" s="10">
        <v>1167</v>
      </c>
      <c r="C135" s="1401" t="s">
        <v>75</v>
      </c>
      <c r="D135" s="1402"/>
      <c r="E135" s="13" t="s">
        <v>7</v>
      </c>
      <c r="F135" s="14" t="s">
        <v>8</v>
      </c>
      <c r="G135" s="11" t="s">
        <v>6</v>
      </c>
      <c r="H135" s="12">
        <v>1945.5483870967701</v>
      </c>
      <c r="I135" s="13" t="s">
        <v>9</v>
      </c>
      <c r="J135" s="985" t="s">
        <v>76</v>
      </c>
      <c r="K135" s="985"/>
      <c r="L135" s="986"/>
      <c r="M135" s="25"/>
      <c r="N135" s="26"/>
      <c r="U135" s="41"/>
      <c r="V135" s="41"/>
    </row>
    <row r="136" spans="1:22" ht="30" customHeight="1" x14ac:dyDescent="0.45">
      <c r="A136" s="114" t="s">
        <v>77</v>
      </c>
      <c r="B136" s="1300" t="s">
        <v>12</v>
      </c>
      <c r="C136" s="1301"/>
      <c r="D136" s="1302"/>
      <c r="E136" s="115" t="s">
        <v>78</v>
      </c>
      <c r="F136" s="116" t="s">
        <v>79</v>
      </c>
      <c r="G136" s="117" t="s">
        <v>80</v>
      </c>
      <c r="H136" s="118" t="s">
        <v>81</v>
      </c>
      <c r="I136" s="118" t="s">
        <v>82</v>
      </c>
      <c r="J136" s="119" t="s">
        <v>83</v>
      </c>
      <c r="K136" s="114" t="s">
        <v>84</v>
      </c>
      <c r="L136" s="120" t="s">
        <v>85</v>
      </c>
      <c r="M136" s="121"/>
      <c r="N136" s="5"/>
      <c r="O136" s="2"/>
      <c r="P136" s="27"/>
      <c r="Q136" s="26"/>
      <c r="R136" s="28"/>
    </row>
    <row r="137" spans="1:22" ht="30" customHeight="1" x14ac:dyDescent="0.45">
      <c r="A137" s="122" t="s">
        <v>86</v>
      </c>
      <c r="B137" s="1291" t="s">
        <v>87</v>
      </c>
      <c r="C137" s="1292"/>
      <c r="D137" s="1293"/>
      <c r="E137" s="123">
        <v>20</v>
      </c>
      <c r="F137" s="124" t="s">
        <v>88</v>
      </c>
      <c r="G137" s="124">
        <v>34601.3643508397</v>
      </c>
      <c r="H137" s="124">
        <v>11704.404123304599</v>
      </c>
      <c r="I137" s="124">
        <v>0</v>
      </c>
      <c r="J137" s="124">
        <v>0</v>
      </c>
      <c r="K137" s="125">
        <v>46305.768474144301</v>
      </c>
      <c r="L137" s="124" t="s">
        <v>88</v>
      </c>
      <c r="M137" s="121"/>
      <c r="N137" s="5"/>
      <c r="O137" s="2"/>
      <c r="P137" s="27"/>
      <c r="Q137" s="26"/>
      <c r="R137" s="28"/>
    </row>
    <row r="138" spans="1:22" ht="30" customHeight="1" x14ac:dyDescent="0.45">
      <c r="A138" s="122" t="s">
        <v>89</v>
      </c>
      <c r="B138" s="1291" t="s">
        <v>90</v>
      </c>
      <c r="C138" s="1292"/>
      <c r="D138" s="1293"/>
      <c r="E138" s="123">
        <v>2</v>
      </c>
      <c r="F138" s="124" t="s">
        <v>88</v>
      </c>
      <c r="G138" s="124">
        <v>39843.061081220003</v>
      </c>
      <c r="H138" s="124">
        <v>14040.548259855401</v>
      </c>
      <c r="I138" s="124">
        <v>80.145551682982699</v>
      </c>
      <c r="J138" s="124">
        <v>0</v>
      </c>
      <c r="K138" s="125">
        <v>53963.754892758298</v>
      </c>
      <c r="L138" s="124" t="s">
        <v>88</v>
      </c>
      <c r="M138" s="121"/>
      <c r="N138" s="5"/>
      <c r="O138" s="2"/>
      <c r="P138" s="27"/>
      <c r="Q138" s="26"/>
      <c r="R138" s="28"/>
    </row>
    <row r="139" spans="1:22" ht="30" customHeight="1" x14ac:dyDescent="0.45">
      <c r="A139" s="122" t="s">
        <v>91</v>
      </c>
      <c r="B139" s="1291" t="s">
        <v>92</v>
      </c>
      <c r="C139" s="1292"/>
      <c r="D139" s="1293"/>
      <c r="E139" s="123">
        <v>2</v>
      </c>
      <c r="F139" s="124" t="s">
        <v>88</v>
      </c>
      <c r="G139" s="124">
        <v>34109.401824524401</v>
      </c>
      <c r="H139" s="124">
        <v>4424.6269122965896</v>
      </c>
      <c r="I139" s="124">
        <v>1384.1999198655601</v>
      </c>
      <c r="J139" s="124">
        <v>0</v>
      </c>
      <c r="K139" s="125">
        <v>39918.228656686602</v>
      </c>
      <c r="L139" s="124" t="s">
        <v>88</v>
      </c>
      <c r="M139" s="121"/>
      <c r="N139" s="5"/>
      <c r="O139" s="2"/>
      <c r="P139" s="27"/>
      <c r="Q139" s="26"/>
      <c r="R139" s="28"/>
    </row>
    <row r="140" spans="1:22" ht="30" customHeight="1" x14ac:dyDescent="0.45">
      <c r="A140" s="122" t="s">
        <v>93</v>
      </c>
      <c r="B140" s="1291" t="s">
        <v>94</v>
      </c>
      <c r="C140" s="1292"/>
      <c r="D140" s="1293"/>
      <c r="E140" s="123">
        <v>1</v>
      </c>
      <c r="F140" s="124" t="s">
        <v>88</v>
      </c>
      <c r="G140" s="124">
        <v>6931.7519957819604</v>
      </c>
      <c r="H140" s="124">
        <v>3577.5549892413801</v>
      </c>
      <c r="I140" s="124">
        <v>0</v>
      </c>
      <c r="J140" s="124">
        <v>0</v>
      </c>
      <c r="K140" s="125">
        <v>10509.306985023301</v>
      </c>
      <c r="L140" s="124" t="s">
        <v>88</v>
      </c>
      <c r="M140" s="121"/>
      <c r="N140" s="5"/>
      <c r="O140" s="2"/>
      <c r="P140" s="27"/>
      <c r="Q140" s="26"/>
      <c r="R140" s="28"/>
    </row>
    <row r="141" spans="1:22" ht="30" customHeight="1" x14ac:dyDescent="0.45">
      <c r="A141" s="122" t="s">
        <v>95</v>
      </c>
      <c r="B141" s="1291" t="s">
        <v>96</v>
      </c>
      <c r="C141" s="1292"/>
      <c r="D141" s="1293"/>
      <c r="E141" s="123">
        <v>1</v>
      </c>
      <c r="F141" s="124" t="s">
        <v>88</v>
      </c>
      <c r="G141" s="124">
        <v>83609.4672260761</v>
      </c>
      <c r="H141" s="124">
        <v>9438.5324616963098</v>
      </c>
      <c r="I141" s="124">
        <v>1.67398977946168</v>
      </c>
      <c r="J141" s="124">
        <v>0</v>
      </c>
      <c r="K141" s="125">
        <v>93049.673677551895</v>
      </c>
      <c r="L141" s="124" t="s">
        <v>88</v>
      </c>
      <c r="M141" s="121"/>
      <c r="N141" s="5"/>
      <c r="O141" s="2"/>
      <c r="P141" s="27"/>
      <c r="Q141" s="26"/>
      <c r="R141" s="28"/>
    </row>
    <row r="142" spans="1:22" ht="30" customHeight="1" x14ac:dyDescent="0.45">
      <c r="A142" s="122" t="s">
        <v>97</v>
      </c>
      <c r="B142" s="1291" t="s">
        <v>98</v>
      </c>
      <c r="C142" s="1292"/>
      <c r="D142" s="1293"/>
      <c r="E142" s="123">
        <v>3065.93</v>
      </c>
      <c r="F142" s="124" t="s">
        <v>8</v>
      </c>
      <c r="G142" s="124">
        <v>0</v>
      </c>
      <c r="H142" s="124">
        <v>1489.38981187176</v>
      </c>
      <c r="I142" s="124">
        <v>1875.9641548127699</v>
      </c>
      <c r="J142" s="124">
        <v>0</v>
      </c>
      <c r="K142" s="125">
        <v>3365.35396668453</v>
      </c>
      <c r="L142" s="124" t="s">
        <v>8</v>
      </c>
      <c r="M142" s="121"/>
      <c r="N142" s="5"/>
      <c r="O142" s="2"/>
      <c r="P142" s="27"/>
      <c r="Q142" s="26"/>
      <c r="R142" s="28"/>
    </row>
    <row r="143" spans="1:22" ht="30" customHeight="1" x14ac:dyDescent="0.45">
      <c r="A143" s="122" t="s">
        <v>99</v>
      </c>
      <c r="B143" s="1291" t="s">
        <v>100</v>
      </c>
      <c r="C143" s="1292"/>
      <c r="D143" s="1293"/>
      <c r="E143" s="123">
        <v>850.55</v>
      </c>
      <c r="F143" s="124" t="s">
        <v>29</v>
      </c>
      <c r="G143" s="124">
        <v>33475.098140595299</v>
      </c>
      <c r="H143" s="124">
        <v>0</v>
      </c>
      <c r="I143" s="124">
        <v>0</v>
      </c>
      <c r="J143" s="124">
        <v>0</v>
      </c>
      <c r="K143" s="125">
        <v>33475.098140595299</v>
      </c>
      <c r="L143" s="124" t="s">
        <v>29</v>
      </c>
      <c r="M143" s="121"/>
      <c r="N143" s="5"/>
      <c r="O143" s="2"/>
      <c r="P143" s="27"/>
      <c r="Q143" s="26"/>
      <c r="R143" s="28"/>
    </row>
    <row r="144" spans="1:22" ht="30" customHeight="1" x14ac:dyDescent="0.45">
      <c r="A144" s="122" t="s">
        <v>101</v>
      </c>
      <c r="B144" s="1291" t="s">
        <v>102</v>
      </c>
      <c r="C144" s="1292"/>
      <c r="D144" s="1293"/>
      <c r="E144" s="123">
        <v>2442</v>
      </c>
      <c r="F144" s="124" t="s">
        <v>8</v>
      </c>
      <c r="G144" s="124">
        <v>8890.1564205377308</v>
      </c>
      <c r="H144" s="124">
        <v>1242.61200735529</v>
      </c>
      <c r="I144" s="124">
        <v>1733.46424015106</v>
      </c>
      <c r="J144" s="124">
        <v>0</v>
      </c>
      <c r="K144" s="125">
        <v>11866.2326680441</v>
      </c>
      <c r="L144" s="124" t="s">
        <v>8</v>
      </c>
      <c r="M144" s="121"/>
      <c r="N144" s="5"/>
      <c r="O144" s="2"/>
      <c r="P144" s="27"/>
      <c r="Q144" s="26"/>
      <c r="R144" s="28"/>
    </row>
    <row r="145" spans="1:20" ht="30" customHeight="1" x14ac:dyDescent="0.45">
      <c r="A145" s="122" t="s">
        <v>103</v>
      </c>
      <c r="B145" s="1291" t="s">
        <v>104</v>
      </c>
      <c r="C145" s="1292"/>
      <c r="D145" s="1293"/>
      <c r="E145" s="123">
        <v>2442</v>
      </c>
      <c r="F145" s="124" t="s">
        <v>8</v>
      </c>
      <c r="G145" s="124">
        <v>22189.750334162902</v>
      </c>
      <c r="H145" s="124">
        <v>43585.627348227797</v>
      </c>
      <c r="I145" s="124">
        <v>20056.0998752501</v>
      </c>
      <c r="J145" s="124">
        <v>0</v>
      </c>
      <c r="K145" s="125">
        <v>85831.477557640799</v>
      </c>
      <c r="L145" s="124" t="s">
        <v>8</v>
      </c>
      <c r="M145" s="121"/>
      <c r="N145" s="5"/>
      <c r="O145" s="2"/>
      <c r="P145" s="27"/>
      <c r="Q145" s="26"/>
      <c r="R145" s="28"/>
    </row>
    <row r="146" spans="1:20" ht="30" customHeight="1" x14ac:dyDescent="0.45">
      <c r="A146" s="122" t="s">
        <v>105</v>
      </c>
      <c r="B146" s="1291" t="s">
        <v>106</v>
      </c>
      <c r="C146" s="1292"/>
      <c r="D146" s="1293"/>
      <c r="E146" s="123">
        <v>2442</v>
      </c>
      <c r="F146" s="124" t="s">
        <v>8</v>
      </c>
      <c r="G146" s="124">
        <v>0</v>
      </c>
      <c r="H146" s="124">
        <v>14327.157726338401</v>
      </c>
      <c r="I146" s="124">
        <v>34272.9481434185</v>
      </c>
      <c r="J146" s="124">
        <v>0</v>
      </c>
      <c r="K146" s="125">
        <v>48600.105869756902</v>
      </c>
      <c r="L146" s="124" t="s">
        <v>8</v>
      </c>
      <c r="M146" s="121"/>
      <c r="N146" s="5"/>
      <c r="O146" s="2"/>
      <c r="P146" s="27"/>
      <c r="Q146" s="26"/>
      <c r="R146" s="28"/>
    </row>
    <row r="147" spans="1:20" ht="30" customHeight="1" x14ac:dyDescent="0.45">
      <c r="A147" s="122" t="s">
        <v>107</v>
      </c>
      <c r="B147" s="1291" t="s">
        <v>108</v>
      </c>
      <c r="C147" s="1292"/>
      <c r="D147" s="1293"/>
      <c r="E147" s="123">
        <v>644.39</v>
      </c>
      <c r="F147" s="124" t="s">
        <v>29</v>
      </c>
      <c r="G147" s="124">
        <v>118563.883892276</v>
      </c>
      <c r="H147" s="124">
        <v>0</v>
      </c>
      <c r="I147" s="124">
        <v>0</v>
      </c>
      <c r="J147" s="124">
        <v>0</v>
      </c>
      <c r="K147" s="125">
        <v>118563.883892276</v>
      </c>
      <c r="L147" s="124" t="s">
        <v>29</v>
      </c>
      <c r="M147" s="121"/>
      <c r="N147" s="5"/>
      <c r="O147" s="2"/>
      <c r="P147" s="27"/>
      <c r="Q147" s="26"/>
      <c r="R147" s="28"/>
    </row>
    <row r="148" spans="1:20" ht="30" customHeight="1" x14ac:dyDescent="0.45">
      <c r="A148" s="122" t="s">
        <v>109</v>
      </c>
      <c r="B148" s="1291" t="s">
        <v>110</v>
      </c>
      <c r="C148" s="1292"/>
      <c r="D148" s="1293"/>
      <c r="E148" s="123">
        <v>644.39</v>
      </c>
      <c r="F148" s="124" t="s">
        <v>29</v>
      </c>
      <c r="G148" s="124">
        <v>0</v>
      </c>
      <c r="H148" s="124">
        <v>581.21833789190703</v>
      </c>
      <c r="I148" s="124">
        <v>2169.6454457682298</v>
      </c>
      <c r="J148" s="124">
        <v>0</v>
      </c>
      <c r="K148" s="125">
        <v>2750.8637836601401</v>
      </c>
      <c r="L148" s="124" t="s">
        <v>29</v>
      </c>
      <c r="M148" s="121"/>
      <c r="N148" s="5"/>
      <c r="O148" s="2"/>
      <c r="P148" s="27"/>
      <c r="Q148" s="26"/>
      <c r="R148" s="28"/>
    </row>
    <row r="149" spans="1:20" ht="30" customHeight="1" x14ac:dyDescent="0.45">
      <c r="A149" s="122" t="s">
        <v>111</v>
      </c>
      <c r="B149" s="1291" t="s">
        <v>112</v>
      </c>
      <c r="C149" s="1292"/>
      <c r="D149" s="1293"/>
      <c r="E149" s="123">
        <v>1050.06</v>
      </c>
      <c r="F149" s="124" t="s">
        <v>113</v>
      </c>
      <c r="G149" s="124">
        <v>1911.38363041561</v>
      </c>
      <c r="H149" s="124">
        <v>5248.1234295320401</v>
      </c>
      <c r="I149" s="124">
        <v>0</v>
      </c>
      <c r="J149" s="124">
        <v>0</v>
      </c>
      <c r="K149" s="125">
        <v>7159.5070599476603</v>
      </c>
      <c r="L149" s="124" t="s">
        <v>113</v>
      </c>
      <c r="M149" s="121"/>
      <c r="N149" s="5"/>
      <c r="O149" s="2"/>
      <c r="P149" s="27"/>
      <c r="Q149" s="26"/>
      <c r="R149" s="28"/>
    </row>
    <row r="150" spans="1:20" ht="30" customHeight="1" x14ac:dyDescent="0.45">
      <c r="A150" s="122" t="s">
        <v>114</v>
      </c>
      <c r="B150" s="1291" t="s">
        <v>115</v>
      </c>
      <c r="C150" s="1292"/>
      <c r="D150" s="1293"/>
      <c r="E150" s="123">
        <v>1269.8399999999999</v>
      </c>
      <c r="F150" s="124" t="s">
        <v>113</v>
      </c>
      <c r="G150" s="124">
        <v>2311.44066933981</v>
      </c>
      <c r="H150" s="124">
        <v>6346.5678682713096</v>
      </c>
      <c r="I150" s="124">
        <v>0</v>
      </c>
      <c r="J150" s="124">
        <v>0</v>
      </c>
      <c r="K150" s="125">
        <v>8658.0085376111201</v>
      </c>
      <c r="L150" s="124" t="s">
        <v>113</v>
      </c>
      <c r="M150" s="121"/>
      <c r="N150" s="5"/>
      <c r="O150" s="2"/>
      <c r="P150" s="27"/>
      <c r="Q150" s="26"/>
      <c r="R150" s="28"/>
    </row>
    <row r="151" spans="1:20" ht="30" customHeight="1" x14ac:dyDescent="0.45">
      <c r="A151" s="122" t="s">
        <v>116</v>
      </c>
      <c r="B151" s="1291" t="s">
        <v>117</v>
      </c>
      <c r="C151" s="1292"/>
      <c r="D151" s="1293"/>
      <c r="E151" s="123">
        <v>244.2</v>
      </c>
      <c r="F151" s="124" t="s">
        <v>113</v>
      </c>
      <c r="G151" s="124">
        <v>860.98361730432998</v>
      </c>
      <c r="H151" s="124">
        <v>3984.8063420047501</v>
      </c>
      <c r="I151" s="124">
        <v>0</v>
      </c>
      <c r="J151" s="124">
        <v>0</v>
      </c>
      <c r="K151" s="125">
        <v>4845.7899593090797</v>
      </c>
      <c r="L151" s="124" t="s">
        <v>113</v>
      </c>
      <c r="M151" s="121"/>
      <c r="N151" s="5"/>
      <c r="O151" s="2"/>
      <c r="P151" s="27"/>
      <c r="Q151" s="26"/>
      <c r="R151" s="28"/>
    </row>
    <row r="152" spans="1:20" ht="30" customHeight="1" x14ac:dyDescent="0.45">
      <c r="A152" s="1466" t="s">
        <v>118</v>
      </c>
      <c r="B152" s="1467"/>
      <c r="C152" s="1467"/>
      <c r="D152" s="1467"/>
      <c r="E152" s="126"/>
      <c r="F152" s="126"/>
      <c r="G152" s="126"/>
      <c r="H152" s="126"/>
      <c r="I152" s="126"/>
      <c r="J152" s="124" t="s">
        <v>38</v>
      </c>
      <c r="K152" s="125">
        <f>SUM(K137:K151)</f>
        <v>568863.05412168999</v>
      </c>
      <c r="L152" s="16" t="s">
        <v>119</v>
      </c>
      <c r="M152" s="25"/>
      <c r="N152" s="5"/>
      <c r="O152" s="2"/>
      <c r="P152" s="27"/>
      <c r="Q152" s="26"/>
      <c r="R152" s="28"/>
    </row>
    <row r="153" spans="1:20" ht="30" customHeight="1" thickBot="1" x14ac:dyDescent="0.5">
      <c r="A153" s="1468"/>
      <c r="B153" s="1468"/>
      <c r="C153" s="1468"/>
      <c r="D153" s="1468"/>
      <c r="E153" s="127"/>
      <c r="F153" s="78"/>
      <c r="G153" s="1296"/>
      <c r="H153" s="1297"/>
      <c r="I153" s="78"/>
      <c r="J153" s="128" t="s">
        <v>39</v>
      </c>
      <c r="K153" s="129">
        <f>K152/H135</f>
        <v>292.39213884090111</v>
      </c>
      <c r="L153" s="124" t="s">
        <v>8</v>
      </c>
      <c r="M153" s="25"/>
      <c r="O153" s="2"/>
      <c r="P153" s="27"/>
      <c r="Q153" s="26"/>
      <c r="R153" s="28"/>
    </row>
    <row r="154" spans="1:20" ht="30" customHeight="1" thickBot="1" x14ac:dyDescent="0.5">
      <c r="A154" s="999"/>
      <c r="B154" s="1000"/>
      <c r="C154" s="1000"/>
      <c r="D154" s="1000"/>
      <c r="E154" s="1000"/>
      <c r="F154" s="1000"/>
      <c r="G154" s="1000"/>
      <c r="H154" s="1000"/>
      <c r="I154" s="1000"/>
      <c r="J154" s="1000"/>
      <c r="K154" s="1000"/>
      <c r="L154" s="1001"/>
      <c r="S154" s="41"/>
      <c r="T154" s="41"/>
    </row>
    <row r="155" spans="1:20" ht="30" customHeight="1" x14ac:dyDescent="0.45">
      <c r="A155" s="9" t="s">
        <v>4</v>
      </c>
      <c r="B155" s="10">
        <v>1211</v>
      </c>
      <c r="C155" s="983" t="s">
        <v>120</v>
      </c>
      <c r="D155" s="984"/>
      <c r="E155" s="13" t="s">
        <v>7</v>
      </c>
      <c r="F155" s="14" t="s">
        <v>121</v>
      </c>
      <c r="G155" s="11" t="s">
        <v>122</v>
      </c>
      <c r="H155" s="130">
        <v>16</v>
      </c>
      <c r="I155" s="13" t="s">
        <v>9</v>
      </c>
      <c r="J155" s="1155" t="s">
        <v>123</v>
      </c>
      <c r="K155" s="1156"/>
      <c r="L155" s="1127"/>
      <c r="M155" s="84"/>
      <c r="N155" s="131"/>
      <c r="S155" s="41"/>
      <c r="T155" s="41"/>
    </row>
    <row r="156" spans="1:20" ht="30" customHeight="1" x14ac:dyDescent="0.45">
      <c r="A156" s="19" t="s">
        <v>77</v>
      </c>
      <c r="B156" s="1005" t="s">
        <v>12</v>
      </c>
      <c r="C156" s="1005"/>
      <c r="D156" s="1005"/>
      <c r="E156" s="19" t="s">
        <v>78</v>
      </c>
      <c r="F156" s="19" t="s">
        <v>79</v>
      </c>
      <c r="G156" s="132" t="s">
        <v>80</v>
      </c>
      <c r="H156" s="132" t="s">
        <v>81</v>
      </c>
      <c r="I156" s="132" t="s">
        <v>82</v>
      </c>
      <c r="J156" s="119" t="s">
        <v>83</v>
      </c>
      <c r="K156" s="133" t="s">
        <v>84</v>
      </c>
      <c r="L156" s="85"/>
      <c r="N156" s="131"/>
      <c r="S156" s="41"/>
      <c r="T156" s="41"/>
    </row>
    <row r="157" spans="1:20" ht="30" customHeight="1" x14ac:dyDescent="0.45">
      <c r="A157" s="134" t="s">
        <v>124</v>
      </c>
      <c r="B157" s="994" t="s">
        <v>125</v>
      </c>
      <c r="C157" s="994"/>
      <c r="D157" s="994"/>
      <c r="E157" s="135">
        <v>17</v>
      </c>
      <c r="F157" s="38" t="s">
        <v>88</v>
      </c>
      <c r="G157" s="39">
        <v>43231.127651158597</v>
      </c>
      <c r="H157" s="39">
        <v>17694.168653188601</v>
      </c>
      <c r="I157" s="39">
        <v>0</v>
      </c>
      <c r="J157" s="136">
        <v>0</v>
      </c>
      <c r="K157" s="39">
        <v>60925.296304347197</v>
      </c>
      <c r="L157" s="38" t="s">
        <v>88</v>
      </c>
      <c r="M157" s="25"/>
      <c r="N157" s="131"/>
      <c r="S157" s="41"/>
      <c r="T157" s="41"/>
    </row>
    <row r="158" spans="1:20" ht="30" customHeight="1" x14ac:dyDescent="0.45">
      <c r="A158" s="38" t="s">
        <v>126</v>
      </c>
      <c r="B158" s="1469" t="s">
        <v>127</v>
      </c>
      <c r="C158" s="1470"/>
      <c r="D158" s="1471"/>
      <c r="E158" s="53">
        <v>1160</v>
      </c>
      <c r="F158" s="38" t="s">
        <v>113</v>
      </c>
      <c r="G158" s="39">
        <v>177221.99616229601</v>
      </c>
      <c r="H158" s="39">
        <v>63000.520125268697</v>
      </c>
      <c r="I158" s="39">
        <v>890.81715193743605</v>
      </c>
      <c r="J158" s="136">
        <v>0</v>
      </c>
      <c r="K158" s="39">
        <v>241113.33343950199</v>
      </c>
      <c r="L158" s="38" t="s">
        <v>113</v>
      </c>
      <c r="M158" s="25"/>
      <c r="S158" s="41"/>
      <c r="T158" s="41"/>
    </row>
    <row r="159" spans="1:20" ht="30" customHeight="1" x14ac:dyDescent="0.45">
      <c r="A159" s="38" t="s">
        <v>128</v>
      </c>
      <c r="B159" s="1469" t="s">
        <v>129</v>
      </c>
      <c r="C159" s="1470"/>
      <c r="D159" s="1471"/>
      <c r="E159" s="53">
        <v>1160</v>
      </c>
      <c r="F159" s="38" t="s">
        <v>113</v>
      </c>
      <c r="G159" s="39">
        <v>933.75030236048497</v>
      </c>
      <c r="H159" s="39">
        <v>1533.66181877035</v>
      </c>
      <c r="I159" s="39">
        <v>0</v>
      </c>
      <c r="J159" s="136">
        <v>0</v>
      </c>
      <c r="K159" s="39">
        <v>2467.4121211308402</v>
      </c>
      <c r="L159" s="38" t="s">
        <v>113</v>
      </c>
      <c r="M159" s="84"/>
      <c r="S159" s="41"/>
      <c r="T159" s="41"/>
    </row>
    <row r="160" spans="1:20" ht="30" customHeight="1" x14ac:dyDescent="0.45">
      <c r="A160" s="38" t="s">
        <v>130</v>
      </c>
      <c r="B160" s="1469" t="s">
        <v>131</v>
      </c>
      <c r="C160" s="1470"/>
      <c r="D160" s="1471"/>
      <c r="E160" s="53">
        <v>3</v>
      </c>
      <c r="F160" s="38" t="s">
        <v>88</v>
      </c>
      <c r="G160" s="39">
        <v>1286.28868182312</v>
      </c>
      <c r="H160" s="39">
        <v>277.555514646787</v>
      </c>
      <c r="I160" s="39">
        <v>0</v>
      </c>
      <c r="J160" s="136">
        <v>0</v>
      </c>
      <c r="K160" s="39">
        <v>1563.8441964699</v>
      </c>
      <c r="L160" s="38" t="s">
        <v>88</v>
      </c>
    </row>
    <row r="161" spans="1:34" ht="30" customHeight="1" x14ac:dyDescent="0.45">
      <c r="A161" s="38" t="s">
        <v>132</v>
      </c>
      <c r="B161" s="1472" t="s">
        <v>133</v>
      </c>
      <c r="C161" s="1473"/>
      <c r="D161" s="1474"/>
      <c r="E161" s="53">
        <v>1160</v>
      </c>
      <c r="F161" s="38" t="s">
        <v>113</v>
      </c>
      <c r="G161" s="39">
        <v>12538.9326316979</v>
      </c>
      <c r="H161" s="39">
        <v>34961.971796661797</v>
      </c>
      <c r="I161" s="39">
        <v>0</v>
      </c>
      <c r="J161" s="136">
        <v>0</v>
      </c>
      <c r="K161" s="39">
        <v>47500.904428359703</v>
      </c>
      <c r="L161" s="38" t="s">
        <v>113</v>
      </c>
      <c r="M161" s="25"/>
    </row>
    <row r="162" spans="1:34" ht="30" customHeight="1" x14ac:dyDescent="0.45">
      <c r="A162" s="38" t="s">
        <v>134</v>
      </c>
      <c r="B162" s="994" t="s">
        <v>135</v>
      </c>
      <c r="C162" s="994"/>
      <c r="D162" s="994"/>
      <c r="E162" s="53">
        <v>9040</v>
      </c>
      <c r="F162" s="38" t="s">
        <v>29</v>
      </c>
      <c r="G162" s="39">
        <v>0</v>
      </c>
      <c r="H162" s="39">
        <v>1471517.0825453401</v>
      </c>
      <c r="I162" s="39">
        <v>939346.900908196</v>
      </c>
      <c r="J162" s="136">
        <v>0</v>
      </c>
      <c r="K162" s="39">
        <v>2410863.9834535401</v>
      </c>
      <c r="L162" s="38" t="s">
        <v>29</v>
      </c>
      <c r="M162" s="25"/>
      <c r="S162" s="41"/>
      <c r="T162" s="41"/>
    </row>
    <row r="163" spans="1:34" ht="30" customHeight="1" x14ac:dyDescent="0.45">
      <c r="A163" s="38" t="s">
        <v>136</v>
      </c>
      <c r="B163" s="994" t="s">
        <v>137</v>
      </c>
      <c r="C163" s="994"/>
      <c r="D163" s="994"/>
      <c r="E163" s="53">
        <v>9040</v>
      </c>
      <c r="F163" s="38" t="s">
        <v>29</v>
      </c>
      <c r="G163" s="39">
        <v>3333968.26818184</v>
      </c>
      <c r="H163" s="39">
        <v>100038.995734896</v>
      </c>
      <c r="I163" s="39">
        <v>86853.705808889295</v>
      </c>
      <c r="J163" s="136">
        <v>0</v>
      </c>
      <c r="K163" s="39">
        <v>3520860.9697256298</v>
      </c>
      <c r="L163" s="38" t="s">
        <v>29</v>
      </c>
      <c r="M163" s="84"/>
      <c r="S163" s="90"/>
      <c r="T163" s="90"/>
    </row>
    <row r="164" spans="1:34" ht="30" customHeight="1" x14ac:dyDescent="0.45">
      <c r="A164" s="38" t="s">
        <v>138</v>
      </c>
      <c r="B164" s="994" t="s">
        <v>139</v>
      </c>
      <c r="C164" s="994"/>
      <c r="D164" s="994"/>
      <c r="E164" s="53">
        <v>17</v>
      </c>
      <c r="F164" s="38" t="s">
        <v>88</v>
      </c>
      <c r="G164" s="39">
        <v>174223.438428041</v>
      </c>
      <c r="H164" s="39">
        <v>42327.222794240297</v>
      </c>
      <c r="I164" s="39">
        <v>0</v>
      </c>
      <c r="J164" s="136">
        <v>0</v>
      </c>
      <c r="K164" s="39">
        <v>216550.66122228201</v>
      </c>
      <c r="L164" s="38" t="s">
        <v>88</v>
      </c>
      <c r="S164" s="41"/>
      <c r="T164" s="41"/>
    </row>
    <row r="165" spans="1:34" ht="30" customHeight="1" x14ac:dyDescent="0.45">
      <c r="A165" s="38" t="s">
        <v>140</v>
      </c>
      <c r="B165" s="994" t="s">
        <v>141</v>
      </c>
      <c r="C165" s="994"/>
      <c r="D165" s="994"/>
      <c r="E165" s="53">
        <v>1160</v>
      </c>
      <c r="F165" s="38" t="s">
        <v>113</v>
      </c>
      <c r="G165" s="39">
        <v>12195.9223165451</v>
      </c>
      <c r="H165" s="39">
        <v>19684.543173836399</v>
      </c>
      <c r="I165" s="39">
        <v>3540.90378195933</v>
      </c>
      <c r="J165" s="136">
        <v>0</v>
      </c>
      <c r="K165" s="39">
        <v>35421.369272340897</v>
      </c>
      <c r="L165" s="38" t="s">
        <v>113</v>
      </c>
      <c r="M165" s="25"/>
      <c r="N165" s="111"/>
      <c r="U165" s="41"/>
      <c r="V165" s="41"/>
    </row>
    <row r="166" spans="1:34" ht="30" customHeight="1" x14ac:dyDescent="0.45">
      <c r="A166" s="38" t="s">
        <v>142</v>
      </c>
      <c r="B166" s="1117" t="s">
        <v>143</v>
      </c>
      <c r="C166" s="1117"/>
      <c r="D166" s="1118"/>
      <c r="E166" s="53">
        <v>17</v>
      </c>
      <c r="F166" s="38" t="s">
        <v>88</v>
      </c>
      <c r="G166" s="39">
        <v>233191.16013383301</v>
      </c>
      <c r="H166" s="39">
        <v>49968.078662637599</v>
      </c>
      <c r="I166" s="39">
        <v>12170.696318497699</v>
      </c>
      <c r="J166" s="136">
        <v>0</v>
      </c>
      <c r="K166" s="39">
        <v>295329.93511496898</v>
      </c>
      <c r="L166" s="38" t="s">
        <v>88</v>
      </c>
      <c r="M166" s="25"/>
      <c r="S166" s="41"/>
      <c r="T166" s="41"/>
    </row>
    <row r="167" spans="1:34" ht="30" customHeight="1" x14ac:dyDescent="0.45">
      <c r="A167" s="977" t="s">
        <v>144</v>
      </c>
      <c r="B167" s="978"/>
      <c r="C167" s="978"/>
      <c r="D167" s="979"/>
      <c r="E167" s="140"/>
      <c r="F167" s="38"/>
      <c r="G167" s="58"/>
      <c r="I167" s="14"/>
      <c r="J167" s="141" t="s">
        <v>145</v>
      </c>
      <c r="K167" s="142">
        <f>SUM(K157:K166)</f>
        <v>6832597.7092785705</v>
      </c>
      <c r="L167" s="16" t="s">
        <v>119</v>
      </c>
      <c r="M167" s="143"/>
      <c r="S167" s="41"/>
      <c r="T167" s="41"/>
    </row>
    <row r="168" spans="1:34" ht="30" customHeight="1" x14ac:dyDescent="0.45">
      <c r="A168" s="1365"/>
      <c r="B168" s="1366"/>
      <c r="C168" s="1366"/>
      <c r="D168" s="1367"/>
      <c r="E168" s="58"/>
      <c r="F168" s="58"/>
      <c r="G168" s="58"/>
      <c r="H168" s="58"/>
      <c r="I168" s="54"/>
      <c r="J168" s="29" t="s">
        <v>146</v>
      </c>
      <c r="K168" s="145">
        <f>+K167/H155</f>
        <v>427037.35682991066</v>
      </c>
      <c r="L168" s="38" t="s">
        <v>121</v>
      </c>
      <c r="N168" s="146"/>
      <c r="O168" s="147"/>
      <c r="P168" s="147"/>
      <c r="Q168" s="101"/>
      <c r="R168" s="18"/>
      <c r="S168" s="111"/>
      <c r="T168" s="148"/>
      <c r="U168" s="101"/>
      <c r="V168" s="149"/>
      <c r="W168" s="111"/>
      <c r="X168" s="111"/>
      <c r="Y168" s="25"/>
      <c r="Z168" s="111"/>
      <c r="AA168" s="3"/>
      <c r="AG168" s="41"/>
      <c r="AH168" s="41"/>
    </row>
    <row r="169" spans="1:34" ht="30" customHeight="1" thickBot="1" x14ac:dyDescent="0.5">
      <c r="A169" s="1365"/>
      <c r="B169" s="1366"/>
      <c r="C169" s="1366"/>
      <c r="D169" s="1367"/>
      <c r="E169" s="150"/>
      <c r="F169" s="150"/>
      <c r="G169" s="150"/>
      <c r="H169" s="150"/>
      <c r="I169" s="150"/>
      <c r="J169" s="151" t="s">
        <v>39</v>
      </c>
      <c r="K169" s="152">
        <f>+K168</f>
        <v>427037.35682991066</v>
      </c>
      <c r="L169" s="65" t="s">
        <v>121</v>
      </c>
      <c r="M169" s="153"/>
      <c r="N169" s="112"/>
      <c r="S169" s="41"/>
      <c r="T169" s="41"/>
    </row>
    <row r="170" spans="1:34" ht="30" customHeight="1" thickBot="1" x14ac:dyDescent="0.5">
      <c r="A170" s="999"/>
      <c r="B170" s="1000"/>
      <c r="C170" s="1000"/>
      <c r="D170" s="1000"/>
      <c r="E170" s="1000"/>
      <c r="F170" s="1000"/>
      <c r="G170" s="1000"/>
      <c r="H170" s="1000"/>
      <c r="I170" s="1000"/>
      <c r="J170" s="1000"/>
      <c r="K170" s="1000"/>
      <c r="L170" s="1001"/>
      <c r="M170" s="25"/>
      <c r="S170" s="41"/>
      <c r="T170" s="41"/>
    </row>
    <row r="171" spans="1:34" ht="30" customHeight="1" x14ac:dyDescent="0.45">
      <c r="A171" s="9" t="s">
        <v>4</v>
      </c>
      <c r="B171" s="10">
        <v>1221</v>
      </c>
      <c r="C171" s="1138" t="s">
        <v>147</v>
      </c>
      <c r="D171" s="1139"/>
      <c r="E171" s="13" t="s">
        <v>7</v>
      </c>
      <c r="F171" s="14" t="s">
        <v>121</v>
      </c>
      <c r="G171" s="11" t="s">
        <v>148</v>
      </c>
      <c r="H171" s="130">
        <v>2</v>
      </c>
      <c r="I171" s="13" t="s">
        <v>9</v>
      </c>
      <c r="J171" s="1155" t="s">
        <v>123</v>
      </c>
      <c r="K171" s="1156"/>
      <c r="L171" s="1127"/>
      <c r="M171" s="84"/>
      <c r="N171" s="26"/>
      <c r="U171" s="41"/>
      <c r="V171" s="41"/>
    </row>
    <row r="172" spans="1:34" ht="30" customHeight="1" x14ac:dyDescent="0.45">
      <c r="A172" s="19" t="s">
        <v>77</v>
      </c>
      <c r="B172" s="1005" t="s">
        <v>12</v>
      </c>
      <c r="C172" s="1005"/>
      <c r="D172" s="1005"/>
      <c r="E172" s="19" t="s">
        <v>78</v>
      </c>
      <c r="F172" s="19" t="s">
        <v>79</v>
      </c>
      <c r="G172" s="132" t="s">
        <v>80</v>
      </c>
      <c r="H172" s="132" t="s">
        <v>81</v>
      </c>
      <c r="I172" s="132" t="s">
        <v>82</v>
      </c>
      <c r="J172" s="119" t="s">
        <v>83</v>
      </c>
      <c r="K172" s="133" t="s">
        <v>84</v>
      </c>
      <c r="L172" s="85"/>
      <c r="S172" s="41"/>
      <c r="T172" s="41"/>
    </row>
    <row r="173" spans="1:34" ht="30" customHeight="1" x14ac:dyDescent="0.45">
      <c r="A173" s="134" t="s">
        <v>124</v>
      </c>
      <c r="B173" s="994" t="s">
        <v>125</v>
      </c>
      <c r="C173" s="994"/>
      <c r="D173" s="994"/>
      <c r="E173" s="135">
        <v>2</v>
      </c>
      <c r="F173" s="38" t="s">
        <v>88</v>
      </c>
      <c r="G173" s="39">
        <v>5086.0150177833602</v>
      </c>
      <c r="H173" s="39">
        <v>2081.6669003751299</v>
      </c>
      <c r="I173" s="39">
        <v>0</v>
      </c>
      <c r="J173" s="136">
        <v>0</v>
      </c>
      <c r="K173" s="39">
        <f>+I173+H173+G173</f>
        <v>7167.6819181584906</v>
      </c>
      <c r="L173" s="38" t="s">
        <v>88</v>
      </c>
      <c r="M173" s="25"/>
      <c r="N173" s="131"/>
      <c r="S173" s="41"/>
      <c r="T173" s="41"/>
    </row>
    <row r="174" spans="1:34" ht="30" customHeight="1" x14ac:dyDescent="0.45">
      <c r="A174" s="38" t="s">
        <v>126</v>
      </c>
      <c r="B174" s="994" t="s">
        <v>127</v>
      </c>
      <c r="C174" s="994"/>
      <c r="D174" s="994"/>
      <c r="E174" s="53">
        <v>420</v>
      </c>
      <c r="F174" s="38" t="s">
        <v>113</v>
      </c>
      <c r="G174" s="39">
        <v>64166.584817383096</v>
      </c>
      <c r="H174" s="39">
        <v>22810.533148804199</v>
      </c>
      <c r="I174" s="39">
        <v>322.53724466700299</v>
      </c>
      <c r="J174" s="136">
        <v>0</v>
      </c>
      <c r="K174" s="39">
        <f t="shared" ref="K174:K183" si="0">+I174+H174+G174</f>
        <v>87299.655210854296</v>
      </c>
      <c r="L174" s="38" t="s">
        <v>113</v>
      </c>
      <c r="M174" s="25"/>
      <c r="N174" s="131"/>
      <c r="S174" s="41"/>
      <c r="T174" s="41"/>
    </row>
    <row r="175" spans="1:34" ht="30" customHeight="1" x14ac:dyDescent="0.45">
      <c r="A175" s="38" t="s">
        <v>128</v>
      </c>
      <c r="B175" s="994" t="s">
        <v>129</v>
      </c>
      <c r="C175" s="994"/>
      <c r="D175" s="994"/>
      <c r="E175" s="53">
        <v>420</v>
      </c>
      <c r="F175" s="38" t="s">
        <v>113</v>
      </c>
      <c r="G175" s="39">
        <v>338.082006027072</v>
      </c>
      <c r="H175" s="39">
        <v>555.29134817547197</v>
      </c>
      <c r="I175" s="39">
        <v>0</v>
      </c>
      <c r="J175" s="136">
        <v>0</v>
      </c>
      <c r="K175" s="39">
        <f t="shared" si="0"/>
        <v>893.37335420254396</v>
      </c>
      <c r="L175" s="38" t="s">
        <v>113</v>
      </c>
      <c r="M175" s="84"/>
      <c r="N175" s="131"/>
      <c r="S175" s="41"/>
      <c r="T175" s="41"/>
    </row>
    <row r="176" spans="1:34" ht="30" customHeight="1" x14ac:dyDescent="0.45">
      <c r="A176" s="38" t="s">
        <v>130</v>
      </c>
      <c r="B176" s="994" t="s">
        <v>131</v>
      </c>
      <c r="C176" s="994"/>
      <c r="D176" s="994"/>
      <c r="E176" s="53">
        <v>4</v>
      </c>
      <c r="F176" s="38" t="s">
        <v>88</v>
      </c>
      <c r="G176" s="39">
        <v>1715.0515757641599</v>
      </c>
      <c r="H176" s="39">
        <v>370.074019529049</v>
      </c>
      <c r="I176" s="39">
        <v>0</v>
      </c>
      <c r="J176" s="136">
        <v>0</v>
      </c>
      <c r="K176" s="39">
        <f t="shared" si="0"/>
        <v>2085.1255952932088</v>
      </c>
      <c r="L176" s="38" t="s">
        <v>88</v>
      </c>
      <c r="S176" s="41"/>
      <c r="T176" s="41"/>
    </row>
    <row r="177" spans="1:22" ht="30" customHeight="1" x14ac:dyDescent="0.45">
      <c r="A177" s="38" t="s">
        <v>132</v>
      </c>
      <c r="B177" s="994" t="s">
        <v>133</v>
      </c>
      <c r="C177" s="994"/>
      <c r="D177" s="994"/>
      <c r="E177" s="53">
        <v>220</v>
      </c>
      <c r="F177" s="38" t="s">
        <v>113</v>
      </c>
      <c r="G177" s="39">
        <v>2378.07343014961</v>
      </c>
      <c r="H177" s="39">
        <v>6630.7187890220703</v>
      </c>
      <c r="I177" s="39">
        <v>0</v>
      </c>
      <c r="J177" s="136">
        <v>0</v>
      </c>
      <c r="K177" s="39">
        <f t="shared" si="0"/>
        <v>9008.7922191716807</v>
      </c>
      <c r="L177" s="38" t="s">
        <v>113</v>
      </c>
      <c r="M177" s="25"/>
      <c r="S177" s="41"/>
      <c r="T177" s="41"/>
    </row>
    <row r="178" spans="1:22" ht="30" customHeight="1" x14ac:dyDescent="0.45">
      <c r="A178" s="38" t="s">
        <v>136</v>
      </c>
      <c r="B178" s="994" t="s">
        <v>137</v>
      </c>
      <c r="C178" s="994" t="s">
        <v>137</v>
      </c>
      <c r="D178" s="994" t="s">
        <v>137</v>
      </c>
      <c r="E178" s="53">
        <v>1260</v>
      </c>
      <c r="F178" s="38" t="s">
        <v>88</v>
      </c>
      <c r="G178" s="39">
        <v>464690.267467823</v>
      </c>
      <c r="H178" s="39">
        <v>13943.4883435806</v>
      </c>
      <c r="I178" s="39">
        <v>12105.715632654899</v>
      </c>
      <c r="J178" s="136">
        <v>0</v>
      </c>
      <c r="K178" s="39">
        <f t="shared" si="0"/>
        <v>490739.47144405846</v>
      </c>
      <c r="L178" s="38" t="s">
        <v>88</v>
      </c>
      <c r="M178" s="25"/>
    </row>
    <row r="179" spans="1:22" ht="30" customHeight="1" x14ac:dyDescent="0.45">
      <c r="A179" s="38" t="s">
        <v>138</v>
      </c>
      <c r="B179" s="994" t="s">
        <v>139</v>
      </c>
      <c r="C179" s="994" t="s">
        <v>139</v>
      </c>
      <c r="D179" s="994" t="s">
        <v>139</v>
      </c>
      <c r="E179" s="53">
        <v>2</v>
      </c>
      <c r="F179" s="38" t="s">
        <v>88</v>
      </c>
      <c r="G179" s="39">
        <v>20496.875109181299</v>
      </c>
      <c r="H179" s="39">
        <v>4979.6732699106196</v>
      </c>
      <c r="I179" s="39">
        <v>0</v>
      </c>
      <c r="J179" s="136">
        <v>0</v>
      </c>
      <c r="K179" s="39">
        <f t="shared" si="0"/>
        <v>25476.548379091917</v>
      </c>
      <c r="L179" s="38" t="s">
        <v>88</v>
      </c>
      <c r="M179" s="121"/>
    </row>
    <row r="180" spans="1:22" ht="30" customHeight="1" x14ac:dyDescent="0.45">
      <c r="A180" s="38" t="s">
        <v>149</v>
      </c>
      <c r="B180" s="994" t="s">
        <v>150</v>
      </c>
      <c r="C180" s="994" t="s">
        <v>150</v>
      </c>
      <c r="D180" s="994" t="s">
        <v>150</v>
      </c>
      <c r="E180" s="53">
        <v>2</v>
      </c>
      <c r="F180" s="38" t="s">
        <v>88</v>
      </c>
      <c r="G180" s="39">
        <v>664876.31000000006</v>
      </c>
      <c r="H180" s="39">
        <v>26588.67</v>
      </c>
      <c r="I180" s="39">
        <v>3268.57</v>
      </c>
      <c r="J180" s="136">
        <v>0</v>
      </c>
      <c r="K180" s="39">
        <f t="shared" si="0"/>
        <v>694733.55</v>
      </c>
      <c r="L180" s="38" t="s">
        <v>88</v>
      </c>
      <c r="M180" s="84"/>
    </row>
    <row r="181" spans="1:22" ht="30" customHeight="1" x14ac:dyDescent="0.45">
      <c r="A181" s="38" t="s">
        <v>151</v>
      </c>
      <c r="B181" s="994" t="s">
        <v>152</v>
      </c>
      <c r="C181" s="994" t="s">
        <v>152</v>
      </c>
      <c r="D181" s="994" t="s">
        <v>152</v>
      </c>
      <c r="E181" s="53">
        <v>2</v>
      </c>
      <c r="F181" s="38" t="s">
        <v>88</v>
      </c>
      <c r="G181" s="39">
        <v>150674.837671541</v>
      </c>
      <c r="H181" s="39">
        <v>22167.5471501518</v>
      </c>
      <c r="I181" s="39">
        <v>2730.8523958856899</v>
      </c>
      <c r="J181" s="136">
        <v>0</v>
      </c>
      <c r="K181" s="39">
        <f t="shared" si="0"/>
        <v>175573.23721757848</v>
      </c>
      <c r="L181" s="38" t="s">
        <v>88</v>
      </c>
      <c r="S181" s="41"/>
      <c r="T181" s="41"/>
    </row>
    <row r="182" spans="1:22" ht="30" customHeight="1" x14ac:dyDescent="0.45">
      <c r="A182" s="38" t="s">
        <v>140</v>
      </c>
      <c r="B182" s="994" t="s">
        <v>153</v>
      </c>
      <c r="C182" s="994" t="s">
        <v>153</v>
      </c>
      <c r="D182" s="994" t="s">
        <v>153</v>
      </c>
      <c r="E182" s="53">
        <v>420</v>
      </c>
      <c r="F182" s="38" t="s">
        <v>113</v>
      </c>
      <c r="G182" s="39">
        <v>4415.7649766801296</v>
      </c>
      <c r="H182" s="39">
        <v>7127.1621836304303</v>
      </c>
      <c r="I182" s="39">
        <v>1282.0513693301</v>
      </c>
      <c r="J182" s="136">
        <v>0</v>
      </c>
      <c r="K182" s="39">
        <f t="shared" si="0"/>
        <v>12824.978529640659</v>
      </c>
      <c r="L182" s="38" t="s">
        <v>113</v>
      </c>
      <c r="M182" s="25"/>
      <c r="S182" s="90"/>
      <c r="T182" s="90"/>
    </row>
    <row r="183" spans="1:22" ht="30" customHeight="1" x14ac:dyDescent="0.45">
      <c r="A183" s="38" t="s">
        <v>142</v>
      </c>
      <c r="B183" s="994" t="s">
        <v>154</v>
      </c>
      <c r="C183" s="994" t="s">
        <v>154</v>
      </c>
      <c r="D183" s="994" t="s">
        <v>154</v>
      </c>
      <c r="E183" s="53">
        <v>2</v>
      </c>
      <c r="F183" s="38" t="s">
        <v>88</v>
      </c>
      <c r="G183" s="66">
        <v>27434.2541333921</v>
      </c>
      <c r="H183" s="66">
        <v>5878.5974897220703</v>
      </c>
      <c r="I183" s="66">
        <v>1431.84662570561</v>
      </c>
      <c r="J183" s="136">
        <v>0</v>
      </c>
      <c r="K183" s="39">
        <f t="shared" si="0"/>
        <v>34744.698248819783</v>
      </c>
      <c r="L183" s="38" t="s">
        <v>88</v>
      </c>
      <c r="M183" s="25"/>
      <c r="S183" s="41"/>
      <c r="T183" s="41"/>
    </row>
    <row r="184" spans="1:22" ht="30" customHeight="1" x14ac:dyDescent="0.45">
      <c r="A184" s="977" t="s">
        <v>144</v>
      </c>
      <c r="B184" s="978"/>
      <c r="C184" s="978"/>
      <c r="D184" s="979"/>
      <c r="E184" s="140"/>
      <c r="F184" s="11"/>
      <c r="G184" s="58"/>
      <c r="H184" s="58"/>
      <c r="I184" s="154"/>
      <c r="J184" s="155" t="s">
        <v>145</v>
      </c>
      <c r="K184" s="142">
        <f>SUM(K173:K183)</f>
        <v>1540547.1121168695</v>
      </c>
      <c r="L184" s="16" t="s">
        <v>119</v>
      </c>
      <c r="M184" s="156"/>
      <c r="N184" s="111"/>
      <c r="U184" s="41"/>
      <c r="V184" s="41"/>
    </row>
    <row r="185" spans="1:22" ht="30" customHeight="1" x14ac:dyDescent="0.45">
      <c r="A185" s="1365"/>
      <c r="B185" s="1366"/>
      <c r="C185" s="1366"/>
      <c r="D185" s="1367"/>
      <c r="E185" s="58"/>
      <c r="F185" s="42"/>
      <c r="G185" s="58"/>
      <c r="H185" s="39"/>
      <c r="I185" s="157"/>
      <c r="J185" s="58"/>
      <c r="K185" s="58"/>
      <c r="L185" s="58"/>
      <c r="N185" s="112"/>
      <c r="S185" s="41"/>
      <c r="T185" s="41"/>
    </row>
    <row r="186" spans="1:22" ht="30" customHeight="1" thickBot="1" x14ac:dyDescent="0.5">
      <c r="A186" s="1365"/>
      <c r="B186" s="1366"/>
      <c r="C186" s="1366"/>
      <c r="D186" s="1367"/>
      <c r="E186" s="150"/>
      <c r="F186" s="150"/>
      <c r="G186" s="158"/>
      <c r="H186" s="158"/>
      <c r="I186" s="158"/>
      <c r="J186" s="159" t="s">
        <v>39</v>
      </c>
      <c r="K186" s="160">
        <f>+K184/H171</f>
        <v>770273.55605843477</v>
      </c>
      <c r="L186" s="65" t="s">
        <v>121</v>
      </c>
      <c r="M186" s="25"/>
      <c r="S186" s="41"/>
      <c r="T186" s="41"/>
    </row>
    <row r="187" spans="1:22" ht="30" customHeight="1" thickBot="1" x14ac:dyDescent="0.5">
      <c r="A187" s="999"/>
      <c r="B187" s="1000"/>
      <c r="C187" s="1000"/>
      <c r="D187" s="1000"/>
      <c r="E187" s="1000"/>
      <c r="F187" s="1000"/>
      <c r="G187" s="1000"/>
      <c r="H187" s="1000"/>
      <c r="I187" s="1000"/>
      <c r="J187" s="1000"/>
      <c r="K187" s="1000"/>
      <c r="L187" s="1001"/>
      <c r="M187" s="25"/>
      <c r="N187" s="26"/>
      <c r="U187" s="41"/>
      <c r="V187" s="41"/>
    </row>
    <row r="188" spans="1:22" ht="30" customHeight="1" x14ac:dyDescent="0.45">
      <c r="A188" s="9" t="s">
        <v>4</v>
      </c>
      <c r="B188" s="10">
        <v>1231</v>
      </c>
      <c r="C188" s="983" t="s">
        <v>155</v>
      </c>
      <c r="D188" s="984"/>
      <c r="E188" s="13" t="s">
        <v>7</v>
      </c>
      <c r="F188" s="14" t="s">
        <v>121</v>
      </c>
      <c r="G188" s="161" t="s">
        <v>148</v>
      </c>
      <c r="H188" s="130">
        <v>2</v>
      </c>
      <c r="I188" s="13" t="s">
        <v>9</v>
      </c>
      <c r="J188" s="1155" t="s">
        <v>123</v>
      </c>
      <c r="K188" s="1156"/>
      <c r="L188" s="1127"/>
      <c r="M188" s="25"/>
      <c r="S188" s="41"/>
      <c r="T188" s="41"/>
    </row>
    <row r="189" spans="1:22" ht="30" customHeight="1" x14ac:dyDescent="0.45">
      <c r="A189" s="114" t="s">
        <v>77</v>
      </c>
      <c r="B189" s="1300" t="s">
        <v>12</v>
      </c>
      <c r="C189" s="1301"/>
      <c r="D189" s="1302"/>
      <c r="E189" s="115" t="s">
        <v>78</v>
      </c>
      <c r="F189" s="116" t="s">
        <v>79</v>
      </c>
      <c r="G189" s="117" t="s">
        <v>80</v>
      </c>
      <c r="H189" s="118" t="s">
        <v>81</v>
      </c>
      <c r="I189" s="118" t="s">
        <v>82</v>
      </c>
      <c r="J189" s="119" t="s">
        <v>83</v>
      </c>
      <c r="K189" s="114" t="s">
        <v>84</v>
      </c>
      <c r="L189" s="120" t="s">
        <v>85</v>
      </c>
      <c r="M189" s="121"/>
      <c r="N189" s="5"/>
      <c r="O189" s="2"/>
      <c r="P189" s="27"/>
      <c r="Q189" s="26"/>
      <c r="R189" s="28"/>
    </row>
    <row r="190" spans="1:22" ht="30" customHeight="1" x14ac:dyDescent="0.45">
      <c r="A190" s="122" t="s">
        <v>156</v>
      </c>
      <c r="B190" s="1291" t="s">
        <v>157</v>
      </c>
      <c r="C190" s="1292"/>
      <c r="D190" s="1293"/>
      <c r="E190" s="123">
        <v>1600</v>
      </c>
      <c r="F190" s="124" t="s">
        <v>35</v>
      </c>
      <c r="G190" s="124">
        <v>9849.5764494381001</v>
      </c>
      <c r="H190" s="124">
        <v>11346.5820566364</v>
      </c>
      <c r="I190" s="124">
        <v>2681.0497666361398</v>
      </c>
      <c r="J190" s="124">
        <v>0</v>
      </c>
      <c r="K190" s="125">
        <f>+I190+H190+G190</f>
        <v>23877.208272710639</v>
      </c>
      <c r="L190" s="124" t="s">
        <v>35</v>
      </c>
      <c r="M190" s="121"/>
      <c r="N190" s="5"/>
      <c r="O190" s="2"/>
      <c r="P190" s="27"/>
      <c r="Q190" s="26"/>
      <c r="R190" s="28"/>
    </row>
    <row r="191" spans="1:22" ht="30" customHeight="1" x14ac:dyDescent="0.45">
      <c r="A191" s="122" t="s">
        <v>151</v>
      </c>
      <c r="B191" s="1291" t="s">
        <v>152</v>
      </c>
      <c r="C191" s="1292"/>
      <c r="D191" s="1293"/>
      <c r="E191" s="123">
        <v>2</v>
      </c>
      <c r="F191" s="124" t="s">
        <v>88</v>
      </c>
      <c r="G191" s="124">
        <v>140392.483467307</v>
      </c>
      <c r="H191" s="124">
        <v>14569.043732562701</v>
      </c>
      <c r="I191" s="124">
        <v>3523.2669179326099</v>
      </c>
      <c r="J191" s="124">
        <v>0</v>
      </c>
      <c r="K191" s="125">
        <f>+I191+H191+G191</f>
        <v>158484.79411780232</v>
      </c>
      <c r="L191" s="124" t="s">
        <v>88</v>
      </c>
      <c r="M191" s="121"/>
      <c r="N191" s="5"/>
      <c r="O191" s="2"/>
      <c r="P191" s="27"/>
      <c r="Q191" s="26"/>
      <c r="R191" s="28"/>
    </row>
    <row r="192" spans="1:22" ht="30" customHeight="1" x14ac:dyDescent="0.45">
      <c r="A192" s="122" t="s">
        <v>158</v>
      </c>
      <c r="B192" s="1291" t="s">
        <v>159</v>
      </c>
      <c r="C192" s="1292"/>
      <c r="D192" s="1293"/>
      <c r="E192" s="123">
        <v>4</v>
      </c>
      <c r="F192" s="124" t="s">
        <v>88</v>
      </c>
      <c r="G192" s="124">
        <v>13216.3764844488</v>
      </c>
      <c r="H192" s="124">
        <v>23763.694204022198</v>
      </c>
      <c r="I192" s="124">
        <v>0</v>
      </c>
      <c r="J192" s="124">
        <v>0</v>
      </c>
      <c r="K192" s="125">
        <f>+I192+H192+G192</f>
        <v>36980.070688470994</v>
      </c>
      <c r="L192" s="124" t="s">
        <v>88</v>
      </c>
      <c r="M192" s="121"/>
      <c r="N192" s="5"/>
      <c r="O192" s="2"/>
      <c r="P192" s="27"/>
      <c r="Q192" s="26"/>
      <c r="R192" s="28"/>
    </row>
    <row r="193" spans="1:20" ht="30" customHeight="1" x14ac:dyDescent="0.45">
      <c r="A193" s="122" t="s">
        <v>160</v>
      </c>
      <c r="B193" s="1291" t="s">
        <v>161</v>
      </c>
      <c r="C193" s="1292"/>
      <c r="D193" s="1293"/>
      <c r="E193" s="123">
        <v>2</v>
      </c>
      <c r="F193" s="124" t="s">
        <v>88</v>
      </c>
      <c r="G193" s="124">
        <v>71383.249948681201</v>
      </c>
      <c r="H193" s="124">
        <v>6602.9243560344403</v>
      </c>
      <c r="I193" s="124">
        <v>0</v>
      </c>
      <c r="J193" s="124">
        <v>0</v>
      </c>
      <c r="K193" s="125">
        <f>+I193+H193+G193</f>
        <v>77986.174304715649</v>
      </c>
      <c r="L193" s="124" t="s">
        <v>88</v>
      </c>
      <c r="M193" s="121"/>
      <c r="N193" s="5"/>
      <c r="O193" s="2"/>
      <c r="P193" s="27"/>
      <c r="Q193" s="26"/>
      <c r="R193" s="28"/>
    </row>
    <row r="194" spans="1:20" ht="30" customHeight="1" x14ac:dyDescent="0.45">
      <c r="A194" s="1466" t="s">
        <v>118</v>
      </c>
      <c r="B194" s="1467"/>
      <c r="C194" s="1467"/>
      <c r="D194" s="1467"/>
      <c r="E194" s="126"/>
      <c r="F194" s="126"/>
      <c r="G194" s="126"/>
      <c r="H194" s="126"/>
      <c r="I194" s="126"/>
      <c r="J194" s="155" t="s">
        <v>145</v>
      </c>
      <c r="K194" s="125">
        <f>SUM(K190:K193)</f>
        <v>297328.24738369964</v>
      </c>
      <c r="L194" s="124" t="s">
        <v>119</v>
      </c>
      <c r="M194" s="25"/>
      <c r="N194" s="5"/>
      <c r="O194" s="2"/>
      <c r="P194" s="27"/>
      <c r="Q194" s="26"/>
      <c r="R194" s="28"/>
    </row>
    <row r="195" spans="1:20" ht="30" customHeight="1" thickBot="1" x14ac:dyDescent="0.5">
      <c r="A195" s="1468"/>
      <c r="B195" s="1468"/>
      <c r="C195" s="1468"/>
      <c r="D195" s="1468"/>
      <c r="E195" s="127"/>
      <c r="F195" s="78"/>
      <c r="G195" s="1296"/>
      <c r="H195" s="1297"/>
      <c r="I195" s="78"/>
      <c r="J195" s="128" t="s">
        <v>39</v>
      </c>
      <c r="K195" s="162">
        <f>K194/H188</f>
        <v>148664.12369184982</v>
      </c>
      <c r="L195" s="124" t="s">
        <v>121</v>
      </c>
      <c r="M195" s="25"/>
      <c r="O195" s="2"/>
      <c r="P195" s="27"/>
      <c r="Q195" s="26"/>
      <c r="R195" s="28"/>
    </row>
    <row r="196" spans="1:20" ht="30" customHeight="1" thickBot="1" x14ac:dyDescent="0.5">
      <c r="A196" s="999"/>
      <c r="B196" s="1000"/>
      <c r="C196" s="1000"/>
      <c r="D196" s="1000"/>
      <c r="E196" s="1000"/>
      <c r="F196" s="1000"/>
      <c r="G196" s="1000"/>
      <c r="H196" s="1000"/>
      <c r="I196" s="1000"/>
      <c r="J196" s="1000"/>
      <c r="K196" s="1000"/>
      <c r="L196" s="1001"/>
      <c r="M196" s="25"/>
      <c r="S196" s="90"/>
      <c r="T196" s="90"/>
    </row>
    <row r="197" spans="1:20" s="18" customFormat="1" ht="30" customHeight="1" x14ac:dyDescent="0.45">
      <c r="A197" s="9" t="s">
        <v>4</v>
      </c>
      <c r="B197" s="10">
        <v>1241</v>
      </c>
      <c r="C197" s="983" t="s">
        <v>162</v>
      </c>
      <c r="D197" s="984"/>
      <c r="E197" s="13" t="s">
        <v>7</v>
      </c>
      <c r="F197" s="14" t="s">
        <v>163</v>
      </c>
      <c r="G197" s="15" t="s">
        <v>148</v>
      </c>
      <c r="H197" s="163">
        <v>420000</v>
      </c>
      <c r="I197" s="13" t="s">
        <v>9</v>
      </c>
      <c r="J197" s="1155" t="s">
        <v>123</v>
      </c>
      <c r="K197" s="1156"/>
      <c r="L197" s="1127"/>
      <c r="M197" s="25"/>
      <c r="N197" s="5"/>
      <c r="O197" s="5"/>
    </row>
    <row r="198" spans="1:20" ht="30" customHeight="1" x14ac:dyDescent="0.45">
      <c r="A198" s="114" t="s">
        <v>77</v>
      </c>
      <c r="B198" s="1300" t="s">
        <v>12</v>
      </c>
      <c r="C198" s="1301"/>
      <c r="D198" s="1302"/>
      <c r="E198" s="115" t="s">
        <v>78</v>
      </c>
      <c r="F198" s="116" t="s">
        <v>79</v>
      </c>
      <c r="G198" s="117" t="s">
        <v>80</v>
      </c>
      <c r="H198" s="118" t="s">
        <v>81</v>
      </c>
      <c r="I198" s="118" t="s">
        <v>82</v>
      </c>
      <c r="J198" s="119" t="s">
        <v>83</v>
      </c>
      <c r="K198" s="114" t="s">
        <v>84</v>
      </c>
      <c r="L198" s="120" t="s">
        <v>85</v>
      </c>
      <c r="M198" s="121"/>
      <c r="N198" s="5"/>
      <c r="O198" s="2"/>
      <c r="P198" s="27"/>
      <c r="Q198" s="26"/>
      <c r="R198" s="28"/>
    </row>
    <row r="199" spans="1:20" ht="30" customHeight="1" x14ac:dyDescent="0.45">
      <c r="A199" s="122" t="s">
        <v>164</v>
      </c>
      <c r="B199" s="1291" t="s">
        <v>165</v>
      </c>
      <c r="C199" s="1292"/>
      <c r="D199" s="1293"/>
      <c r="E199" s="123">
        <v>1704</v>
      </c>
      <c r="F199" s="124" t="s">
        <v>29</v>
      </c>
      <c r="G199" s="124">
        <v>45163.3962003954</v>
      </c>
      <c r="H199" s="124">
        <v>3503.31826203331</v>
      </c>
      <c r="I199" s="124">
        <v>7389.8272022340398</v>
      </c>
      <c r="J199" s="124">
        <v>0</v>
      </c>
      <c r="K199" s="125">
        <f>+G199+H199+I199+J199</f>
        <v>56056.541664662749</v>
      </c>
      <c r="L199" s="124" t="s">
        <v>29</v>
      </c>
      <c r="M199" s="121"/>
      <c r="N199" s="5"/>
      <c r="O199" s="2"/>
      <c r="P199" s="27"/>
      <c r="Q199" s="26"/>
      <c r="R199" s="28"/>
    </row>
    <row r="200" spans="1:20" ht="30" customHeight="1" x14ac:dyDescent="0.45">
      <c r="A200" s="122" t="s">
        <v>166</v>
      </c>
      <c r="B200" s="1291" t="s">
        <v>167</v>
      </c>
      <c r="C200" s="1292"/>
      <c r="D200" s="1293"/>
      <c r="E200" s="123">
        <v>50</v>
      </c>
      <c r="F200" s="124" t="s">
        <v>29</v>
      </c>
      <c r="G200" s="124">
        <v>24705.1287654033</v>
      </c>
      <c r="H200" s="124">
        <v>25923.087853602701</v>
      </c>
      <c r="I200" s="124">
        <v>1597.7880243366999</v>
      </c>
      <c r="J200" s="124">
        <v>0</v>
      </c>
      <c r="K200" s="125">
        <f t="shared" ref="K200:K207" si="1">+G200+H200+I200+J200</f>
        <v>52226.004643342705</v>
      </c>
      <c r="L200" s="124" t="s">
        <v>29</v>
      </c>
      <c r="M200" s="121"/>
      <c r="N200" s="5"/>
      <c r="O200" s="2"/>
      <c r="P200" s="27"/>
      <c r="Q200" s="26"/>
      <c r="R200" s="28"/>
    </row>
    <row r="201" spans="1:20" ht="30" customHeight="1" x14ac:dyDescent="0.45">
      <c r="A201" s="122" t="s">
        <v>168</v>
      </c>
      <c r="B201" s="1291" t="s">
        <v>169</v>
      </c>
      <c r="C201" s="1292"/>
      <c r="D201" s="1293"/>
      <c r="E201" s="123">
        <v>389</v>
      </c>
      <c r="F201" s="124" t="s">
        <v>113</v>
      </c>
      <c r="G201" s="124">
        <v>24244.255022916601</v>
      </c>
      <c r="H201" s="124">
        <v>8803.4981826619696</v>
      </c>
      <c r="I201" s="124">
        <v>0</v>
      </c>
      <c r="J201" s="124">
        <v>0</v>
      </c>
      <c r="K201" s="125">
        <f t="shared" si="1"/>
        <v>33047.75320557857</v>
      </c>
      <c r="L201" s="124" t="s">
        <v>113</v>
      </c>
      <c r="M201" s="121"/>
      <c r="N201" s="5"/>
      <c r="O201" s="2"/>
      <c r="P201" s="27"/>
      <c r="Q201" s="26"/>
      <c r="R201" s="28"/>
    </row>
    <row r="202" spans="1:20" ht="30" customHeight="1" x14ac:dyDescent="0.45">
      <c r="A202" s="122" t="s">
        <v>170</v>
      </c>
      <c r="B202" s="1291" t="s">
        <v>171</v>
      </c>
      <c r="C202" s="1292"/>
      <c r="D202" s="1293"/>
      <c r="E202" s="123">
        <v>2363.88</v>
      </c>
      <c r="F202" s="124" t="s">
        <v>113</v>
      </c>
      <c r="G202" s="124">
        <v>46272.556598649098</v>
      </c>
      <c r="H202" s="124">
        <v>35340.0893528784</v>
      </c>
      <c r="I202" s="124">
        <v>0</v>
      </c>
      <c r="J202" s="124">
        <v>0</v>
      </c>
      <c r="K202" s="125">
        <f t="shared" si="1"/>
        <v>81612.645951527491</v>
      </c>
      <c r="L202" s="124" t="s">
        <v>113</v>
      </c>
      <c r="M202" s="121"/>
      <c r="N202" s="5"/>
      <c r="O202" s="2"/>
      <c r="P202" s="27"/>
      <c r="Q202" s="26"/>
      <c r="R202" s="28"/>
    </row>
    <row r="203" spans="1:20" ht="30" customHeight="1" x14ac:dyDescent="0.45">
      <c r="A203" s="122" t="s">
        <v>172</v>
      </c>
      <c r="B203" s="1291" t="s">
        <v>173</v>
      </c>
      <c r="C203" s="1292"/>
      <c r="D203" s="1293"/>
      <c r="E203" s="123">
        <v>21</v>
      </c>
      <c r="F203" s="124" t="s">
        <v>88</v>
      </c>
      <c r="G203" s="124">
        <v>14404.3964258739</v>
      </c>
      <c r="H203" s="124">
        <v>2960.2522745988899</v>
      </c>
      <c r="I203" s="124">
        <v>523.61560745328904</v>
      </c>
      <c r="J203" s="124">
        <v>0</v>
      </c>
      <c r="K203" s="125">
        <f t="shared" si="1"/>
        <v>17888.264307926078</v>
      </c>
      <c r="L203" s="124" t="s">
        <v>88</v>
      </c>
      <c r="M203" s="121"/>
      <c r="N203" s="5"/>
      <c r="O203" s="2"/>
      <c r="P203" s="27"/>
      <c r="Q203" s="26"/>
      <c r="R203" s="28"/>
    </row>
    <row r="204" spans="1:20" ht="30" customHeight="1" x14ac:dyDescent="0.45">
      <c r="A204" s="122" t="s">
        <v>174</v>
      </c>
      <c r="B204" s="1291" t="s">
        <v>175</v>
      </c>
      <c r="C204" s="1292"/>
      <c r="D204" s="1293"/>
      <c r="E204" s="123">
        <v>1</v>
      </c>
      <c r="F204" s="124" t="s">
        <v>88</v>
      </c>
      <c r="G204" s="124">
        <v>0</v>
      </c>
      <c r="H204" s="124">
        <v>0</v>
      </c>
      <c r="I204" s="124">
        <v>0</v>
      </c>
      <c r="J204" s="124">
        <v>1834993.4241239999</v>
      </c>
      <c r="K204" s="125">
        <f t="shared" si="1"/>
        <v>1834993.4241239999</v>
      </c>
      <c r="L204" s="124" t="s">
        <v>88</v>
      </c>
      <c r="M204" s="121"/>
      <c r="N204" s="5"/>
      <c r="O204" s="2"/>
      <c r="P204" s="27"/>
      <c r="Q204" s="26"/>
      <c r="R204" s="28"/>
    </row>
    <row r="205" spans="1:20" ht="30" customHeight="1" x14ac:dyDescent="0.45">
      <c r="A205" s="122" t="s">
        <v>176</v>
      </c>
      <c r="B205" s="1465" t="s">
        <v>177</v>
      </c>
      <c r="C205" s="1465"/>
      <c r="D205" s="1465"/>
      <c r="E205" s="123">
        <v>405.83</v>
      </c>
      <c r="F205" s="164" t="s">
        <v>113</v>
      </c>
      <c r="G205" s="124">
        <v>206472.20093003401</v>
      </c>
      <c r="H205" s="124">
        <v>22505.029227972998</v>
      </c>
      <c r="I205" s="124">
        <v>45013.838915732602</v>
      </c>
      <c r="J205" s="124">
        <v>0</v>
      </c>
      <c r="K205" s="125">
        <f t="shared" si="1"/>
        <v>273991.06907373958</v>
      </c>
      <c r="L205" s="124" t="s">
        <v>113</v>
      </c>
      <c r="M205" s="25"/>
      <c r="N205" s="5"/>
      <c r="O205" s="2"/>
      <c r="P205" s="27"/>
      <c r="Q205" s="26"/>
      <c r="R205" s="28"/>
    </row>
    <row r="206" spans="1:20" ht="30" customHeight="1" x14ac:dyDescent="0.45">
      <c r="A206" s="122" t="s">
        <v>178</v>
      </c>
      <c r="B206" s="1465" t="s">
        <v>179</v>
      </c>
      <c r="C206" s="1465"/>
      <c r="D206" s="1465"/>
      <c r="E206" s="123">
        <v>7720.05</v>
      </c>
      <c r="F206" s="164" t="s">
        <v>35</v>
      </c>
      <c r="G206" s="124">
        <v>89645.607888434693</v>
      </c>
      <c r="H206" s="124">
        <v>65472.393896977999</v>
      </c>
      <c r="I206" s="124">
        <v>562.50955936949799</v>
      </c>
      <c r="J206" s="124">
        <v>0</v>
      </c>
      <c r="K206" s="125">
        <f t="shared" si="1"/>
        <v>155680.51134478219</v>
      </c>
      <c r="L206" s="124" t="s">
        <v>35</v>
      </c>
      <c r="M206" s="25"/>
      <c r="N206" s="5"/>
      <c r="O206" s="2"/>
      <c r="P206" s="27"/>
      <c r="Q206" s="26"/>
      <c r="R206" s="28"/>
    </row>
    <row r="207" spans="1:20" ht="30" customHeight="1" x14ac:dyDescent="0.45">
      <c r="A207" s="122" t="s">
        <v>180</v>
      </c>
      <c r="B207" s="1465" t="s">
        <v>181</v>
      </c>
      <c r="C207" s="1465"/>
      <c r="D207" s="1465"/>
      <c r="E207" s="123">
        <v>2</v>
      </c>
      <c r="F207" s="164" t="s">
        <v>182</v>
      </c>
      <c r="G207" s="124">
        <v>7626.5583721121602</v>
      </c>
      <c r="H207" s="124">
        <v>1301.3734783997199</v>
      </c>
      <c r="I207" s="124">
        <v>482.45175842600202</v>
      </c>
      <c r="J207" s="124">
        <v>0</v>
      </c>
      <c r="K207" s="125">
        <f t="shared" si="1"/>
        <v>9410.3836089378819</v>
      </c>
      <c r="L207" s="124" t="s">
        <v>182</v>
      </c>
      <c r="M207" s="25"/>
      <c r="N207" s="5"/>
      <c r="O207" s="2"/>
      <c r="P207" s="27"/>
      <c r="Q207" s="26"/>
      <c r="R207" s="28"/>
    </row>
    <row r="208" spans="1:20" ht="30" customHeight="1" x14ac:dyDescent="0.45">
      <c r="A208" s="1466" t="s">
        <v>118</v>
      </c>
      <c r="B208" s="1467"/>
      <c r="C208" s="1467"/>
      <c r="D208" s="1467"/>
      <c r="E208" s="126"/>
      <c r="F208" s="126"/>
      <c r="G208" s="126"/>
      <c r="H208" s="126"/>
      <c r="I208" s="126"/>
      <c r="J208" s="155" t="s">
        <v>145</v>
      </c>
      <c r="K208" s="125">
        <f>SUM(K199:K207)</f>
        <v>2514906.597924497</v>
      </c>
      <c r="L208" s="124"/>
      <c r="M208" s="25"/>
      <c r="N208" s="5"/>
      <c r="O208" s="2"/>
      <c r="P208" s="27"/>
      <c r="Q208" s="26"/>
      <c r="R208" s="28"/>
    </row>
    <row r="209" spans="1:20" ht="30" customHeight="1" thickBot="1" x14ac:dyDescent="0.5">
      <c r="A209" s="1468"/>
      <c r="B209" s="1468"/>
      <c r="C209" s="1468"/>
      <c r="D209" s="1468"/>
      <c r="E209" s="127"/>
      <c r="F209" s="78"/>
      <c r="G209" s="1296"/>
      <c r="H209" s="1297"/>
      <c r="I209" s="78"/>
      <c r="J209" s="165" t="s">
        <v>39</v>
      </c>
      <c r="K209" s="166">
        <f>+K208/H197</f>
        <v>5.9878728522011837</v>
      </c>
      <c r="L209" s="167" t="s">
        <v>163</v>
      </c>
      <c r="M209" s="25"/>
      <c r="O209" s="2"/>
      <c r="P209" s="27"/>
      <c r="Q209" s="26"/>
      <c r="R209" s="28"/>
    </row>
    <row r="210" spans="1:20" ht="30" customHeight="1" thickBot="1" x14ac:dyDescent="0.5">
      <c r="A210" s="999"/>
      <c r="B210" s="1000"/>
      <c r="C210" s="1000"/>
      <c r="D210" s="1000"/>
      <c r="E210" s="1000"/>
      <c r="F210" s="1000"/>
      <c r="G210" s="1000"/>
      <c r="H210" s="1000"/>
      <c r="I210" s="1000"/>
      <c r="J210" s="1000"/>
      <c r="K210" s="1000"/>
      <c r="L210" s="1001"/>
      <c r="S210" s="41"/>
      <c r="T210" s="41"/>
    </row>
    <row r="211" spans="1:20" s="18" customFormat="1" ht="30" customHeight="1" x14ac:dyDescent="0.45">
      <c r="A211" s="9" t="s">
        <v>4</v>
      </c>
      <c r="B211" s="10">
        <v>1242</v>
      </c>
      <c r="C211" s="1138" t="s">
        <v>183</v>
      </c>
      <c r="D211" s="1139"/>
      <c r="E211" s="13" t="s">
        <v>7</v>
      </c>
      <c r="F211" s="14" t="s">
        <v>163</v>
      </c>
      <c r="G211" s="15" t="s">
        <v>148</v>
      </c>
      <c r="H211" s="163">
        <v>105000</v>
      </c>
      <c r="I211" s="13" t="s">
        <v>9</v>
      </c>
      <c r="J211" s="1155" t="s">
        <v>123</v>
      </c>
      <c r="K211" s="1156"/>
      <c r="L211" s="1127"/>
      <c r="M211" s="25"/>
      <c r="N211" s="5"/>
      <c r="O211" s="5"/>
    </row>
    <row r="212" spans="1:20" ht="30" customHeight="1" x14ac:dyDescent="0.45">
      <c r="A212" s="114" t="s">
        <v>77</v>
      </c>
      <c r="B212" s="1300" t="s">
        <v>12</v>
      </c>
      <c r="C212" s="1301"/>
      <c r="D212" s="1302"/>
      <c r="E212" s="115" t="s">
        <v>78</v>
      </c>
      <c r="F212" s="116" t="s">
        <v>79</v>
      </c>
      <c r="G212" s="117" t="s">
        <v>80</v>
      </c>
      <c r="H212" s="118" t="s">
        <v>81</v>
      </c>
      <c r="I212" s="118" t="s">
        <v>82</v>
      </c>
      <c r="J212" s="119" t="s">
        <v>83</v>
      </c>
      <c r="K212" s="114" t="s">
        <v>84</v>
      </c>
      <c r="L212" s="120" t="s">
        <v>85</v>
      </c>
      <c r="M212" s="121"/>
      <c r="N212" s="5"/>
      <c r="O212" s="2"/>
      <c r="P212" s="27"/>
      <c r="Q212" s="26"/>
      <c r="R212" s="28"/>
    </row>
    <row r="213" spans="1:20" ht="30" customHeight="1" x14ac:dyDescent="0.45">
      <c r="A213" s="122" t="s">
        <v>164</v>
      </c>
      <c r="B213" s="1291" t="s">
        <v>165</v>
      </c>
      <c r="C213" s="1292"/>
      <c r="D213" s="1293"/>
      <c r="E213" s="123">
        <v>746</v>
      </c>
      <c r="F213" s="124" t="s">
        <v>29</v>
      </c>
      <c r="G213" s="124">
        <v>17618.825947651101</v>
      </c>
      <c r="H213" s="124">
        <v>2112.9308216250502</v>
      </c>
      <c r="I213" s="124">
        <v>2185.45311759788</v>
      </c>
      <c r="J213" s="124">
        <v>0</v>
      </c>
      <c r="K213" s="125">
        <f>+G213+H213+I213+J213</f>
        <v>21917.209886874032</v>
      </c>
      <c r="L213" s="124" t="s">
        <v>29</v>
      </c>
      <c r="M213" s="121"/>
      <c r="N213" s="5"/>
      <c r="O213" s="2"/>
      <c r="P213" s="27"/>
      <c r="Q213" s="26"/>
      <c r="R213" s="28"/>
    </row>
    <row r="214" spans="1:20" ht="30" customHeight="1" x14ac:dyDescent="0.45">
      <c r="A214" s="122" t="s">
        <v>166</v>
      </c>
      <c r="B214" s="1291" t="s">
        <v>167</v>
      </c>
      <c r="C214" s="1292"/>
      <c r="D214" s="1293"/>
      <c r="E214" s="123">
        <v>22</v>
      </c>
      <c r="F214" s="124" t="s">
        <v>29</v>
      </c>
      <c r="G214" s="124">
        <v>10938.8136761225</v>
      </c>
      <c r="H214" s="124">
        <v>16387.008106212299</v>
      </c>
      <c r="I214" s="124">
        <v>532.12861363385503</v>
      </c>
      <c r="J214" s="124">
        <v>0</v>
      </c>
      <c r="K214" s="125">
        <f t="shared" ref="K214:K222" si="2">+G214+H214+I214+J214</f>
        <v>27857.950395968655</v>
      </c>
      <c r="L214" s="124" t="s">
        <v>29</v>
      </c>
      <c r="M214" s="121"/>
      <c r="N214" s="5"/>
      <c r="O214" s="2"/>
      <c r="P214" s="27"/>
      <c r="Q214" s="26"/>
      <c r="R214" s="28"/>
    </row>
    <row r="215" spans="1:20" ht="30" customHeight="1" x14ac:dyDescent="0.45">
      <c r="A215" s="122" t="s">
        <v>168</v>
      </c>
      <c r="B215" s="1291" t="s">
        <v>169</v>
      </c>
      <c r="C215" s="1292"/>
      <c r="D215" s="1293"/>
      <c r="E215" s="123">
        <v>172</v>
      </c>
      <c r="F215" s="124" t="s">
        <v>113</v>
      </c>
      <c r="G215" s="124">
        <v>4175.0896757093997</v>
      </c>
      <c r="H215" s="124">
        <v>6533.9433315430597</v>
      </c>
      <c r="I215" s="124">
        <v>0</v>
      </c>
      <c r="J215" s="124">
        <v>0</v>
      </c>
      <c r="K215" s="125">
        <f t="shared" si="2"/>
        <v>10709.033007252459</v>
      </c>
      <c r="L215" s="124" t="s">
        <v>113</v>
      </c>
      <c r="M215" s="121"/>
      <c r="N215" s="5"/>
      <c r="O215" s="2"/>
      <c r="P215" s="27"/>
      <c r="Q215" s="26"/>
      <c r="R215" s="28"/>
    </row>
    <row r="216" spans="1:20" ht="30" customHeight="1" x14ac:dyDescent="0.45">
      <c r="A216" s="122" t="s">
        <v>170</v>
      </c>
      <c r="B216" s="1291" t="s">
        <v>171</v>
      </c>
      <c r="C216" s="1292"/>
      <c r="D216" s="1293"/>
      <c r="E216" s="123">
        <v>631.79</v>
      </c>
      <c r="F216" s="124" t="s">
        <v>113</v>
      </c>
      <c r="G216" s="124">
        <v>9968.3542967481808</v>
      </c>
      <c r="H216" s="124">
        <v>13810.171070096299</v>
      </c>
      <c r="I216" s="124">
        <v>0</v>
      </c>
      <c r="J216" s="124">
        <v>0</v>
      </c>
      <c r="K216" s="125">
        <f t="shared" si="2"/>
        <v>23778.525366844478</v>
      </c>
      <c r="L216" s="124" t="s">
        <v>113</v>
      </c>
      <c r="M216" s="121"/>
      <c r="N216" s="5"/>
      <c r="O216" s="2"/>
      <c r="P216" s="27"/>
      <c r="Q216" s="26"/>
      <c r="R216" s="28"/>
    </row>
    <row r="217" spans="1:20" ht="30" customHeight="1" x14ac:dyDescent="0.45">
      <c r="A217" s="122" t="s">
        <v>172</v>
      </c>
      <c r="B217" s="1291" t="s">
        <v>173</v>
      </c>
      <c r="C217" s="1292"/>
      <c r="D217" s="1293"/>
      <c r="E217" s="123">
        <v>9</v>
      </c>
      <c r="F217" s="124" t="s">
        <v>88</v>
      </c>
      <c r="G217" s="124">
        <v>6420.1844484512203</v>
      </c>
      <c r="H217" s="124">
        <v>1319.5061203052901</v>
      </c>
      <c r="I217" s="124">
        <v>233.46354195003099</v>
      </c>
      <c r="J217" s="124">
        <v>0</v>
      </c>
      <c r="K217" s="125">
        <f t="shared" si="2"/>
        <v>7973.1541107065414</v>
      </c>
      <c r="L217" s="124" t="s">
        <v>88</v>
      </c>
      <c r="M217" s="121"/>
      <c r="N217" s="5"/>
      <c r="O217" s="2"/>
      <c r="P217" s="27"/>
      <c r="Q217" s="26"/>
      <c r="R217" s="28"/>
    </row>
    <row r="218" spans="1:20" ht="30" customHeight="1" x14ac:dyDescent="0.45">
      <c r="A218" s="122" t="s">
        <v>184</v>
      </c>
      <c r="B218" s="1291" t="s">
        <v>185</v>
      </c>
      <c r="C218" s="1292"/>
      <c r="D218" s="1293"/>
      <c r="E218" s="123">
        <v>1</v>
      </c>
      <c r="F218" s="124" t="s">
        <v>88</v>
      </c>
      <c r="G218" s="124">
        <v>0</v>
      </c>
      <c r="H218" s="124">
        <v>0</v>
      </c>
      <c r="I218" s="124">
        <v>0</v>
      </c>
      <c r="J218" s="124">
        <v>372317.50634399999</v>
      </c>
      <c r="K218" s="125">
        <f t="shared" si="2"/>
        <v>372317.50634399999</v>
      </c>
      <c r="L218" s="124" t="s">
        <v>88</v>
      </c>
      <c r="M218" s="121"/>
      <c r="N218" s="5"/>
      <c r="O218" s="2"/>
      <c r="P218" s="27"/>
      <c r="Q218" s="26"/>
      <c r="R218" s="28"/>
    </row>
    <row r="219" spans="1:20" ht="30" customHeight="1" x14ac:dyDescent="0.45">
      <c r="A219" s="122" t="s">
        <v>176</v>
      </c>
      <c r="B219" s="1465" t="s">
        <v>177</v>
      </c>
      <c r="C219" s="1465"/>
      <c r="D219" s="1465"/>
      <c r="E219" s="123">
        <v>202.91</v>
      </c>
      <c r="F219" s="164" t="s">
        <v>113</v>
      </c>
      <c r="G219" s="124">
        <v>88510.627735809205</v>
      </c>
      <c r="H219" s="124">
        <v>15530.3723397706</v>
      </c>
      <c r="I219" s="124">
        <v>17172.635678264</v>
      </c>
      <c r="J219" s="124">
        <v>0</v>
      </c>
      <c r="K219" s="125">
        <f t="shared" si="2"/>
        <v>121213.63575384382</v>
      </c>
      <c r="L219" s="124" t="s">
        <v>113</v>
      </c>
      <c r="M219" s="25"/>
      <c r="N219" s="5"/>
      <c r="O219" s="2"/>
      <c r="P219" s="27"/>
      <c r="Q219" s="26"/>
      <c r="R219" s="28"/>
    </row>
    <row r="220" spans="1:20" ht="30" customHeight="1" x14ac:dyDescent="0.45">
      <c r="A220" s="122" t="s">
        <v>178</v>
      </c>
      <c r="B220" s="1465" t="s">
        <v>179</v>
      </c>
      <c r="C220" s="1465"/>
      <c r="D220" s="1465"/>
      <c r="E220" s="123">
        <v>1930.01</v>
      </c>
      <c r="F220" s="164" t="s">
        <v>35</v>
      </c>
      <c r="G220" s="124">
        <v>24500.568724710502</v>
      </c>
      <c r="H220" s="124">
        <v>22992.506251044299</v>
      </c>
      <c r="I220" s="124">
        <v>144.976502766724</v>
      </c>
      <c r="J220" s="124">
        <v>0</v>
      </c>
      <c r="K220" s="125">
        <f t="shared" si="2"/>
        <v>47638.051478521527</v>
      </c>
      <c r="L220" s="124" t="s">
        <v>35</v>
      </c>
      <c r="M220" s="25"/>
      <c r="N220" s="5"/>
      <c r="O220" s="2"/>
      <c r="P220" s="27"/>
      <c r="Q220" s="26"/>
      <c r="R220" s="28"/>
    </row>
    <row r="221" spans="1:20" ht="30" customHeight="1" x14ac:dyDescent="0.45">
      <c r="A221" s="122" t="s">
        <v>180</v>
      </c>
      <c r="B221" s="1465" t="s">
        <v>181</v>
      </c>
      <c r="C221" s="1465"/>
      <c r="D221" s="1465"/>
      <c r="E221" s="123">
        <v>0.5</v>
      </c>
      <c r="F221" s="164" t="s">
        <v>182</v>
      </c>
      <c r="G221" s="124">
        <v>2029.6485990298499</v>
      </c>
      <c r="H221" s="124">
        <v>471.53171406606998</v>
      </c>
      <c r="I221" s="124">
        <v>83.079368531767898</v>
      </c>
      <c r="J221" s="124">
        <v>0</v>
      </c>
      <c r="K221" s="125">
        <f t="shared" si="2"/>
        <v>2584.2596816276878</v>
      </c>
      <c r="L221" s="124" t="s">
        <v>182</v>
      </c>
      <c r="M221" s="25"/>
      <c r="N221" s="5"/>
      <c r="O221" s="2"/>
      <c r="P221" s="27"/>
      <c r="Q221" s="26"/>
      <c r="R221" s="28"/>
    </row>
    <row r="222" spans="1:20" ht="30" customHeight="1" x14ac:dyDescent="0.45">
      <c r="A222" s="122" t="s">
        <v>186</v>
      </c>
      <c r="B222" s="1465" t="s">
        <v>187</v>
      </c>
      <c r="C222" s="1465"/>
      <c r="D222" s="1465"/>
      <c r="E222" s="123">
        <v>2</v>
      </c>
      <c r="F222" s="164" t="s">
        <v>88</v>
      </c>
      <c r="G222" s="124">
        <v>150431.813739812</v>
      </c>
      <c r="H222" s="124">
        <v>22167.5471501518</v>
      </c>
      <c r="I222" s="124">
        <v>2730.8523958856899</v>
      </c>
      <c r="J222" s="168">
        <v>0</v>
      </c>
      <c r="K222" s="125">
        <f t="shared" si="2"/>
        <v>175330.21328584949</v>
      </c>
      <c r="L222" s="164" t="s">
        <v>88</v>
      </c>
      <c r="M222" s="25"/>
      <c r="N222" s="5"/>
      <c r="O222" s="2"/>
      <c r="P222" s="27"/>
      <c r="Q222" s="26"/>
      <c r="R222" s="28"/>
    </row>
    <row r="223" spans="1:20" ht="30" customHeight="1" x14ac:dyDescent="0.45">
      <c r="A223" s="1466" t="s">
        <v>118</v>
      </c>
      <c r="B223" s="1467"/>
      <c r="C223" s="1467"/>
      <c r="D223" s="1467"/>
      <c r="E223" s="126"/>
      <c r="F223" s="126"/>
      <c r="G223" s="126"/>
      <c r="H223" s="126"/>
      <c r="I223" s="126"/>
      <c r="J223" s="155" t="s">
        <v>145</v>
      </c>
      <c r="K223" s="125">
        <f>SUM(K213:K222)</f>
        <v>811319.53931148862</v>
      </c>
      <c r="L223" s="124" t="s">
        <v>188</v>
      </c>
      <c r="M223" s="25"/>
      <c r="N223" s="5"/>
      <c r="O223" s="2"/>
      <c r="P223" s="27"/>
      <c r="Q223" s="26"/>
      <c r="R223" s="28"/>
    </row>
    <row r="224" spans="1:20" ht="30" customHeight="1" thickBot="1" x14ac:dyDescent="0.5">
      <c r="A224" s="1468"/>
      <c r="B224" s="1468"/>
      <c r="C224" s="1468"/>
      <c r="D224" s="1468"/>
      <c r="E224" s="127"/>
      <c r="F224" s="78"/>
      <c r="G224" s="1296"/>
      <c r="H224" s="1297"/>
      <c r="I224" s="78"/>
      <c r="J224" s="165" t="s">
        <v>39</v>
      </c>
      <c r="K224" s="166">
        <f>+K223/H211</f>
        <v>7.7268527553475108</v>
      </c>
      <c r="L224" s="167" t="s">
        <v>163</v>
      </c>
      <c r="M224" s="25"/>
      <c r="O224" s="2"/>
      <c r="P224" s="27"/>
      <c r="Q224" s="26"/>
      <c r="R224" s="28"/>
    </row>
    <row r="225" spans="1:20" ht="30" customHeight="1" thickBot="1" x14ac:dyDescent="0.5">
      <c r="A225" s="999"/>
      <c r="B225" s="1000"/>
      <c r="C225" s="1000"/>
      <c r="D225" s="1000"/>
      <c r="E225" s="1000"/>
      <c r="F225" s="1000"/>
      <c r="G225" s="1000"/>
      <c r="H225" s="1000"/>
      <c r="I225" s="1000"/>
      <c r="J225" s="1000"/>
      <c r="K225" s="1000"/>
      <c r="L225" s="1001"/>
      <c r="S225" s="41"/>
      <c r="T225" s="41"/>
    </row>
    <row r="226" spans="1:20" s="18" customFormat="1" ht="30" customHeight="1" x14ac:dyDescent="0.45">
      <c r="A226" s="9" t="s">
        <v>4</v>
      </c>
      <c r="B226" s="10">
        <v>1243</v>
      </c>
      <c r="C226" s="1138" t="s">
        <v>189</v>
      </c>
      <c r="D226" s="1139"/>
      <c r="E226" s="13" t="s">
        <v>7</v>
      </c>
      <c r="F226" s="14" t="s">
        <v>163</v>
      </c>
      <c r="G226" s="15" t="s">
        <v>148</v>
      </c>
      <c r="H226" s="163">
        <v>10000</v>
      </c>
      <c r="I226" s="13" t="s">
        <v>9</v>
      </c>
      <c r="J226" s="1155" t="s">
        <v>123</v>
      </c>
      <c r="K226" s="1156"/>
      <c r="L226" s="1127"/>
      <c r="M226" s="25"/>
      <c r="N226" s="5"/>
      <c r="O226" s="5"/>
    </row>
    <row r="227" spans="1:20" ht="30" customHeight="1" x14ac:dyDescent="0.45">
      <c r="A227" s="114" t="s">
        <v>77</v>
      </c>
      <c r="B227" s="1300" t="s">
        <v>12</v>
      </c>
      <c r="C227" s="1301"/>
      <c r="D227" s="1302"/>
      <c r="E227" s="115" t="s">
        <v>78</v>
      </c>
      <c r="F227" s="116" t="s">
        <v>79</v>
      </c>
      <c r="G227" s="117" t="s">
        <v>80</v>
      </c>
      <c r="H227" s="118" t="s">
        <v>81</v>
      </c>
      <c r="I227" s="118" t="s">
        <v>82</v>
      </c>
      <c r="J227" s="119" t="s">
        <v>83</v>
      </c>
      <c r="K227" s="114" t="s">
        <v>84</v>
      </c>
      <c r="L227" s="120" t="s">
        <v>85</v>
      </c>
      <c r="M227" s="121"/>
      <c r="N227" s="5"/>
      <c r="O227" s="2"/>
      <c r="P227" s="27"/>
      <c r="Q227" s="26"/>
      <c r="R227" s="28"/>
    </row>
    <row r="228" spans="1:20" ht="30" customHeight="1" x14ac:dyDescent="0.45">
      <c r="A228" s="122" t="s">
        <v>190</v>
      </c>
      <c r="B228" s="1291" t="s">
        <v>191</v>
      </c>
      <c r="C228" s="1292"/>
      <c r="D228" s="1293"/>
      <c r="E228" s="123">
        <v>50.4</v>
      </c>
      <c r="F228" s="124" t="s">
        <v>29</v>
      </c>
      <c r="G228" s="124">
        <v>1190.3335492783101</v>
      </c>
      <c r="H228" s="124">
        <v>142.75028607225499</v>
      </c>
      <c r="I228" s="124">
        <v>147.649915719749</v>
      </c>
      <c r="J228" s="124">
        <v>0</v>
      </c>
      <c r="K228" s="125">
        <f t="shared" ref="K228:K233" si="3">+G228+H228+I228+J228</f>
        <v>1480.7337510703142</v>
      </c>
      <c r="L228" s="124" t="s">
        <v>29</v>
      </c>
      <c r="M228" s="121"/>
      <c r="N228" s="5"/>
      <c r="O228" s="2"/>
      <c r="P228" s="27"/>
      <c r="Q228" s="26"/>
      <c r="R228" s="28"/>
    </row>
    <row r="229" spans="1:20" ht="30" customHeight="1" x14ac:dyDescent="0.45">
      <c r="A229" s="122" t="s">
        <v>192</v>
      </c>
      <c r="B229" s="1291" t="s">
        <v>193</v>
      </c>
      <c r="C229" s="1292"/>
      <c r="D229" s="1293"/>
      <c r="E229" s="123">
        <v>13.5</v>
      </c>
      <c r="F229" s="124" t="s">
        <v>29</v>
      </c>
      <c r="G229" s="124">
        <v>3499.7046279562701</v>
      </c>
      <c r="H229" s="124">
        <v>3256.2476651214902</v>
      </c>
      <c r="I229" s="124">
        <v>326.53346745713799</v>
      </c>
      <c r="J229" s="124">
        <v>0</v>
      </c>
      <c r="K229" s="125">
        <f t="shared" si="3"/>
        <v>7082.485760534898</v>
      </c>
      <c r="L229" s="124" t="s">
        <v>29</v>
      </c>
      <c r="M229" s="121"/>
      <c r="N229" s="5"/>
      <c r="O229" s="2"/>
      <c r="P229" s="27"/>
      <c r="Q229" s="26"/>
      <c r="R229" s="28"/>
    </row>
    <row r="230" spans="1:20" ht="30" customHeight="1" x14ac:dyDescent="0.45">
      <c r="A230" s="122" t="s">
        <v>194</v>
      </c>
      <c r="B230" s="1291" t="s">
        <v>195</v>
      </c>
      <c r="C230" s="1292"/>
      <c r="D230" s="1293"/>
      <c r="E230" s="123">
        <v>108</v>
      </c>
      <c r="F230" s="124" t="s">
        <v>113</v>
      </c>
      <c r="G230" s="124">
        <v>9388.0473380580497</v>
      </c>
      <c r="H230" s="124">
        <v>2204.301036840935</v>
      </c>
      <c r="I230" s="124">
        <v>0</v>
      </c>
      <c r="J230" s="124">
        <v>0</v>
      </c>
      <c r="K230" s="125">
        <f t="shared" si="3"/>
        <v>11592.348374898986</v>
      </c>
      <c r="L230" s="124" t="s">
        <v>113</v>
      </c>
      <c r="M230" s="121"/>
      <c r="N230" s="5"/>
      <c r="O230" s="2"/>
      <c r="P230" s="27"/>
      <c r="Q230" s="26"/>
      <c r="R230" s="28"/>
    </row>
    <row r="231" spans="1:20" ht="30" customHeight="1" x14ac:dyDescent="0.45">
      <c r="A231" s="122" t="s">
        <v>196</v>
      </c>
      <c r="B231" s="1291" t="s">
        <v>197</v>
      </c>
      <c r="C231" s="1292"/>
      <c r="D231" s="1293"/>
      <c r="E231" s="123">
        <v>108.49</v>
      </c>
      <c r="F231" s="124" t="s">
        <v>113</v>
      </c>
      <c r="G231" s="124">
        <v>1147.6912472577201</v>
      </c>
      <c r="H231" s="124">
        <v>1871.8358281399501</v>
      </c>
      <c r="I231" s="124">
        <v>0</v>
      </c>
      <c r="J231" s="124">
        <v>0</v>
      </c>
      <c r="K231" s="125">
        <f t="shared" si="3"/>
        <v>3019.5270753976702</v>
      </c>
      <c r="L231" s="124" t="s">
        <v>113</v>
      </c>
      <c r="M231" s="121"/>
      <c r="N231" s="5"/>
      <c r="O231" s="2"/>
      <c r="P231" s="27"/>
      <c r="Q231" s="26"/>
      <c r="R231" s="28"/>
    </row>
    <row r="232" spans="1:20" ht="30" customHeight="1" x14ac:dyDescent="0.45">
      <c r="A232" s="122" t="s">
        <v>198</v>
      </c>
      <c r="B232" s="1291" t="s">
        <v>199</v>
      </c>
      <c r="C232" s="1292"/>
      <c r="D232" s="1293"/>
      <c r="E232" s="123">
        <v>3</v>
      </c>
      <c r="F232" s="124" t="s">
        <v>88</v>
      </c>
      <c r="G232" s="124">
        <v>549.702646020884</v>
      </c>
      <c r="H232" s="124">
        <v>459.68342302529697</v>
      </c>
      <c r="I232" s="124">
        <v>0</v>
      </c>
      <c r="J232" s="124">
        <v>0</v>
      </c>
      <c r="K232" s="125">
        <f t="shared" si="3"/>
        <v>1009.386069046181</v>
      </c>
      <c r="L232" s="124" t="s">
        <v>88</v>
      </c>
      <c r="M232" s="121"/>
      <c r="N232" s="5"/>
      <c r="O232" s="2"/>
      <c r="P232" s="27"/>
      <c r="Q232" s="26"/>
      <c r="R232" s="28"/>
    </row>
    <row r="233" spans="1:20" ht="30" customHeight="1" x14ac:dyDescent="0.45">
      <c r="A233" s="122" t="s">
        <v>200</v>
      </c>
      <c r="B233" s="1291" t="s">
        <v>201</v>
      </c>
      <c r="C233" s="1292"/>
      <c r="D233" s="1293"/>
      <c r="E233" s="123">
        <v>1</v>
      </c>
      <c r="F233" s="124" t="s">
        <v>88</v>
      </c>
      <c r="G233" s="124">
        <v>45431.326216668203</v>
      </c>
      <c r="H233" s="124">
        <v>2899.2422241265299</v>
      </c>
      <c r="I233" s="124">
        <v>0</v>
      </c>
      <c r="J233" s="124">
        <v>0</v>
      </c>
      <c r="K233" s="125">
        <f t="shared" si="3"/>
        <v>48330.568440794734</v>
      </c>
      <c r="L233" s="124" t="s">
        <v>88</v>
      </c>
      <c r="M233" s="121"/>
      <c r="N233" s="5"/>
      <c r="O233" s="2"/>
      <c r="P233" s="27"/>
      <c r="Q233" s="26"/>
      <c r="R233" s="28"/>
    </row>
    <row r="234" spans="1:20" ht="30" customHeight="1" x14ac:dyDescent="0.45">
      <c r="A234" s="1466" t="s">
        <v>118</v>
      </c>
      <c r="B234" s="1467"/>
      <c r="C234" s="1467"/>
      <c r="D234" s="1467"/>
      <c r="E234" s="126"/>
      <c r="F234" s="126"/>
      <c r="G234" s="126"/>
      <c r="H234" s="126"/>
      <c r="I234" s="126"/>
      <c r="J234" s="155" t="s">
        <v>145</v>
      </c>
      <c r="K234" s="125">
        <f>SUM(K228:K233)</f>
        <v>72515.049471742779</v>
      </c>
      <c r="L234" s="124" t="s">
        <v>188</v>
      </c>
      <c r="M234" s="25"/>
      <c r="N234" s="5"/>
      <c r="O234" s="2"/>
      <c r="P234" s="27"/>
      <c r="Q234" s="26"/>
      <c r="R234" s="28"/>
    </row>
    <row r="235" spans="1:20" ht="30" customHeight="1" thickBot="1" x14ac:dyDescent="0.5">
      <c r="A235" s="1468"/>
      <c r="B235" s="1468"/>
      <c r="C235" s="1468"/>
      <c r="D235" s="1468"/>
      <c r="E235" s="127"/>
      <c r="F235" s="78"/>
      <c r="G235" s="1296"/>
      <c r="H235" s="1297"/>
      <c r="I235" s="78"/>
      <c r="J235" s="165" t="s">
        <v>39</v>
      </c>
      <c r="K235" s="166">
        <f>+K234/H226</f>
        <v>7.2515049471742783</v>
      </c>
      <c r="L235" s="167" t="s">
        <v>163</v>
      </c>
      <c r="M235" s="25"/>
      <c r="O235" s="2"/>
      <c r="P235" s="27"/>
      <c r="Q235" s="26"/>
      <c r="R235" s="28"/>
    </row>
    <row r="236" spans="1:20" ht="30" customHeight="1" thickBot="1" x14ac:dyDescent="0.5">
      <c r="A236" s="999"/>
      <c r="B236" s="1000"/>
      <c r="C236" s="1000"/>
      <c r="D236" s="1000"/>
      <c r="E236" s="1000"/>
      <c r="F236" s="1000"/>
      <c r="G236" s="1000"/>
      <c r="H236" s="1000"/>
      <c r="I236" s="1000"/>
      <c r="J236" s="1000"/>
      <c r="K236" s="1000"/>
      <c r="L236" s="1001"/>
      <c r="S236" s="41"/>
      <c r="T236" s="41"/>
    </row>
    <row r="237" spans="1:20" s="18" customFormat="1" ht="30" customHeight="1" x14ac:dyDescent="0.45">
      <c r="A237" s="9" t="s">
        <v>4</v>
      </c>
      <c r="B237" s="10">
        <v>1244</v>
      </c>
      <c r="C237" s="1138" t="s">
        <v>202</v>
      </c>
      <c r="D237" s="1139"/>
      <c r="E237" s="13" t="s">
        <v>7</v>
      </c>
      <c r="F237" s="14" t="s">
        <v>163</v>
      </c>
      <c r="G237" s="15" t="s">
        <v>148</v>
      </c>
      <c r="H237" s="163">
        <v>15000</v>
      </c>
      <c r="I237" s="13" t="s">
        <v>9</v>
      </c>
      <c r="J237" s="1155" t="s">
        <v>123</v>
      </c>
      <c r="K237" s="1156"/>
      <c r="L237" s="1127"/>
      <c r="M237" s="25"/>
      <c r="N237" s="5"/>
      <c r="O237" s="5"/>
    </row>
    <row r="238" spans="1:20" ht="30" customHeight="1" x14ac:dyDescent="0.45">
      <c r="A238" s="114" t="s">
        <v>77</v>
      </c>
      <c r="B238" s="1300" t="s">
        <v>12</v>
      </c>
      <c r="C238" s="1301"/>
      <c r="D238" s="1302"/>
      <c r="E238" s="115" t="s">
        <v>78</v>
      </c>
      <c r="F238" s="116" t="s">
        <v>79</v>
      </c>
      <c r="G238" s="117" t="s">
        <v>80</v>
      </c>
      <c r="H238" s="118" t="s">
        <v>81</v>
      </c>
      <c r="I238" s="118" t="s">
        <v>82</v>
      </c>
      <c r="J238" s="119" t="s">
        <v>83</v>
      </c>
      <c r="K238" s="114" t="s">
        <v>84</v>
      </c>
      <c r="L238" s="120" t="s">
        <v>85</v>
      </c>
      <c r="M238" s="121"/>
      <c r="N238" s="5"/>
      <c r="O238" s="2"/>
      <c r="P238" s="27"/>
      <c r="Q238" s="26"/>
      <c r="R238" s="28"/>
    </row>
    <row r="239" spans="1:20" ht="30" customHeight="1" x14ac:dyDescent="0.45">
      <c r="A239" s="122" t="s">
        <v>203</v>
      </c>
      <c r="B239" s="1291" t="s">
        <v>204</v>
      </c>
      <c r="C239" s="1292"/>
      <c r="D239" s="1293"/>
      <c r="E239" s="123">
        <v>71</v>
      </c>
      <c r="F239" s="124" t="s">
        <v>29</v>
      </c>
      <c r="G239" s="124">
        <v>1676.85876981666</v>
      </c>
      <c r="H239" s="124">
        <v>201.096633157344</v>
      </c>
      <c r="I239" s="124">
        <v>207.99888920837699</v>
      </c>
      <c r="J239" s="124">
        <v>0</v>
      </c>
      <c r="K239" s="125">
        <f>+G239+H239+I239+J239</f>
        <v>2085.9542921823809</v>
      </c>
      <c r="L239" s="124" t="s">
        <v>29</v>
      </c>
      <c r="M239" s="121"/>
      <c r="N239" s="5"/>
      <c r="O239" s="2"/>
      <c r="P239" s="27"/>
      <c r="Q239" s="26"/>
      <c r="R239" s="28"/>
    </row>
    <row r="240" spans="1:20" ht="30" customHeight="1" x14ac:dyDescent="0.45">
      <c r="A240" s="122" t="s">
        <v>205</v>
      </c>
      <c r="B240" s="1291" t="s">
        <v>206</v>
      </c>
      <c r="C240" s="1292"/>
      <c r="D240" s="1293"/>
      <c r="E240" s="123">
        <v>19</v>
      </c>
      <c r="F240" s="124" t="s">
        <v>29</v>
      </c>
      <c r="G240" s="124">
        <v>6421.2997301056303</v>
      </c>
      <c r="H240" s="124">
        <v>8512.9754918259496</v>
      </c>
      <c r="I240" s="124">
        <v>459.565620865602</v>
      </c>
      <c r="J240" s="124">
        <v>0</v>
      </c>
      <c r="K240" s="125">
        <f t="shared" ref="K240:K247" si="4">+G240+H240+I240+J240</f>
        <v>15393.840842797183</v>
      </c>
      <c r="L240" s="124" t="s">
        <v>29</v>
      </c>
      <c r="M240" s="121"/>
      <c r="N240" s="5"/>
      <c r="O240" s="2"/>
      <c r="P240" s="27"/>
      <c r="Q240" s="26"/>
      <c r="R240" s="28"/>
    </row>
    <row r="241" spans="1:20" ht="30" customHeight="1" x14ac:dyDescent="0.45">
      <c r="A241" s="122" t="s">
        <v>207</v>
      </c>
      <c r="B241" s="1291" t="s">
        <v>208</v>
      </c>
      <c r="C241" s="1292"/>
      <c r="D241" s="1293"/>
      <c r="E241" s="123">
        <v>281</v>
      </c>
      <c r="F241" s="124" t="s">
        <v>113</v>
      </c>
      <c r="G241" s="124">
        <v>12213.154175899601</v>
      </c>
      <c r="H241" s="124">
        <v>2867.6323673717702</v>
      </c>
      <c r="I241" s="124">
        <v>0</v>
      </c>
      <c r="J241" s="124">
        <v>0</v>
      </c>
      <c r="K241" s="125">
        <f t="shared" si="4"/>
        <v>15080.786543271372</v>
      </c>
      <c r="L241" s="124" t="s">
        <v>113</v>
      </c>
      <c r="M241" s="121"/>
      <c r="N241" s="5"/>
      <c r="O241" s="2"/>
      <c r="P241" s="27"/>
      <c r="Q241" s="26"/>
      <c r="R241" s="28"/>
    </row>
    <row r="242" spans="1:20" ht="30" customHeight="1" x14ac:dyDescent="0.45">
      <c r="A242" s="122" t="s">
        <v>209</v>
      </c>
      <c r="B242" s="1291" t="s">
        <v>210</v>
      </c>
      <c r="C242" s="1292"/>
      <c r="D242" s="1293"/>
      <c r="E242" s="123">
        <v>45.07</v>
      </c>
      <c r="F242" s="124" t="s">
        <v>113</v>
      </c>
      <c r="G242" s="124">
        <v>1061.4942444160299</v>
      </c>
      <c r="H242" s="124">
        <v>1809.56678863967</v>
      </c>
      <c r="I242" s="124">
        <v>0</v>
      </c>
      <c r="J242" s="124">
        <v>0</v>
      </c>
      <c r="K242" s="125">
        <f t="shared" si="4"/>
        <v>2871.0610330557001</v>
      </c>
      <c r="L242" s="124" t="s">
        <v>113</v>
      </c>
      <c r="M242" s="121"/>
      <c r="N242" s="5"/>
      <c r="O242" s="2"/>
      <c r="P242" s="27"/>
      <c r="Q242" s="26"/>
      <c r="R242" s="28"/>
    </row>
    <row r="243" spans="1:20" ht="30" customHeight="1" x14ac:dyDescent="0.45">
      <c r="A243" s="122" t="s">
        <v>211</v>
      </c>
      <c r="B243" s="1291" t="s">
        <v>212</v>
      </c>
      <c r="C243" s="1292"/>
      <c r="D243" s="1293"/>
      <c r="E243" s="123">
        <v>4</v>
      </c>
      <c r="F243" s="124" t="s">
        <v>88</v>
      </c>
      <c r="G243" s="124">
        <v>692.32748817978199</v>
      </c>
      <c r="H243" s="124">
        <v>531.78935481539997</v>
      </c>
      <c r="I243" s="124">
        <v>0</v>
      </c>
      <c r="J243" s="124">
        <v>0</v>
      </c>
      <c r="K243" s="125">
        <f t="shared" si="4"/>
        <v>1224.116842995182</v>
      </c>
      <c r="L243" s="124" t="s">
        <v>88</v>
      </c>
      <c r="M243" s="121"/>
      <c r="N243" s="5"/>
      <c r="O243" s="2"/>
      <c r="P243" s="27"/>
      <c r="Q243" s="26"/>
      <c r="R243" s="28"/>
    </row>
    <row r="244" spans="1:20" ht="30" customHeight="1" x14ac:dyDescent="0.45">
      <c r="A244" s="122" t="s">
        <v>213</v>
      </c>
      <c r="B244" s="1291" t="s">
        <v>214</v>
      </c>
      <c r="C244" s="1292"/>
      <c r="D244" s="1293"/>
      <c r="E244" s="123">
        <v>1</v>
      </c>
      <c r="F244" s="124" t="s">
        <v>88</v>
      </c>
      <c r="G244" s="124">
        <v>77577.679785140906</v>
      </c>
      <c r="H244" s="124">
        <v>3103.9063171775401</v>
      </c>
      <c r="I244" s="124">
        <v>0</v>
      </c>
      <c r="J244" s="124">
        <v>0</v>
      </c>
      <c r="K244" s="125">
        <f t="shared" si="4"/>
        <v>80681.586102318441</v>
      </c>
      <c r="L244" s="124" t="s">
        <v>88</v>
      </c>
      <c r="M244" s="121"/>
      <c r="N244" s="5"/>
      <c r="O244" s="2"/>
      <c r="P244" s="27"/>
      <c r="Q244" s="26"/>
      <c r="R244" s="28"/>
    </row>
    <row r="245" spans="1:20" ht="30" customHeight="1" x14ac:dyDescent="0.45">
      <c r="A245" s="122" t="s">
        <v>215</v>
      </c>
      <c r="B245" s="1291" t="s">
        <v>216</v>
      </c>
      <c r="C245" s="1292"/>
      <c r="D245" s="1293"/>
      <c r="E245" s="123">
        <v>551.25</v>
      </c>
      <c r="F245" s="124" t="s">
        <v>35</v>
      </c>
      <c r="G245" s="124">
        <v>6057.5785005590897</v>
      </c>
      <c r="H245" s="124">
        <v>10345.3093770876</v>
      </c>
      <c r="I245" s="124">
        <v>0</v>
      </c>
      <c r="J245" s="124">
        <v>0</v>
      </c>
      <c r="K245" s="125">
        <f t="shared" si="4"/>
        <v>16402.887877646688</v>
      </c>
      <c r="L245" s="124" t="s">
        <v>35</v>
      </c>
      <c r="M245" s="121"/>
      <c r="N245" s="5"/>
      <c r="O245" s="2"/>
      <c r="P245" s="27"/>
      <c r="Q245" s="26"/>
      <c r="R245" s="28"/>
    </row>
    <row r="246" spans="1:20" ht="30" customHeight="1" x14ac:dyDescent="0.45">
      <c r="A246" s="122" t="s">
        <v>217</v>
      </c>
      <c r="B246" s="1291" t="s">
        <v>218</v>
      </c>
      <c r="C246" s="1292"/>
      <c r="D246" s="1293"/>
      <c r="E246" s="123">
        <v>115.02</v>
      </c>
      <c r="F246" s="124" t="s">
        <v>113</v>
      </c>
      <c r="G246" s="124">
        <v>5289.6509893866596</v>
      </c>
      <c r="H246" s="124">
        <v>7957.9003533409996</v>
      </c>
      <c r="I246" s="124">
        <v>31.6798308178913</v>
      </c>
      <c r="J246" s="124">
        <v>0</v>
      </c>
      <c r="K246" s="125">
        <f t="shared" si="4"/>
        <v>13279.231173545551</v>
      </c>
      <c r="L246" s="124" t="s">
        <v>113</v>
      </c>
      <c r="M246" s="121"/>
      <c r="N246" s="5"/>
      <c r="O246" s="2"/>
      <c r="P246" s="27"/>
      <c r="Q246" s="26"/>
      <c r="R246" s="28"/>
    </row>
    <row r="247" spans="1:20" ht="30" customHeight="1" x14ac:dyDescent="0.45">
      <c r="A247" s="122" t="s">
        <v>219</v>
      </c>
      <c r="B247" s="1291" t="s">
        <v>220</v>
      </c>
      <c r="C247" s="1292"/>
      <c r="D247" s="1293"/>
      <c r="E247" s="123">
        <v>4242.1400000000003</v>
      </c>
      <c r="F247" s="164" t="s">
        <v>35</v>
      </c>
      <c r="G247" s="124">
        <v>2504.7428386584702</v>
      </c>
      <c r="H247" s="124">
        <v>2476.4177967225601</v>
      </c>
      <c r="I247" s="124">
        <v>0</v>
      </c>
      <c r="J247" s="124">
        <v>0</v>
      </c>
      <c r="K247" s="125">
        <f t="shared" si="4"/>
        <v>4981.1606353810303</v>
      </c>
      <c r="L247" s="164" t="s">
        <v>35</v>
      </c>
      <c r="M247" s="25"/>
      <c r="N247" s="5"/>
      <c r="O247" s="2"/>
      <c r="P247" s="27"/>
      <c r="Q247" s="26"/>
      <c r="R247" s="28"/>
    </row>
    <row r="248" spans="1:20" ht="30" customHeight="1" x14ac:dyDescent="0.45">
      <c r="A248" s="1466" t="s">
        <v>118</v>
      </c>
      <c r="B248" s="1467"/>
      <c r="C248" s="1467"/>
      <c r="D248" s="1467"/>
      <c r="E248" s="126"/>
      <c r="F248" s="126"/>
      <c r="G248" s="126"/>
      <c r="H248" s="126"/>
      <c r="I248" s="126"/>
      <c r="J248" s="155" t="s">
        <v>145</v>
      </c>
      <c r="K248" s="125">
        <f>SUM(K239:K247)</f>
        <v>152000.62534319353</v>
      </c>
      <c r="L248" s="124" t="s">
        <v>188</v>
      </c>
      <c r="M248" s="25"/>
      <c r="N248" s="5"/>
      <c r="O248" s="2"/>
      <c r="P248" s="27"/>
      <c r="Q248" s="26"/>
      <c r="R248" s="28"/>
    </row>
    <row r="249" spans="1:20" ht="30" customHeight="1" thickBot="1" x14ac:dyDescent="0.5">
      <c r="A249" s="1468"/>
      <c r="B249" s="1468"/>
      <c r="C249" s="1468"/>
      <c r="D249" s="1468"/>
      <c r="E249" s="127"/>
      <c r="F249" s="78"/>
      <c r="G249" s="1296"/>
      <c r="H249" s="1297"/>
      <c r="I249" s="78"/>
      <c r="J249" s="165" t="s">
        <v>39</v>
      </c>
      <c r="K249" s="166">
        <f>+K248/H237</f>
        <v>10.133375022879569</v>
      </c>
      <c r="L249" s="167" t="s">
        <v>163</v>
      </c>
      <c r="M249" s="25"/>
      <c r="O249" s="2"/>
      <c r="P249" s="27"/>
      <c r="Q249" s="26"/>
      <c r="R249" s="28"/>
    </row>
    <row r="250" spans="1:20" ht="30" customHeight="1" thickBot="1" x14ac:dyDescent="0.5">
      <c r="A250" s="999"/>
      <c r="B250" s="1000"/>
      <c r="C250" s="1000"/>
      <c r="D250" s="1000"/>
      <c r="E250" s="1000"/>
      <c r="F250" s="1000"/>
      <c r="G250" s="1000"/>
      <c r="H250" s="1000"/>
      <c r="I250" s="1000"/>
      <c r="J250" s="1000"/>
      <c r="K250" s="1000"/>
      <c r="L250" s="1001"/>
      <c r="S250" s="41"/>
      <c r="T250" s="41"/>
    </row>
    <row r="251" spans="1:20" ht="30" customHeight="1" x14ac:dyDescent="0.45">
      <c r="A251" s="9" t="s">
        <v>4</v>
      </c>
      <c r="B251" s="10">
        <v>1251</v>
      </c>
      <c r="C251" s="1298" t="s">
        <v>221</v>
      </c>
      <c r="D251" s="1299"/>
      <c r="E251" s="13" t="s">
        <v>7</v>
      </c>
      <c r="F251" s="167" t="s">
        <v>113</v>
      </c>
      <c r="G251" s="11" t="s">
        <v>148</v>
      </c>
      <c r="H251" s="169">
        <v>1000</v>
      </c>
      <c r="I251" s="13" t="s">
        <v>9</v>
      </c>
      <c r="J251" s="985" t="s">
        <v>123</v>
      </c>
      <c r="K251" s="985"/>
      <c r="L251" s="986"/>
      <c r="M251" s="25"/>
      <c r="N251" s="170"/>
    </row>
    <row r="252" spans="1:20" ht="30" customHeight="1" x14ac:dyDescent="0.45">
      <c r="A252" s="114" t="s">
        <v>77</v>
      </c>
      <c r="B252" s="1300" t="s">
        <v>12</v>
      </c>
      <c r="C252" s="1301"/>
      <c r="D252" s="1302"/>
      <c r="E252" s="115" t="s">
        <v>78</v>
      </c>
      <c r="F252" s="116" t="s">
        <v>79</v>
      </c>
      <c r="G252" s="117" t="s">
        <v>80</v>
      </c>
      <c r="H252" s="118" t="s">
        <v>81</v>
      </c>
      <c r="I252" s="118" t="s">
        <v>82</v>
      </c>
      <c r="J252" s="119" t="s">
        <v>222</v>
      </c>
      <c r="K252" s="114" t="s">
        <v>84</v>
      </c>
      <c r="L252" s="120" t="s">
        <v>85</v>
      </c>
      <c r="M252" s="121"/>
      <c r="N252" s="5"/>
      <c r="O252" s="2"/>
      <c r="P252" s="27"/>
      <c r="Q252" s="26"/>
      <c r="R252" s="28"/>
    </row>
    <row r="253" spans="1:20" ht="30" customHeight="1" x14ac:dyDescent="0.45">
      <c r="A253" s="122" t="s">
        <v>223</v>
      </c>
      <c r="B253" s="1291" t="s">
        <v>224</v>
      </c>
      <c r="C253" s="1292"/>
      <c r="D253" s="1293"/>
      <c r="E253" s="123">
        <v>1000</v>
      </c>
      <c r="F253" s="124" t="s">
        <v>113</v>
      </c>
      <c r="G253" s="124">
        <v>223681.64322396801</v>
      </c>
      <c r="H253" s="124">
        <v>119542.33789129699</v>
      </c>
      <c r="I253" s="124">
        <v>0</v>
      </c>
      <c r="J253" s="124">
        <v>0</v>
      </c>
      <c r="K253" s="125">
        <f t="shared" ref="K253:K259" si="5">+J253+I253+H253+G253</f>
        <v>343223.98111526499</v>
      </c>
      <c r="L253" s="124" t="s">
        <v>113</v>
      </c>
      <c r="M253" s="121"/>
      <c r="N253" s="5"/>
      <c r="O253" s="2"/>
      <c r="P253" s="27"/>
      <c r="Q253" s="26"/>
      <c r="R253" s="28"/>
    </row>
    <row r="254" spans="1:20" ht="30" customHeight="1" x14ac:dyDescent="0.45">
      <c r="A254" s="122" t="s">
        <v>128</v>
      </c>
      <c r="B254" s="1291" t="s">
        <v>129</v>
      </c>
      <c r="C254" s="1292"/>
      <c r="D254" s="1293"/>
      <c r="E254" s="123">
        <v>1000</v>
      </c>
      <c r="F254" s="124" t="s">
        <v>113</v>
      </c>
      <c r="G254" s="124">
        <v>817.94033716227102</v>
      </c>
      <c r="H254" s="124">
        <v>1322.12225756065</v>
      </c>
      <c r="I254" s="124">
        <v>0</v>
      </c>
      <c r="J254" s="124">
        <v>0</v>
      </c>
      <c r="K254" s="125">
        <f t="shared" si="5"/>
        <v>2140.0625947229209</v>
      </c>
      <c r="L254" s="124" t="s">
        <v>113</v>
      </c>
      <c r="M254" s="121"/>
      <c r="N254" s="5"/>
      <c r="O254" s="2"/>
      <c r="P254" s="27"/>
      <c r="Q254" s="26"/>
      <c r="R254" s="28"/>
    </row>
    <row r="255" spans="1:20" ht="30" customHeight="1" x14ac:dyDescent="0.45">
      <c r="A255" s="122" t="s">
        <v>130</v>
      </c>
      <c r="B255" s="1291" t="s">
        <v>131</v>
      </c>
      <c r="C255" s="1292"/>
      <c r="D255" s="1293"/>
      <c r="E255" s="123">
        <v>3</v>
      </c>
      <c r="F255" s="124" t="s">
        <v>88</v>
      </c>
      <c r="G255" s="124">
        <v>1307.03527346543</v>
      </c>
      <c r="H255" s="124">
        <v>464.67786687642598</v>
      </c>
      <c r="I255" s="124">
        <v>0</v>
      </c>
      <c r="J255" s="124">
        <v>0</v>
      </c>
      <c r="K255" s="125">
        <f t="shared" si="5"/>
        <v>1771.7131403418559</v>
      </c>
      <c r="L255" s="124" t="s">
        <v>88</v>
      </c>
      <c r="M255" s="121"/>
      <c r="N255" s="5"/>
      <c r="O255" s="2"/>
      <c r="P255" s="27"/>
      <c r="Q255" s="26"/>
      <c r="R255" s="28"/>
    </row>
    <row r="256" spans="1:20" ht="30" customHeight="1" x14ac:dyDescent="0.45">
      <c r="A256" s="122" t="s">
        <v>225</v>
      </c>
      <c r="B256" s="1291" t="s">
        <v>226</v>
      </c>
      <c r="C256" s="1292"/>
      <c r="D256" s="1293"/>
      <c r="E256" s="123">
        <v>1000</v>
      </c>
      <c r="F256" s="124" t="s">
        <v>113</v>
      </c>
      <c r="G256" s="124">
        <v>16475.65536284</v>
      </c>
      <c r="H256" s="124">
        <v>45209.446288786799</v>
      </c>
      <c r="I256" s="124">
        <v>0</v>
      </c>
      <c r="J256" s="124">
        <v>0</v>
      </c>
      <c r="K256" s="125">
        <f t="shared" si="5"/>
        <v>61685.101651626799</v>
      </c>
      <c r="L256" s="124" t="s">
        <v>113</v>
      </c>
      <c r="M256" s="121"/>
      <c r="N256" s="5"/>
      <c r="O256" s="2"/>
      <c r="P256" s="27"/>
      <c r="Q256" s="26"/>
      <c r="R256" s="28"/>
    </row>
    <row r="257" spans="1:18" ht="30" customHeight="1" x14ac:dyDescent="0.45">
      <c r="A257" s="122" t="s">
        <v>227</v>
      </c>
      <c r="B257" s="1291" t="s">
        <v>228</v>
      </c>
      <c r="C257" s="1292"/>
      <c r="D257" s="1293"/>
      <c r="E257" s="123">
        <v>1000</v>
      </c>
      <c r="F257" s="124" t="s">
        <v>113</v>
      </c>
      <c r="G257" s="124">
        <v>2871.1375100389901</v>
      </c>
      <c r="H257" s="124">
        <v>951.322638310196</v>
      </c>
      <c r="I257" s="124">
        <v>16.6926599420872</v>
      </c>
      <c r="J257" s="124">
        <v>0</v>
      </c>
      <c r="K257" s="125">
        <f t="shared" si="5"/>
        <v>3839.1528082912732</v>
      </c>
      <c r="L257" s="124" t="s">
        <v>113</v>
      </c>
      <c r="M257" s="121"/>
      <c r="N257" s="5"/>
      <c r="O257" s="2"/>
      <c r="P257" s="27"/>
      <c r="Q257" s="26"/>
      <c r="R257" s="28"/>
    </row>
    <row r="258" spans="1:18" ht="30" customHeight="1" x14ac:dyDescent="0.45">
      <c r="A258" s="122" t="s">
        <v>229</v>
      </c>
      <c r="B258" s="1291" t="s">
        <v>230</v>
      </c>
      <c r="C258" s="1292"/>
      <c r="D258" s="1293"/>
      <c r="E258" s="123">
        <v>3</v>
      </c>
      <c r="F258" s="124" t="s">
        <v>88</v>
      </c>
      <c r="G258" s="124">
        <v>32425.5420154842</v>
      </c>
      <c r="H258" s="124">
        <v>7752.67411509463</v>
      </c>
      <c r="I258" s="124">
        <v>0</v>
      </c>
      <c r="J258" s="124">
        <v>0</v>
      </c>
      <c r="K258" s="125">
        <f t="shared" si="5"/>
        <v>40178.216130578832</v>
      </c>
      <c r="L258" s="124" t="s">
        <v>88</v>
      </c>
      <c r="M258" s="121"/>
      <c r="N258" s="5"/>
      <c r="O258" s="2"/>
      <c r="P258" s="27"/>
      <c r="Q258" s="26"/>
      <c r="R258" s="28"/>
    </row>
    <row r="259" spans="1:18" ht="30" customHeight="1" x14ac:dyDescent="0.45">
      <c r="A259" s="122" t="s">
        <v>231</v>
      </c>
      <c r="B259" s="1465" t="s">
        <v>232</v>
      </c>
      <c r="C259" s="1465"/>
      <c r="D259" s="1465"/>
      <c r="E259" s="123">
        <v>3</v>
      </c>
      <c r="F259" s="164" t="s">
        <v>88</v>
      </c>
      <c r="G259" s="124">
        <v>12051.265845189801</v>
      </c>
      <c r="H259" s="124">
        <v>13318.1710008379</v>
      </c>
      <c r="I259" s="124">
        <v>90.841455404838399</v>
      </c>
      <c r="J259" s="124">
        <v>0</v>
      </c>
      <c r="K259" s="125">
        <f t="shared" si="5"/>
        <v>25460.27830143254</v>
      </c>
      <c r="L259" s="164" t="s">
        <v>88</v>
      </c>
      <c r="M259" s="25"/>
      <c r="N259" s="5"/>
      <c r="O259" s="2"/>
      <c r="P259" s="27"/>
      <c r="Q259" s="26"/>
      <c r="R259" s="28"/>
    </row>
    <row r="260" spans="1:18" ht="30" customHeight="1" x14ac:dyDescent="0.45">
      <c r="A260" s="1466" t="s">
        <v>118</v>
      </c>
      <c r="B260" s="1467"/>
      <c r="C260" s="1467"/>
      <c r="D260" s="1467"/>
      <c r="E260" s="126"/>
      <c r="F260" s="126"/>
      <c r="G260" s="126"/>
      <c r="H260" s="126"/>
      <c r="I260" s="126"/>
      <c r="J260" s="155" t="s">
        <v>145</v>
      </c>
      <c r="K260" s="125">
        <f>SUM(K253:K259)</f>
        <v>478298.50574225921</v>
      </c>
      <c r="L260" s="124" t="s">
        <v>188</v>
      </c>
      <c r="M260" s="25"/>
      <c r="N260" s="5"/>
      <c r="O260" s="2"/>
      <c r="P260" s="27"/>
      <c r="Q260" s="26"/>
      <c r="R260" s="28"/>
    </row>
    <row r="261" spans="1:18" ht="30" customHeight="1" thickBot="1" x14ac:dyDescent="0.5">
      <c r="A261" s="1468"/>
      <c r="B261" s="1468"/>
      <c r="C261" s="1468"/>
      <c r="D261" s="1468"/>
      <c r="E261" s="127"/>
      <c r="F261" s="78"/>
      <c r="G261" s="1296"/>
      <c r="H261" s="1297"/>
      <c r="I261" s="78"/>
      <c r="J261" s="128" t="s">
        <v>39</v>
      </c>
      <c r="K261" s="162">
        <f>K260/H251</f>
        <v>478.29850574225918</v>
      </c>
      <c r="L261" s="167" t="s">
        <v>113</v>
      </c>
      <c r="M261" s="25"/>
      <c r="O261" s="2"/>
      <c r="P261" s="27"/>
      <c r="Q261" s="26"/>
      <c r="R261" s="28"/>
    </row>
    <row r="262" spans="1:18" ht="30" customHeight="1" thickBot="1" x14ac:dyDescent="0.5">
      <c r="A262" s="999"/>
      <c r="B262" s="1000"/>
      <c r="C262" s="1000"/>
      <c r="D262" s="1000"/>
      <c r="E262" s="1000"/>
      <c r="F262" s="1000"/>
      <c r="G262" s="1000"/>
      <c r="H262" s="1000"/>
      <c r="I262" s="1000"/>
      <c r="J262" s="1000"/>
      <c r="K262" s="1000"/>
      <c r="L262" s="1001"/>
      <c r="M262" s="25"/>
    </row>
    <row r="263" spans="1:18" ht="30" customHeight="1" x14ac:dyDescent="0.45">
      <c r="A263" s="9" t="s">
        <v>4</v>
      </c>
      <c r="B263" s="10">
        <v>1252</v>
      </c>
      <c r="C263" s="1138" t="s">
        <v>233</v>
      </c>
      <c r="D263" s="1139"/>
      <c r="E263" s="13" t="s">
        <v>7</v>
      </c>
      <c r="F263" s="167" t="s">
        <v>113</v>
      </c>
      <c r="G263" s="11" t="s">
        <v>148</v>
      </c>
      <c r="H263" s="169">
        <v>1000</v>
      </c>
      <c r="I263" s="13" t="s">
        <v>9</v>
      </c>
      <c r="J263" s="985" t="s">
        <v>123</v>
      </c>
      <c r="K263" s="985"/>
      <c r="L263" s="986"/>
      <c r="M263" s="25"/>
      <c r="N263" s="170"/>
    </row>
    <row r="264" spans="1:18" ht="30" customHeight="1" x14ac:dyDescent="0.45">
      <c r="A264" s="114" t="s">
        <v>77</v>
      </c>
      <c r="B264" s="1300" t="s">
        <v>12</v>
      </c>
      <c r="C264" s="1301"/>
      <c r="D264" s="1302"/>
      <c r="E264" s="115" t="s">
        <v>78</v>
      </c>
      <c r="F264" s="116" t="s">
        <v>79</v>
      </c>
      <c r="G264" s="117" t="s">
        <v>80</v>
      </c>
      <c r="H264" s="118" t="s">
        <v>81</v>
      </c>
      <c r="I264" s="118" t="s">
        <v>82</v>
      </c>
      <c r="J264" s="119" t="s">
        <v>222</v>
      </c>
      <c r="K264" s="114" t="s">
        <v>84</v>
      </c>
      <c r="L264" s="120" t="s">
        <v>85</v>
      </c>
      <c r="M264" s="121"/>
      <c r="N264" s="5"/>
      <c r="O264" s="2"/>
      <c r="P264" s="27"/>
      <c r="Q264" s="26"/>
      <c r="R264" s="28"/>
    </row>
    <row r="265" spans="1:18" ht="30" customHeight="1" x14ac:dyDescent="0.45">
      <c r="A265" s="122" t="s">
        <v>234</v>
      </c>
      <c r="B265" s="1291" t="s">
        <v>235</v>
      </c>
      <c r="C265" s="1292"/>
      <c r="D265" s="1293"/>
      <c r="E265" s="123">
        <v>1000</v>
      </c>
      <c r="F265" s="124" t="s">
        <v>113</v>
      </c>
      <c r="G265" s="124">
        <v>65101.373774139996</v>
      </c>
      <c r="H265" s="124">
        <v>70851.915585057097</v>
      </c>
      <c r="I265" s="124">
        <v>0</v>
      </c>
      <c r="J265" s="124">
        <v>0</v>
      </c>
      <c r="K265" s="125">
        <f>+J265+I265+H265+G265</f>
        <v>135953.28935919708</v>
      </c>
      <c r="L265" s="124" t="s">
        <v>113</v>
      </c>
      <c r="M265" s="121"/>
      <c r="N265" s="5"/>
      <c r="O265" s="2"/>
      <c r="P265" s="27"/>
      <c r="Q265" s="26"/>
      <c r="R265" s="28"/>
    </row>
    <row r="266" spans="1:18" ht="30" customHeight="1" x14ac:dyDescent="0.45">
      <c r="A266" s="122" t="s">
        <v>130</v>
      </c>
      <c r="B266" s="1291" t="s">
        <v>131</v>
      </c>
      <c r="C266" s="1292"/>
      <c r="D266" s="1293"/>
      <c r="E266" s="123">
        <v>3</v>
      </c>
      <c r="F266" s="124" t="s">
        <v>88</v>
      </c>
      <c r="G266" s="124">
        <v>1307.03527346543</v>
      </c>
      <c r="H266" s="124">
        <v>464.67786687642598</v>
      </c>
      <c r="I266" s="124">
        <v>0</v>
      </c>
      <c r="J266" s="124">
        <v>0</v>
      </c>
      <c r="K266" s="125">
        <f>+J266+I266+H266+G266</f>
        <v>1771.7131403418559</v>
      </c>
      <c r="L266" s="124" t="s">
        <v>88</v>
      </c>
      <c r="M266" s="121"/>
      <c r="N266" s="5"/>
      <c r="O266" s="2"/>
      <c r="P266" s="27"/>
      <c r="Q266" s="26"/>
      <c r="R266" s="28"/>
    </row>
    <row r="267" spans="1:18" ht="30" customHeight="1" x14ac:dyDescent="0.45">
      <c r="A267" s="122" t="s">
        <v>227</v>
      </c>
      <c r="B267" s="1291" t="s">
        <v>228</v>
      </c>
      <c r="C267" s="1292"/>
      <c r="D267" s="1293"/>
      <c r="E267" s="123">
        <v>1000</v>
      </c>
      <c r="F267" s="124" t="s">
        <v>113</v>
      </c>
      <c r="G267" s="124">
        <v>2871.1375100389901</v>
      </c>
      <c r="H267" s="124">
        <v>951.322638310196</v>
      </c>
      <c r="I267" s="124">
        <v>16.6926599420872</v>
      </c>
      <c r="J267" s="124">
        <v>0</v>
      </c>
      <c r="K267" s="125">
        <f>+J267+I267+H267+G267</f>
        <v>3839.1528082912732</v>
      </c>
      <c r="L267" s="124" t="s">
        <v>113</v>
      </c>
      <c r="M267" s="121"/>
      <c r="N267" s="5"/>
      <c r="O267" s="2"/>
      <c r="P267" s="27"/>
      <c r="Q267" s="26"/>
      <c r="R267" s="28"/>
    </row>
    <row r="268" spans="1:18" ht="30" customHeight="1" x14ac:dyDescent="0.45">
      <c r="A268" s="122" t="s">
        <v>229</v>
      </c>
      <c r="B268" s="1291" t="s">
        <v>230</v>
      </c>
      <c r="C268" s="1292"/>
      <c r="D268" s="1293"/>
      <c r="E268" s="123">
        <v>1</v>
      </c>
      <c r="F268" s="124" t="s">
        <v>88</v>
      </c>
      <c r="G268" s="124">
        <v>10808.5140051614</v>
      </c>
      <c r="H268" s="124">
        <v>2584.22470503154</v>
      </c>
      <c r="I268" s="124">
        <v>0</v>
      </c>
      <c r="J268" s="124">
        <v>0</v>
      </c>
      <c r="K268" s="125">
        <f>+J268+I268+H268+G268</f>
        <v>13392.73871019294</v>
      </c>
      <c r="L268" s="124" t="s">
        <v>88</v>
      </c>
      <c r="M268" s="121"/>
      <c r="N268" s="5"/>
      <c r="O268" s="2"/>
      <c r="P268" s="27"/>
      <c r="Q268" s="26"/>
      <c r="R268" s="28"/>
    </row>
    <row r="269" spans="1:18" ht="30" customHeight="1" x14ac:dyDescent="0.45">
      <c r="A269" s="122" t="s">
        <v>231</v>
      </c>
      <c r="B269" s="1291" t="s">
        <v>232</v>
      </c>
      <c r="C269" s="1292"/>
      <c r="D269" s="1293"/>
      <c r="E269" s="123">
        <v>1</v>
      </c>
      <c r="F269" s="124" t="s">
        <v>88</v>
      </c>
      <c r="G269" s="124">
        <v>4017.08861506328</v>
      </c>
      <c r="H269" s="124">
        <v>4439.3903336126396</v>
      </c>
      <c r="I269" s="124">
        <v>30.280485134946101</v>
      </c>
      <c r="J269" s="124">
        <v>0</v>
      </c>
      <c r="K269" s="125">
        <f>+J269+I269+H269+G269</f>
        <v>8486.7594338108665</v>
      </c>
      <c r="L269" s="124" t="s">
        <v>88</v>
      </c>
      <c r="M269" s="121"/>
      <c r="N269" s="5"/>
      <c r="O269" s="2"/>
      <c r="P269" s="27"/>
      <c r="Q269" s="26"/>
      <c r="R269" s="28"/>
    </row>
    <row r="270" spans="1:18" ht="30" customHeight="1" x14ac:dyDescent="0.45">
      <c r="A270" s="1466" t="s">
        <v>118</v>
      </c>
      <c r="B270" s="1467"/>
      <c r="C270" s="1467"/>
      <c r="D270" s="1467"/>
      <c r="E270" s="126"/>
      <c r="F270" s="126"/>
      <c r="G270" s="126"/>
      <c r="H270" s="126"/>
      <c r="I270" s="126"/>
      <c r="J270" s="155" t="s">
        <v>145</v>
      </c>
      <c r="K270" s="125">
        <f>SUM(K265:K269)</f>
        <v>163443.65345183402</v>
      </c>
      <c r="L270" s="124" t="s">
        <v>188</v>
      </c>
      <c r="M270" s="25"/>
      <c r="N270" s="5"/>
      <c r="O270" s="2"/>
      <c r="P270" s="27"/>
      <c r="Q270" s="26"/>
      <c r="R270" s="28"/>
    </row>
    <row r="271" spans="1:18" ht="30" customHeight="1" thickBot="1" x14ac:dyDescent="0.5">
      <c r="A271" s="1468"/>
      <c r="B271" s="1468"/>
      <c r="C271" s="1468"/>
      <c r="D271" s="1468"/>
      <c r="E271" s="127"/>
      <c r="F271" s="78"/>
      <c r="G271" s="1296"/>
      <c r="H271" s="1297"/>
      <c r="I271" s="78"/>
      <c r="J271" s="128" t="s">
        <v>39</v>
      </c>
      <c r="K271" s="162">
        <f>K270/H263</f>
        <v>163.44365345183402</v>
      </c>
      <c r="L271" s="167" t="s">
        <v>113</v>
      </c>
      <c r="M271" s="25"/>
      <c r="O271" s="2"/>
      <c r="P271" s="27"/>
      <c r="Q271" s="26"/>
      <c r="R271" s="28"/>
    </row>
    <row r="272" spans="1:18" ht="30" customHeight="1" thickBot="1" x14ac:dyDescent="0.5">
      <c r="A272" s="999"/>
      <c r="B272" s="1000"/>
      <c r="C272" s="1000"/>
      <c r="D272" s="1000"/>
      <c r="E272" s="1000"/>
      <c r="F272" s="1000"/>
      <c r="G272" s="1000"/>
      <c r="H272" s="1000"/>
      <c r="I272" s="1000"/>
      <c r="J272" s="1000"/>
      <c r="K272" s="1000"/>
      <c r="L272" s="1001"/>
      <c r="M272" s="25"/>
    </row>
    <row r="273" spans="1:20" ht="30" customHeight="1" x14ac:dyDescent="0.45">
      <c r="A273" s="9" t="s">
        <v>4</v>
      </c>
      <c r="B273" s="10">
        <v>1261</v>
      </c>
      <c r="C273" s="983" t="s">
        <v>236</v>
      </c>
      <c r="D273" s="984"/>
      <c r="E273" s="13" t="s">
        <v>7</v>
      </c>
      <c r="F273" s="167" t="s">
        <v>121</v>
      </c>
      <c r="G273" s="11" t="s">
        <v>148</v>
      </c>
      <c r="H273" s="171">
        <v>4</v>
      </c>
      <c r="I273" s="13" t="s">
        <v>9</v>
      </c>
      <c r="J273" s="1155" t="s">
        <v>123</v>
      </c>
      <c r="K273" s="1156"/>
      <c r="L273" s="1127"/>
      <c r="S273" s="41"/>
      <c r="T273" s="41"/>
    </row>
    <row r="274" spans="1:20" ht="30" customHeight="1" x14ac:dyDescent="0.45">
      <c r="A274" s="114" t="s">
        <v>77</v>
      </c>
      <c r="B274" s="1300" t="s">
        <v>12</v>
      </c>
      <c r="C274" s="1301"/>
      <c r="D274" s="1302"/>
      <c r="E274" s="115" t="s">
        <v>78</v>
      </c>
      <c r="F274" s="116" t="s">
        <v>79</v>
      </c>
      <c r="G274" s="117" t="s">
        <v>80</v>
      </c>
      <c r="H274" s="118" t="s">
        <v>81</v>
      </c>
      <c r="I274" s="118" t="s">
        <v>82</v>
      </c>
      <c r="J274" s="119" t="s">
        <v>222</v>
      </c>
      <c r="K274" s="114" t="s">
        <v>84</v>
      </c>
      <c r="L274" s="120" t="s">
        <v>85</v>
      </c>
      <c r="M274" s="121"/>
      <c r="N274" s="5"/>
      <c r="O274" s="2"/>
      <c r="P274" s="27"/>
      <c r="Q274" s="26"/>
      <c r="R274" s="28"/>
    </row>
    <row r="275" spans="1:20" ht="30" customHeight="1" x14ac:dyDescent="0.45">
      <c r="A275" s="122" t="s">
        <v>237</v>
      </c>
      <c r="B275" s="1291" t="s">
        <v>238</v>
      </c>
      <c r="C275" s="1292"/>
      <c r="D275" s="1293"/>
      <c r="E275" s="123">
        <v>2400</v>
      </c>
      <c r="F275" s="124" t="s">
        <v>35</v>
      </c>
      <c r="G275" s="124">
        <v>56300.1915115179</v>
      </c>
      <c r="H275" s="124">
        <v>23449.358886707902</v>
      </c>
      <c r="I275" s="124">
        <v>6613.6426783629504</v>
      </c>
      <c r="J275" s="124">
        <v>0</v>
      </c>
      <c r="K275" s="125">
        <f>+J275+I275+H275+G275</f>
        <v>86363.193076588752</v>
      </c>
      <c r="L275" s="124" t="s">
        <v>35</v>
      </c>
      <c r="M275" s="121"/>
      <c r="N275" s="5"/>
      <c r="O275" s="2"/>
      <c r="P275" s="27"/>
      <c r="Q275" s="26"/>
      <c r="R275" s="28"/>
    </row>
    <row r="276" spans="1:20" ht="30" customHeight="1" x14ac:dyDescent="0.45">
      <c r="A276" s="122" t="s">
        <v>239</v>
      </c>
      <c r="B276" s="1291" t="s">
        <v>240</v>
      </c>
      <c r="C276" s="1292"/>
      <c r="D276" s="1293"/>
      <c r="E276" s="123">
        <v>4</v>
      </c>
      <c r="F276" s="124" t="s">
        <v>88</v>
      </c>
      <c r="G276" s="124">
        <v>88864.831003412401</v>
      </c>
      <c r="H276" s="124">
        <v>8040.4555486293202</v>
      </c>
      <c r="I276" s="124">
        <v>571.72866380213702</v>
      </c>
      <c r="J276" s="124">
        <v>0</v>
      </c>
      <c r="K276" s="125">
        <f>+J276+I276+H276+G276</f>
        <v>97477.015215843858</v>
      </c>
      <c r="L276" s="124" t="s">
        <v>88</v>
      </c>
      <c r="M276" s="121"/>
      <c r="N276" s="5"/>
      <c r="O276" s="2"/>
      <c r="P276" s="27"/>
      <c r="Q276" s="26"/>
      <c r="R276" s="28"/>
    </row>
    <row r="277" spans="1:20" ht="30" customHeight="1" x14ac:dyDescent="0.45">
      <c r="A277" s="122" t="s">
        <v>241</v>
      </c>
      <c r="B277" s="1291" t="s">
        <v>242</v>
      </c>
      <c r="C277" s="1292"/>
      <c r="D277" s="1293"/>
      <c r="E277" s="123">
        <v>4</v>
      </c>
      <c r="F277" s="124" t="s">
        <v>88</v>
      </c>
      <c r="G277" s="124">
        <v>27385.913964882599</v>
      </c>
      <c r="H277" s="124">
        <v>3212.9739686787798</v>
      </c>
      <c r="I277" s="124">
        <v>0</v>
      </c>
      <c r="J277" s="124">
        <v>0</v>
      </c>
      <c r="K277" s="125">
        <f>+J277+I277+H277+G277</f>
        <v>30598.887933561378</v>
      </c>
      <c r="L277" s="124" t="s">
        <v>88</v>
      </c>
      <c r="M277" s="121"/>
      <c r="N277" s="5"/>
      <c r="O277" s="2"/>
      <c r="P277" s="27"/>
      <c r="Q277" s="26"/>
      <c r="R277" s="28"/>
    </row>
    <row r="278" spans="1:20" ht="30" customHeight="1" x14ac:dyDescent="0.45">
      <c r="A278" s="122" t="s">
        <v>243</v>
      </c>
      <c r="B278" s="1291" t="s">
        <v>244</v>
      </c>
      <c r="C278" s="1292"/>
      <c r="D278" s="1293"/>
      <c r="E278" s="123">
        <v>4</v>
      </c>
      <c r="F278" s="124" t="s">
        <v>88</v>
      </c>
      <c r="G278" s="124">
        <v>54771.827929765197</v>
      </c>
      <c r="H278" s="124">
        <v>11736.4783678773</v>
      </c>
      <c r="I278" s="124">
        <v>2858.64731818993</v>
      </c>
      <c r="J278" s="124">
        <v>0</v>
      </c>
      <c r="K278" s="125">
        <f t="shared" ref="K278:K281" si="6">+J278+I278+H278+G278</f>
        <v>69366.953615832434</v>
      </c>
      <c r="L278" s="124" t="s">
        <v>88</v>
      </c>
      <c r="M278" s="121"/>
      <c r="N278" s="5"/>
      <c r="O278" s="2"/>
      <c r="P278" s="27"/>
      <c r="Q278" s="26"/>
      <c r="R278" s="28"/>
    </row>
    <row r="279" spans="1:20" ht="30" customHeight="1" x14ac:dyDescent="0.45">
      <c r="A279" s="122" t="s">
        <v>245</v>
      </c>
      <c r="B279" s="1291" t="s">
        <v>246</v>
      </c>
      <c r="C279" s="1292"/>
      <c r="D279" s="1293"/>
      <c r="E279" s="123">
        <v>4</v>
      </c>
      <c r="F279" s="124" t="s">
        <v>88</v>
      </c>
      <c r="G279" s="124">
        <v>50508.152701699597</v>
      </c>
      <c r="H279" s="124">
        <v>12323.301984111</v>
      </c>
      <c r="I279" s="124">
        <v>3001.57998403787</v>
      </c>
      <c r="J279" s="124">
        <v>0</v>
      </c>
      <c r="K279" s="125">
        <f t="shared" si="6"/>
        <v>65833.034669848465</v>
      </c>
      <c r="L279" s="124" t="s">
        <v>88</v>
      </c>
      <c r="M279" s="121"/>
      <c r="N279" s="5"/>
      <c r="O279" s="2"/>
      <c r="P279" s="27"/>
      <c r="Q279" s="26"/>
      <c r="R279" s="28"/>
    </row>
    <row r="280" spans="1:20" ht="30" customHeight="1" x14ac:dyDescent="0.45">
      <c r="A280" s="122" t="s">
        <v>247</v>
      </c>
      <c r="B280" s="1291" t="s">
        <v>248</v>
      </c>
      <c r="C280" s="1292"/>
      <c r="D280" s="1293"/>
      <c r="E280" s="123">
        <v>4</v>
      </c>
      <c r="F280" s="124" t="s">
        <v>88</v>
      </c>
      <c r="G280" s="124">
        <v>1325.01907087576</v>
      </c>
      <c r="H280" s="124">
        <v>1335.6603569101101</v>
      </c>
      <c r="I280" s="124">
        <v>0</v>
      </c>
      <c r="J280" s="124">
        <v>0</v>
      </c>
      <c r="K280" s="125">
        <f t="shared" si="6"/>
        <v>2660.6794277858698</v>
      </c>
      <c r="L280" s="124" t="s">
        <v>88</v>
      </c>
      <c r="M280" s="121"/>
      <c r="N280" s="5"/>
      <c r="O280" s="2"/>
      <c r="P280" s="27"/>
      <c r="Q280" s="26"/>
      <c r="R280" s="28"/>
    </row>
    <row r="281" spans="1:20" ht="30" customHeight="1" x14ac:dyDescent="0.45">
      <c r="A281" s="122" t="s">
        <v>249</v>
      </c>
      <c r="B281" s="1465" t="s">
        <v>250</v>
      </c>
      <c r="C281" s="1465"/>
      <c r="D281" s="1465"/>
      <c r="E281" s="123">
        <v>4</v>
      </c>
      <c r="F281" s="164" t="s">
        <v>88</v>
      </c>
      <c r="G281" s="124">
        <v>68566.457167645</v>
      </c>
      <c r="H281" s="124">
        <v>19543.969258299599</v>
      </c>
      <c r="I281" s="124">
        <v>941.84470467719905</v>
      </c>
      <c r="J281" s="124">
        <v>0</v>
      </c>
      <c r="K281" s="125">
        <f t="shared" si="6"/>
        <v>89052.271130621797</v>
      </c>
      <c r="L281" s="164" t="s">
        <v>88</v>
      </c>
      <c r="M281" s="25"/>
      <c r="N281" s="5"/>
      <c r="O281" s="2"/>
      <c r="P281" s="27"/>
      <c r="Q281" s="26"/>
      <c r="R281" s="28"/>
    </row>
    <row r="282" spans="1:20" ht="30" customHeight="1" x14ac:dyDescent="0.45">
      <c r="A282" s="172"/>
      <c r="B282" s="1463"/>
      <c r="C282" s="1463"/>
      <c r="D282" s="1463"/>
      <c r="E282" s="126"/>
      <c r="F282" s="126"/>
      <c r="G282" s="126"/>
      <c r="H282" s="126"/>
      <c r="I282" s="126"/>
      <c r="J282" s="155" t="s">
        <v>145</v>
      </c>
      <c r="K282" s="125">
        <f>SUM(K275:K281)</f>
        <v>441352.03507008252</v>
      </c>
      <c r="L282" s="124" t="s">
        <v>188</v>
      </c>
      <c r="M282" s="25"/>
      <c r="N282" s="5"/>
      <c r="O282" s="2"/>
      <c r="P282" s="27"/>
      <c r="Q282" s="26"/>
      <c r="R282" s="28"/>
    </row>
    <row r="283" spans="1:20" ht="30" customHeight="1" thickBot="1" x14ac:dyDescent="0.5">
      <c r="A283" s="83"/>
      <c r="B283" s="1464"/>
      <c r="C283" s="1464"/>
      <c r="D283" s="1464"/>
      <c r="E283" s="127"/>
      <c r="F283" s="78"/>
      <c r="G283" s="1296"/>
      <c r="H283" s="1297"/>
      <c r="I283" s="78"/>
      <c r="J283" s="165" t="s">
        <v>39</v>
      </c>
      <c r="K283" s="162">
        <f>K282/H273</f>
        <v>110338.00876752063</v>
      </c>
      <c r="L283" s="167" t="s">
        <v>121</v>
      </c>
      <c r="M283" s="25"/>
      <c r="O283" s="2"/>
      <c r="P283" s="27"/>
      <c r="Q283" s="26"/>
      <c r="R283" s="28"/>
    </row>
    <row r="284" spans="1:20" ht="30" customHeight="1" thickBot="1" x14ac:dyDescent="0.5">
      <c r="A284" s="999"/>
      <c r="B284" s="1000"/>
      <c r="C284" s="1000"/>
      <c r="D284" s="1000"/>
      <c r="E284" s="1000"/>
      <c r="F284" s="1000"/>
      <c r="G284" s="1000"/>
      <c r="H284" s="1000"/>
      <c r="I284" s="1000"/>
      <c r="J284" s="1000"/>
      <c r="K284" s="1000"/>
      <c r="L284" s="1001"/>
      <c r="M284" s="25"/>
    </row>
    <row r="285" spans="1:20" ht="30" customHeight="1" x14ac:dyDescent="0.45">
      <c r="A285" s="9" t="s">
        <v>4</v>
      </c>
      <c r="B285" s="10">
        <v>1262</v>
      </c>
      <c r="C285" s="983" t="s">
        <v>251</v>
      </c>
      <c r="D285" s="984"/>
      <c r="E285" s="13" t="s">
        <v>7</v>
      </c>
      <c r="F285" s="14" t="s">
        <v>252</v>
      </c>
      <c r="G285" s="173" t="s">
        <v>148</v>
      </c>
      <c r="H285" s="169">
        <v>2400</v>
      </c>
      <c r="I285" s="13" t="s">
        <v>9</v>
      </c>
      <c r="J285" s="1155" t="s">
        <v>123</v>
      </c>
      <c r="K285" s="1156"/>
      <c r="L285" s="1127"/>
      <c r="M285" s="25"/>
    </row>
    <row r="286" spans="1:20" ht="30" customHeight="1" x14ac:dyDescent="0.45">
      <c r="A286" s="114" t="s">
        <v>77</v>
      </c>
      <c r="B286" s="1300" t="s">
        <v>12</v>
      </c>
      <c r="C286" s="1301"/>
      <c r="D286" s="1302"/>
      <c r="E286" s="115" t="s">
        <v>78</v>
      </c>
      <c r="F286" s="116" t="s">
        <v>79</v>
      </c>
      <c r="G286" s="117" t="s">
        <v>80</v>
      </c>
      <c r="H286" s="118" t="s">
        <v>81</v>
      </c>
      <c r="I286" s="118" t="s">
        <v>82</v>
      </c>
      <c r="J286" s="119" t="s">
        <v>222</v>
      </c>
      <c r="K286" s="114" t="s">
        <v>84</v>
      </c>
      <c r="L286" s="120" t="s">
        <v>85</v>
      </c>
      <c r="M286" s="121"/>
      <c r="N286" s="5"/>
      <c r="O286" s="2"/>
      <c r="P286" s="27"/>
      <c r="Q286" s="26"/>
      <c r="R286" s="28"/>
    </row>
    <row r="287" spans="1:20" ht="30" customHeight="1" x14ac:dyDescent="0.45">
      <c r="A287" s="122" t="s">
        <v>253</v>
      </c>
      <c r="B287" s="1291" t="s">
        <v>254</v>
      </c>
      <c r="C287" s="1292"/>
      <c r="D287" s="1293"/>
      <c r="E287" s="123">
        <v>2</v>
      </c>
      <c r="F287" s="124" t="s">
        <v>88</v>
      </c>
      <c r="G287" s="124">
        <v>136305.359307153</v>
      </c>
      <c r="H287" s="124">
        <v>13336.369194843401</v>
      </c>
      <c r="I287" s="124">
        <v>1591.0348043582601</v>
      </c>
      <c r="J287" s="124">
        <v>0</v>
      </c>
      <c r="K287" s="125">
        <f t="shared" ref="K287:K292" si="7">+J287+I287+H287+G287</f>
        <v>151232.76330635467</v>
      </c>
      <c r="L287" s="124" t="s">
        <v>88</v>
      </c>
      <c r="M287" s="121"/>
      <c r="N287" s="5"/>
      <c r="O287" s="2"/>
      <c r="P287" s="27"/>
      <c r="Q287" s="26"/>
      <c r="R287" s="28"/>
    </row>
    <row r="288" spans="1:20" ht="30" customHeight="1" x14ac:dyDescent="0.45">
      <c r="A288" s="122" t="s">
        <v>255</v>
      </c>
      <c r="B288" s="1291" t="s">
        <v>256</v>
      </c>
      <c r="C288" s="1292"/>
      <c r="D288" s="1293"/>
      <c r="E288" s="123">
        <v>4</v>
      </c>
      <c r="F288" s="124" t="s">
        <v>88</v>
      </c>
      <c r="G288" s="124">
        <v>2166222.0916784699</v>
      </c>
      <c r="H288" s="124">
        <v>55530.109770387498</v>
      </c>
      <c r="I288" s="124">
        <v>0</v>
      </c>
      <c r="J288" s="124">
        <v>0</v>
      </c>
      <c r="K288" s="125">
        <f t="shared" si="7"/>
        <v>2221752.2014488573</v>
      </c>
      <c r="L288" s="124" t="s">
        <v>88</v>
      </c>
      <c r="M288" s="121"/>
      <c r="N288" s="5"/>
      <c r="O288" s="2"/>
      <c r="P288" s="27"/>
      <c r="Q288" s="26"/>
      <c r="R288" s="28"/>
    </row>
    <row r="289" spans="1:18" ht="30" customHeight="1" x14ac:dyDescent="0.45">
      <c r="A289" s="122" t="s">
        <v>257</v>
      </c>
      <c r="B289" s="1291" t="s">
        <v>258</v>
      </c>
      <c r="C289" s="1292"/>
      <c r="D289" s="1293"/>
      <c r="E289" s="123">
        <v>1</v>
      </c>
      <c r="F289" s="124" t="s">
        <v>88</v>
      </c>
      <c r="G289" s="124">
        <v>333264.93718130299</v>
      </c>
      <c r="H289" s="124">
        <v>93558.957543944896</v>
      </c>
      <c r="I289" s="124">
        <v>17316.359487056801</v>
      </c>
      <c r="J289" s="124">
        <v>0</v>
      </c>
      <c r="K289" s="125">
        <f t="shared" si="7"/>
        <v>444140.25421230472</v>
      </c>
      <c r="L289" s="124" t="s">
        <v>88</v>
      </c>
      <c r="M289" s="121"/>
      <c r="N289" s="5"/>
      <c r="O289" s="2"/>
      <c r="P289" s="27"/>
      <c r="Q289" s="26"/>
      <c r="R289" s="28"/>
    </row>
    <row r="290" spans="1:18" ht="30" customHeight="1" x14ac:dyDescent="0.45">
      <c r="A290" s="122" t="s">
        <v>259</v>
      </c>
      <c r="B290" s="1291" t="s">
        <v>260</v>
      </c>
      <c r="C290" s="1292"/>
      <c r="D290" s="1293"/>
      <c r="E290" s="123">
        <v>1</v>
      </c>
      <c r="F290" s="124" t="s">
        <v>88</v>
      </c>
      <c r="G290" s="124">
        <v>128.307000814801</v>
      </c>
      <c r="H290" s="124">
        <v>118.742703299269</v>
      </c>
      <c r="I290" s="124">
        <v>0</v>
      </c>
      <c r="J290" s="124">
        <v>0</v>
      </c>
      <c r="K290" s="125">
        <f t="shared" si="7"/>
        <v>247.04970411406998</v>
      </c>
      <c r="L290" s="124" t="s">
        <v>88</v>
      </c>
      <c r="M290" s="121"/>
      <c r="N290" s="5"/>
      <c r="O290" s="2"/>
      <c r="P290" s="27"/>
      <c r="Q290" s="26"/>
      <c r="R290" s="28"/>
    </row>
    <row r="291" spans="1:18" ht="30" customHeight="1" x14ac:dyDescent="0.45">
      <c r="A291" s="122" t="s">
        <v>261</v>
      </c>
      <c r="B291" s="1291" t="s">
        <v>262</v>
      </c>
      <c r="C291" s="1292"/>
      <c r="D291" s="1293"/>
      <c r="E291" s="123">
        <v>4</v>
      </c>
      <c r="F291" s="124" t="s">
        <v>88</v>
      </c>
      <c r="G291" s="124">
        <v>106144.882492245</v>
      </c>
      <c r="H291" s="124">
        <v>6932.7085945383396</v>
      </c>
      <c r="I291" s="124">
        <v>0</v>
      </c>
      <c r="J291" s="124">
        <v>0</v>
      </c>
      <c r="K291" s="125">
        <f t="shared" si="7"/>
        <v>113077.59108678334</v>
      </c>
      <c r="L291" s="124" t="s">
        <v>88</v>
      </c>
      <c r="M291" s="121"/>
      <c r="N291" s="5"/>
      <c r="O291" s="2"/>
      <c r="P291" s="27"/>
      <c r="Q291" s="26"/>
      <c r="R291" s="28"/>
    </row>
    <row r="292" spans="1:18" ht="30" customHeight="1" x14ac:dyDescent="0.45">
      <c r="A292" s="122" t="s">
        <v>263</v>
      </c>
      <c r="B292" s="1291" t="s">
        <v>264</v>
      </c>
      <c r="C292" s="1292"/>
      <c r="D292" s="1293"/>
      <c r="E292" s="123">
        <v>1</v>
      </c>
      <c r="F292" s="124" t="s">
        <v>88</v>
      </c>
      <c r="G292" s="124">
        <v>62776.116422030398</v>
      </c>
      <c r="H292" s="124">
        <v>0</v>
      </c>
      <c r="I292" s="124">
        <v>0</v>
      </c>
      <c r="J292" s="124">
        <v>0</v>
      </c>
      <c r="K292" s="125">
        <f t="shared" si="7"/>
        <v>62776.116422030398</v>
      </c>
      <c r="L292" s="124" t="s">
        <v>88</v>
      </c>
      <c r="M292" s="121"/>
      <c r="N292" s="5"/>
      <c r="O292" s="2"/>
      <c r="P292" s="27"/>
      <c r="Q292" s="26"/>
      <c r="R292" s="28"/>
    </row>
    <row r="293" spans="1:18" ht="30" customHeight="1" x14ac:dyDescent="0.45">
      <c r="A293" s="172"/>
      <c r="B293" s="1463"/>
      <c r="C293" s="1463"/>
      <c r="D293" s="1463"/>
      <c r="E293" s="126"/>
      <c r="F293" s="126"/>
      <c r="G293" s="126"/>
      <c r="H293" s="126"/>
      <c r="I293" s="126"/>
      <c r="J293" s="155" t="s">
        <v>145</v>
      </c>
      <c r="K293" s="125">
        <f>SUM(K287:K292)</f>
        <v>2993225.9761804449</v>
      </c>
      <c r="L293" s="124" t="s">
        <v>188</v>
      </c>
      <c r="M293" s="25"/>
      <c r="N293" s="5"/>
      <c r="O293" s="2"/>
      <c r="P293" s="27"/>
      <c r="Q293" s="26"/>
      <c r="R293" s="28"/>
    </row>
    <row r="294" spans="1:18" ht="30" customHeight="1" thickBot="1" x14ac:dyDescent="0.5">
      <c r="A294" s="83"/>
      <c r="B294" s="1464"/>
      <c r="C294" s="1464"/>
      <c r="D294" s="1464"/>
      <c r="E294" s="127"/>
      <c r="F294" s="78"/>
      <c r="G294" s="1296"/>
      <c r="H294" s="1297"/>
      <c r="I294" s="78"/>
      <c r="J294" s="128" t="s">
        <v>39</v>
      </c>
      <c r="K294" s="162">
        <f>K293/H285</f>
        <v>1247.1774900751855</v>
      </c>
      <c r="L294" s="124" t="s">
        <v>252</v>
      </c>
      <c r="M294" s="25"/>
      <c r="O294" s="2"/>
      <c r="P294" s="27"/>
      <c r="Q294" s="26"/>
      <c r="R294" s="28"/>
    </row>
    <row r="295" spans="1:18" ht="30" customHeight="1" thickBot="1" x14ac:dyDescent="0.5">
      <c r="A295" s="999"/>
      <c r="B295" s="1000"/>
      <c r="C295" s="1000"/>
      <c r="D295" s="1000"/>
      <c r="E295" s="1000"/>
      <c r="F295" s="1000"/>
      <c r="G295" s="1000"/>
      <c r="H295" s="1000"/>
      <c r="I295" s="1000"/>
      <c r="J295" s="1000"/>
      <c r="K295" s="1000"/>
      <c r="L295" s="1001"/>
      <c r="M295" s="25"/>
      <c r="N295" s="26"/>
      <c r="O295" s="2"/>
      <c r="P295" s="27"/>
      <c r="Q295" s="26"/>
      <c r="R295" s="28"/>
    </row>
    <row r="296" spans="1:18" ht="30" customHeight="1" x14ac:dyDescent="0.45">
      <c r="A296" s="9" t="s">
        <v>4</v>
      </c>
      <c r="B296" s="10">
        <v>1311</v>
      </c>
      <c r="C296" s="1138" t="s">
        <v>265</v>
      </c>
      <c r="D296" s="1139"/>
      <c r="E296" s="13" t="s">
        <v>7</v>
      </c>
      <c r="F296" s="14" t="s">
        <v>35</v>
      </c>
      <c r="G296" s="11" t="s">
        <v>6</v>
      </c>
      <c r="H296" s="171">
        <v>6447.7498690134998</v>
      </c>
      <c r="I296" s="13" t="s">
        <v>9</v>
      </c>
      <c r="J296" s="1155" t="s">
        <v>266</v>
      </c>
      <c r="K296" s="1156"/>
      <c r="L296" s="1127"/>
      <c r="M296" s="25"/>
      <c r="N296" s="26"/>
      <c r="O296" s="2"/>
      <c r="P296" s="27"/>
      <c r="Q296" s="26"/>
      <c r="R296" s="28"/>
    </row>
    <row r="297" spans="1:18" ht="30" customHeight="1" x14ac:dyDescent="0.45">
      <c r="A297" s="19" t="s">
        <v>11</v>
      </c>
      <c r="B297" s="1005" t="s">
        <v>12</v>
      </c>
      <c r="C297" s="1005"/>
      <c r="D297" s="1005"/>
      <c r="E297" s="132" t="s">
        <v>267</v>
      </c>
      <c r="F297" s="20" t="s">
        <v>13</v>
      </c>
      <c r="G297" s="19"/>
      <c r="H297" s="19"/>
      <c r="I297" s="1140" t="s">
        <v>60</v>
      </c>
      <c r="J297" s="1141"/>
      <c r="K297" s="992" t="s">
        <v>17</v>
      </c>
      <c r="L297" s="993"/>
      <c r="M297" s="25"/>
      <c r="N297" s="26"/>
      <c r="O297" s="2"/>
      <c r="P297" s="27"/>
      <c r="Q297" s="26"/>
      <c r="R297" s="28"/>
    </row>
    <row r="298" spans="1:18" ht="30" customHeight="1" x14ac:dyDescent="0.45">
      <c r="A298" s="29" t="s">
        <v>268</v>
      </c>
      <c r="B298" s="994" t="s">
        <v>269</v>
      </c>
      <c r="C298" s="994"/>
      <c r="D298" s="994"/>
      <c r="E298" s="176">
        <v>66000</v>
      </c>
      <c r="F298" s="145">
        <v>505</v>
      </c>
      <c r="G298" s="177"/>
      <c r="H298" s="178"/>
      <c r="I298" s="1119" t="s">
        <v>270</v>
      </c>
      <c r="J298" s="1120"/>
      <c r="K298" s="145">
        <f>F298</f>
        <v>505</v>
      </c>
      <c r="L298" s="29" t="s">
        <v>35</v>
      </c>
      <c r="M298" s="25"/>
      <c r="N298" s="26"/>
      <c r="O298" s="2"/>
      <c r="P298" s="27"/>
      <c r="Q298" s="26"/>
      <c r="R298" s="28"/>
    </row>
    <row r="299" spans="1:18" ht="30" customHeight="1" thickBot="1" x14ac:dyDescent="0.5">
      <c r="A299" s="47"/>
      <c r="B299" s="1092"/>
      <c r="C299" s="1092"/>
      <c r="D299" s="1092"/>
      <c r="E299" s="180"/>
      <c r="F299" s="181"/>
      <c r="G299" s="181"/>
      <c r="H299" s="182"/>
      <c r="I299" s="58"/>
      <c r="J299" s="183" t="s">
        <v>39</v>
      </c>
      <c r="K299" s="145">
        <f>F298</f>
        <v>505</v>
      </c>
      <c r="L299" s="47" t="s">
        <v>35</v>
      </c>
      <c r="M299" s="25"/>
      <c r="N299" s="26"/>
      <c r="O299" s="2"/>
      <c r="P299" s="27"/>
      <c r="Q299" s="26"/>
      <c r="R299" s="28"/>
    </row>
    <row r="300" spans="1:18" ht="30" customHeight="1" thickBot="1" x14ac:dyDescent="0.5">
      <c r="A300" s="999"/>
      <c r="B300" s="1000"/>
      <c r="C300" s="1000"/>
      <c r="D300" s="1000"/>
      <c r="E300" s="1000"/>
      <c r="F300" s="1000"/>
      <c r="G300" s="1000"/>
      <c r="H300" s="1000"/>
      <c r="I300" s="1000"/>
      <c r="J300" s="1000"/>
      <c r="K300" s="1000"/>
      <c r="L300" s="1001"/>
      <c r="M300" s="25"/>
      <c r="N300" s="26"/>
      <c r="O300" s="2"/>
      <c r="P300" s="27"/>
      <c r="Q300" s="26"/>
      <c r="R300" s="28"/>
    </row>
    <row r="301" spans="1:18" ht="30" customHeight="1" x14ac:dyDescent="0.45">
      <c r="A301" s="9" t="s">
        <v>4</v>
      </c>
      <c r="B301" s="10">
        <v>1312</v>
      </c>
      <c r="C301" s="1138" t="s">
        <v>271</v>
      </c>
      <c r="D301" s="1139"/>
      <c r="E301" s="13" t="s">
        <v>7</v>
      </c>
      <c r="F301" s="14" t="s">
        <v>35</v>
      </c>
      <c r="G301" s="11" t="s">
        <v>6</v>
      </c>
      <c r="H301" s="184">
        <v>2796.7431818181799</v>
      </c>
      <c r="I301" s="13" t="s">
        <v>9</v>
      </c>
      <c r="J301" s="1155" t="s">
        <v>272</v>
      </c>
      <c r="K301" s="1156"/>
      <c r="L301" s="1127"/>
      <c r="N301" s="26"/>
      <c r="O301" s="2"/>
      <c r="P301" s="27"/>
      <c r="Q301" s="26"/>
      <c r="R301" s="28"/>
    </row>
    <row r="302" spans="1:18" ht="30" customHeight="1" x14ac:dyDescent="0.45">
      <c r="A302" s="19" t="s">
        <v>11</v>
      </c>
      <c r="B302" s="1005" t="s">
        <v>12</v>
      </c>
      <c r="C302" s="1005"/>
      <c r="D302" s="1005"/>
      <c r="E302" s="132" t="s">
        <v>267</v>
      </c>
      <c r="F302" s="20" t="s">
        <v>13</v>
      </c>
      <c r="G302" s="19"/>
      <c r="H302" s="19"/>
      <c r="I302" s="1068" t="s">
        <v>273</v>
      </c>
      <c r="J302" s="1069"/>
      <c r="K302" s="992" t="s">
        <v>17</v>
      </c>
      <c r="L302" s="993"/>
      <c r="M302" s="25"/>
      <c r="N302" s="26"/>
      <c r="O302" s="2"/>
      <c r="P302" s="27"/>
      <c r="Q302" s="26"/>
      <c r="R302" s="28"/>
    </row>
    <row r="303" spans="1:18" ht="30" customHeight="1" x14ac:dyDescent="0.45">
      <c r="A303" s="29">
        <v>13181</v>
      </c>
      <c r="B303" s="994" t="s">
        <v>274</v>
      </c>
      <c r="C303" s="994"/>
      <c r="D303" s="994"/>
      <c r="E303" s="176">
        <v>26000</v>
      </c>
      <c r="F303" s="145">
        <v>377</v>
      </c>
      <c r="G303" s="177"/>
      <c r="H303" s="178"/>
      <c r="I303" s="1119">
        <f>+'[1]2023 MILCON Inflation Table'!F15</f>
        <v>1.2839611975731238</v>
      </c>
      <c r="J303" s="1120"/>
      <c r="K303" s="36">
        <f>+F303*I303</f>
        <v>484.05337148506766</v>
      </c>
      <c r="L303" s="29" t="s">
        <v>35</v>
      </c>
      <c r="M303" s="25"/>
      <c r="N303" s="26"/>
      <c r="O303" s="2"/>
      <c r="P303" s="27"/>
      <c r="Q303" s="26"/>
      <c r="R303" s="28"/>
    </row>
    <row r="304" spans="1:18" ht="30" customHeight="1" thickBot="1" x14ac:dyDescent="0.5">
      <c r="A304" s="47"/>
      <c r="B304" s="1092"/>
      <c r="C304" s="1092"/>
      <c r="D304" s="1092"/>
      <c r="E304" s="1460" t="s">
        <v>275</v>
      </c>
      <c r="F304" s="1461"/>
      <c r="G304" s="1461"/>
      <c r="H304" s="1462"/>
      <c r="I304" s="58"/>
      <c r="J304" s="183" t="s">
        <v>39</v>
      </c>
      <c r="K304" s="185">
        <f>+K303</f>
        <v>484.05337148506766</v>
      </c>
      <c r="L304" s="47" t="s">
        <v>35</v>
      </c>
      <c r="M304" s="25"/>
      <c r="N304" s="186"/>
      <c r="O304" s="2"/>
      <c r="P304" s="27"/>
      <c r="Q304" s="26"/>
      <c r="R304" s="28"/>
    </row>
    <row r="305" spans="1:20" ht="30" customHeight="1" thickBot="1" x14ac:dyDescent="0.5">
      <c r="A305" s="999"/>
      <c r="B305" s="1000"/>
      <c r="C305" s="1000"/>
      <c r="D305" s="1000"/>
      <c r="E305" s="1000"/>
      <c r="F305" s="1000"/>
      <c r="G305" s="1000"/>
      <c r="H305" s="1000"/>
      <c r="I305" s="1000"/>
      <c r="J305" s="1000"/>
      <c r="K305" s="1000"/>
      <c r="L305" s="1001"/>
      <c r="M305" s="25"/>
      <c r="N305" s="5"/>
      <c r="O305" s="2"/>
      <c r="P305" s="27"/>
      <c r="Q305" s="26"/>
      <c r="R305" s="28"/>
    </row>
    <row r="306" spans="1:20" ht="30" customHeight="1" x14ac:dyDescent="0.45">
      <c r="A306" s="9" t="s">
        <v>4</v>
      </c>
      <c r="B306" s="9">
        <v>1321</v>
      </c>
      <c r="C306" s="1138" t="s">
        <v>269</v>
      </c>
      <c r="D306" s="1139"/>
      <c r="E306" s="13" t="s">
        <v>7</v>
      </c>
      <c r="F306" s="14" t="s">
        <v>88</v>
      </c>
      <c r="G306" s="11" t="s">
        <v>148</v>
      </c>
      <c r="H306" s="184">
        <v>1</v>
      </c>
      <c r="I306" s="13" t="s">
        <v>9</v>
      </c>
      <c r="J306" s="1155" t="s">
        <v>276</v>
      </c>
      <c r="K306" s="1155"/>
      <c r="L306" s="1141"/>
      <c r="M306" s="25"/>
      <c r="N306" s="5"/>
      <c r="O306" s="2"/>
      <c r="P306" s="27"/>
      <c r="Q306" s="26"/>
      <c r="R306" s="28"/>
    </row>
    <row r="307" spans="1:20" ht="30" customHeight="1" x14ac:dyDescent="0.45">
      <c r="A307" s="19" t="s">
        <v>277</v>
      </c>
      <c r="B307" s="1258" t="s">
        <v>12</v>
      </c>
      <c r="C307" s="1259"/>
      <c r="D307" s="1260"/>
      <c r="E307" s="20" t="s">
        <v>13</v>
      </c>
      <c r="F307" s="20" t="s">
        <v>79</v>
      </c>
      <c r="G307" s="1068"/>
      <c r="H307" s="1069"/>
      <c r="I307" s="1068" t="s">
        <v>278</v>
      </c>
      <c r="J307" s="1069"/>
      <c r="K307" s="992" t="s">
        <v>17</v>
      </c>
      <c r="L307" s="993"/>
      <c r="M307" s="25"/>
      <c r="N307" s="26"/>
      <c r="O307" s="2"/>
      <c r="P307" s="27"/>
      <c r="Q307" s="26"/>
      <c r="R307" s="28"/>
    </row>
    <row r="308" spans="1:20" ht="30" customHeight="1" x14ac:dyDescent="0.45">
      <c r="A308" s="29" t="s">
        <v>279</v>
      </c>
      <c r="B308" s="1101" t="s">
        <v>280</v>
      </c>
      <c r="C308" s="1102"/>
      <c r="D308" s="1103"/>
      <c r="E308" s="31">
        <f>(38800+58500)/2</f>
        <v>48650</v>
      </c>
      <c r="F308" s="31" t="s">
        <v>88</v>
      </c>
      <c r="G308" s="1449"/>
      <c r="H308" s="1450"/>
      <c r="I308" s="1458">
        <v>1.1100000000000001</v>
      </c>
      <c r="J308" s="1459"/>
      <c r="K308" s="36">
        <f>+E308*I308</f>
        <v>54001.500000000007</v>
      </c>
      <c r="L308" s="29" t="s">
        <v>88</v>
      </c>
      <c r="M308" s="25"/>
      <c r="N308" s="26"/>
      <c r="O308" s="2"/>
      <c r="P308" s="27"/>
      <c r="Q308" s="26"/>
      <c r="R308" s="28"/>
    </row>
    <row r="309" spans="1:20" ht="30" customHeight="1" x14ac:dyDescent="0.45">
      <c r="A309" s="29" t="s">
        <v>279</v>
      </c>
      <c r="B309" s="1101" t="s">
        <v>281</v>
      </c>
      <c r="C309" s="1102"/>
      <c r="D309" s="1103"/>
      <c r="E309" s="195">
        <f>(230+347)/2*66</f>
        <v>19041</v>
      </c>
      <c r="F309" s="31" t="s">
        <v>88</v>
      </c>
      <c r="G309" s="13"/>
      <c r="H309" s="167"/>
      <c r="I309" s="1458">
        <v>1.1100000000000001</v>
      </c>
      <c r="J309" s="1459"/>
      <c r="K309" s="36">
        <f>+E309*I309</f>
        <v>21135.510000000002</v>
      </c>
      <c r="L309" s="29" t="s">
        <v>88</v>
      </c>
      <c r="M309" s="25"/>
      <c r="N309" s="26"/>
      <c r="O309" s="2"/>
      <c r="P309" s="27"/>
      <c r="Q309" s="26"/>
      <c r="R309" s="28"/>
    </row>
    <row r="310" spans="1:20" ht="30" customHeight="1" x14ac:dyDescent="0.45">
      <c r="A310" s="29"/>
      <c r="B310" s="190"/>
      <c r="C310" s="191"/>
      <c r="D310" s="192"/>
      <c r="E310" s="195"/>
      <c r="F310" s="196"/>
      <c r="G310" s="13"/>
      <c r="H310" s="167"/>
      <c r="I310" s="193"/>
      <c r="J310" s="194" t="s">
        <v>56</v>
      </c>
      <c r="K310" s="36">
        <f>AVERAGE(K308:K309)</f>
        <v>37568.505000000005</v>
      </c>
      <c r="L310" s="29"/>
      <c r="M310" s="25"/>
      <c r="N310" s="186"/>
      <c r="O310" s="2"/>
      <c r="P310" s="27"/>
      <c r="Q310" s="26"/>
      <c r="R310" s="28"/>
    </row>
    <row r="311" spans="1:20" ht="30" customHeight="1" x14ac:dyDescent="0.45">
      <c r="A311" s="29" t="s">
        <v>282</v>
      </c>
      <c r="B311" s="1101" t="s">
        <v>283</v>
      </c>
      <c r="C311" s="1102"/>
      <c r="D311" s="1103"/>
      <c r="E311" s="195">
        <v>765</v>
      </c>
      <c r="F311" s="31" t="s">
        <v>88</v>
      </c>
      <c r="G311" s="13"/>
      <c r="H311" s="167"/>
      <c r="I311" s="1458">
        <v>1.32</v>
      </c>
      <c r="J311" s="1459"/>
      <c r="K311" s="36">
        <f>+E311*I311</f>
        <v>1009.8000000000001</v>
      </c>
      <c r="L311" s="31" t="s">
        <v>88</v>
      </c>
      <c r="M311" s="25"/>
      <c r="N311" s="186"/>
      <c r="P311" s="27"/>
      <c r="Q311" s="26"/>
      <c r="R311" s="28"/>
    </row>
    <row r="312" spans="1:20" ht="30" customHeight="1" x14ac:dyDescent="0.45">
      <c r="A312" s="29" t="s">
        <v>282</v>
      </c>
      <c r="B312" s="1142" t="s">
        <v>284</v>
      </c>
      <c r="C312" s="1117"/>
      <c r="D312" s="1118"/>
      <c r="E312" s="195">
        <f>((437+510)/2)*1.2</f>
        <v>568.19999999999993</v>
      </c>
      <c r="F312" s="31" t="s">
        <v>88</v>
      </c>
      <c r="G312" s="13"/>
      <c r="H312" s="167"/>
      <c r="I312" s="1458">
        <v>1.32</v>
      </c>
      <c r="J312" s="1459"/>
      <c r="K312" s="36">
        <f>+E312*I312</f>
        <v>750.024</v>
      </c>
      <c r="L312" s="31" t="s">
        <v>88</v>
      </c>
      <c r="M312" s="25"/>
      <c r="N312" s="186"/>
      <c r="P312" s="27"/>
      <c r="Q312" s="26"/>
      <c r="R312" s="28"/>
    </row>
    <row r="313" spans="1:20" ht="30" customHeight="1" x14ac:dyDescent="0.45">
      <c r="A313" s="47"/>
      <c r="B313" s="197"/>
      <c r="C313" s="198"/>
      <c r="D313" s="199"/>
      <c r="E313" s="200"/>
      <c r="F313" s="1011" t="s">
        <v>285</v>
      </c>
      <c r="G313" s="1013" t="s">
        <v>286</v>
      </c>
      <c r="H313" s="1013"/>
      <c r="I313" s="1013"/>
      <c r="J313" s="1013"/>
      <c r="K313" s="202">
        <v>1.06</v>
      </c>
      <c r="L313" s="58"/>
      <c r="M313" s="25"/>
      <c r="P313" s="27"/>
      <c r="Q313" s="26"/>
      <c r="R313" s="28"/>
    </row>
    <row r="314" spans="1:20" ht="30" customHeight="1" x14ac:dyDescent="0.45">
      <c r="A314" s="47"/>
      <c r="B314" s="197"/>
      <c r="C314" s="198"/>
      <c r="D314" s="199"/>
      <c r="E314" s="200"/>
      <c r="F314" s="1012"/>
      <c r="G314" s="1014" t="s">
        <v>287</v>
      </c>
      <c r="H314" s="1014"/>
      <c r="I314" s="1014"/>
      <c r="J314" s="1014"/>
      <c r="K314" s="202">
        <v>1.05</v>
      </c>
      <c r="L314" s="58"/>
      <c r="M314" s="25"/>
      <c r="O314" s="2"/>
      <c r="P314" s="27"/>
      <c r="Q314" s="26"/>
      <c r="R314" s="28"/>
    </row>
    <row r="315" spans="1:20" ht="30" customHeight="1" x14ac:dyDescent="0.45">
      <c r="A315" s="105"/>
      <c r="B315" s="1018"/>
      <c r="C315" s="1019"/>
      <c r="D315" s="1020"/>
      <c r="E315" s="207"/>
      <c r="F315" s="208"/>
      <c r="G315" s="208"/>
      <c r="H315" s="209"/>
      <c r="I315" s="79"/>
      <c r="J315" s="201" t="s">
        <v>39</v>
      </c>
      <c r="K315" s="210">
        <f>(K310+K311+K312)*K313/K314</f>
        <v>39702.884514285724</v>
      </c>
      <c r="L315" s="105" t="s">
        <v>88</v>
      </c>
      <c r="M315" s="25"/>
      <c r="O315" s="2"/>
      <c r="P315" s="27"/>
      <c r="Q315" s="26"/>
      <c r="R315" s="28"/>
    </row>
    <row r="316" spans="1:20" ht="30" customHeight="1" thickBot="1" x14ac:dyDescent="0.5">
      <c r="A316" s="211"/>
      <c r="B316" s="139"/>
      <c r="C316" s="139"/>
      <c r="D316" s="139"/>
      <c r="E316" s="212"/>
      <c r="F316" s="212"/>
      <c r="G316" s="1033" t="s">
        <v>288</v>
      </c>
      <c r="H316" s="1033"/>
      <c r="I316" s="1034"/>
      <c r="J316" s="213">
        <f>VLOOKUP(B306,'[1]Mil Cost Premiums for PUCs'!$A$4:$R$278,18,FALSE)</f>
        <v>1.0209999999999999</v>
      </c>
      <c r="K316" s="214">
        <f>+K315*J316</f>
        <v>40536.645089085723</v>
      </c>
      <c r="L316" s="215" t="s">
        <v>88</v>
      </c>
      <c r="M316" s="25"/>
      <c r="O316" s="2"/>
      <c r="P316" s="27"/>
      <c r="Q316" s="26"/>
      <c r="R316" s="28"/>
    </row>
    <row r="317" spans="1:20" ht="30" customHeight="1" thickBot="1" x14ac:dyDescent="0.5">
      <c r="A317" s="999"/>
      <c r="B317" s="1000"/>
      <c r="C317" s="1000"/>
      <c r="D317" s="1000"/>
      <c r="E317" s="1000"/>
      <c r="F317" s="1000"/>
      <c r="G317" s="1000"/>
      <c r="H317" s="1000"/>
      <c r="I317" s="1000"/>
      <c r="J317" s="1000"/>
      <c r="K317" s="1000"/>
      <c r="L317" s="1001"/>
      <c r="M317" s="25"/>
    </row>
    <row r="318" spans="1:20" ht="30" customHeight="1" x14ac:dyDescent="0.45">
      <c r="A318" s="9" t="s">
        <v>4</v>
      </c>
      <c r="B318" s="10">
        <v>1331</v>
      </c>
      <c r="C318" s="1138" t="s">
        <v>289</v>
      </c>
      <c r="D318" s="1139"/>
      <c r="E318" s="13" t="s">
        <v>7</v>
      </c>
      <c r="F318" s="14" t="s">
        <v>35</v>
      </c>
      <c r="G318" s="11" t="s">
        <v>6</v>
      </c>
      <c r="H318" s="184">
        <v>2852.1395059880201</v>
      </c>
      <c r="I318" s="13" t="s">
        <v>9</v>
      </c>
      <c r="J318" s="1155" t="s">
        <v>266</v>
      </c>
      <c r="K318" s="1156"/>
      <c r="L318" s="1127"/>
      <c r="M318" s="25"/>
    </row>
    <row r="319" spans="1:20" ht="30" customHeight="1" x14ac:dyDescent="0.45">
      <c r="A319" s="19" t="s">
        <v>11</v>
      </c>
      <c r="B319" s="1005" t="s">
        <v>12</v>
      </c>
      <c r="C319" s="1005"/>
      <c r="D319" s="1005"/>
      <c r="E319" s="132" t="s">
        <v>267</v>
      </c>
      <c r="F319" s="20" t="s">
        <v>13</v>
      </c>
      <c r="G319" s="19"/>
      <c r="H319" s="19"/>
      <c r="I319" s="1068" t="s">
        <v>16</v>
      </c>
      <c r="J319" s="1069"/>
      <c r="K319" s="992" t="s">
        <v>17</v>
      </c>
      <c r="L319" s="993"/>
      <c r="M319" s="25"/>
      <c r="S319" s="41"/>
      <c r="T319" s="41"/>
    </row>
    <row r="320" spans="1:20" ht="30" customHeight="1" x14ac:dyDescent="0.45">
      <c r="A320" s="29" t="s">
        <v>268</v>
      </c>
      <c r="B320" s="994" t="s">
        <v>290</v>
      </c>
      <c r="C320" s="994"/>
      <c r="D320" s="994"/>
      <c r="E320" s="176">
        <v>56000</v>
      </c>
      <c r="F320" s="145">
        <v>516</v>
      </c>
      <c r="G320" s="177"/>
      <c r="H320" s="178"/>
      <c r="I320" s="1119" t="s">
        <v>270</v>
      </c>
      <c r="J320" s="1120"/>
      <c r="K320" s="145">
        <f>+F320</f>
        <v>516</v>
      </c>
      <c r="L320" s="29" t="s">
        <v>35</v>
      </c>
      <c r="M320" s="2"/>
      <c r="S320" s="90"/>
      <c r="T320" s="90"/>
    </row>
    <row r="321" spans="1:20" ht="30" customHeight="1" thickBot="1" x14ac:dyDescent="0.5">
      <c r="A321" s="47"/>
      <c r="B321" s="1092"/>
      <c r="C321" s="1092"/>
      <c r="D321" s="1092"/>
      <c r="E321" s="180"/>
      <c r="F321" s="181"/>
      <c r="G321" s="181"/>
      <c r="H321" s="182"/>
      <c r="I321" s="58"/>
      <c r="J321" s="183" t="s">
        <v>39</v>
      </c>
      <c r="K321" s="216">
        <f>K320</f>
        <v>516</v>
      </c>
      <c r="L321" s="47" t="s">
        <v>35</v>
      </c>
      <c r="M321" s="25"/>
      <c r="S321" s="41"/>
      <c r="T321" s="41"/>
    </row>
    <row r="322" spans="1:20" ht="30" customHeight="1" thickBot="1" x14ac:dyDescent="0.5">
      <c r="A322" s="999"/>
      <c r="B322" s="1000"/>
      <c r="C322" s="1000"/>
      <c r="D322" s="1000"/>
      <c r="E322" s="1000"/>
      <c r="F322" s="1000"/>
      <c r="G322" s="1000"/>
      <c r="H322" s="1000"/>
      <c r="I322" s="1000"/>
      <c r="J322" s="1000"/>
      <c r="K322" s="1000"/>
      <c r="L322" s="1001"/>
      <c r="M322" s="25"/>
      <c r="S322" s="41"/>
      <c r="T322" s="41"/>
    </row>
    <row r="323" spans="1:20" ht="30" customHeight="1" x14ac:dyDescent="0.45">
      <c r="A323" s="9" t="s">
        <v>4</v>
      </c>
      <c r="B323" s="10">
        <v>1341</v>
      </c>
      <c r="C323" s="91" t="s">
        <v>291</v>
      </c>
      <c r="D323" s="155"/>
      <c r="E323" s="13" t="s">
        <v>7</v>
      </c>
      <c r="F323" s="14" t="s">
        <v>88</v>
      </c>
      <c r="G323" s="11" t="s">
        <v>6</v>
      </c>
      <c r="H323" s="155">
        <v>3</v>
      </c>
      <c r="I323" s="13" t="s">
        <v>9</v>
      </c>
      <c r="J323" s="1155" t="s">
        <v>292</v>
      </c>
      <c r="K323" s="1155"/>
      <c r="L323" s="1141"/>
      <c r="M323" s="25"/>
      <c r="N323" s="112"/>
      <c r="S323" s="41"/>
      <c r="T323" s="41"/>
    </row>
    <row r="324" spans="1:20" ht="30" customHeight="1" x14ac:dyDescent="0.45">
      <c r="A324" s="85" t="s">
        <v>277</v>
      </c>
      <c r="B324" s="987" t="s">
        <v>293</v>
      </c>
      <c r="C324" s="988"/>
      <c r="D324" s="989"/>
      <c r="E324" s="220" t="s">
        <v>13</v>
      </c>
      <c r="F324" s="220" t="s">
        <v>14</v>
      </c>
      <c r="G324" s="990" t="s">
        <v>15</v>
      </c>
      <c r="H324" s="991"/>
      <c r="I324" s="1068" t="s">
        <v>278</v>
      </c>
      <c r="J324" s="1069"/>
      <c r="K324" s="992" t="s">
        <v>17</v>
      </c>
      <c r="L324" s="993"/>
      <c r="M324" s="25"/>
      <c r="N324" s="112"/>
      <c r="S324" s="41"/>
      <c r="T324" s="41"/>
    </row>
    <row r="325" spans="1:20" ht="30" customHeight="1" x14ac:dyDescent="0.45">
      <c r="A325" s="47" t="s">
        <v>294</v>
      </c>
      <c r="B325" s="1018" t="s">
        <v>295</v>
      </c>
      <c r="C325" s="1019"/>
      <c r="D325" s="1020"/>
      <c r="E325" s="221">
        <v>99</v>
      </c>
      <c r="F325" s="47" t="s">
        <v>35</v>
      </c>
      <c r="G325" s="42">
        <v>100</v>
      </c>
      <c r="H325" s="199" t="s">
        <v>296</v>
      </c>
      <c r="I325" s="1157">
        <v>1.22</v>
      </c>
      <c r="J325" s="1191"/>
      <c r="K325" s="221">
        <f>+E325*G325*I325</f>
        <v>12078</v>
      </c>
      <c r="L325" s="47" t="s">
        <v>88</v>
      </c>
      <c r="N325" s="112"/>
      <c r="S325" s="41"/>
      <c r="T325" s="41"/>
    </row>
    <row r="326" spans="1:20" ht="30" customHeight="1" x14ac:dyDescent="0.45">
      <c r="A326" s="47"/>
      <c r="B326" s="1030" t="s">
        <v>297</v>
      </c>
      <c r="C326" s="1030"/>
      <c r="D326" s="1030"/>
      <c r="E326" s="221"/>
      <c r="F326" s="1011" t="s">
        <v>285</v>
      </c>
      <c r="G326" s="1013" t="s">
        <v>286</v>
      </c>
      <c r="H326" s="1013"/>
      <c r="I326" s="1013"/>
      <c r="J326" s="1013"/>
      <c r="K326" s="202">
        <v>1.06</v>
      </c>
      <c r="L326" s="47"/>
      <c r="M326" s="25"/>
      <c r="N326" s="112"/>
      <c r="S326" s="41"/>
      <c r="T326" s="41"/>
    </row>
    <row r="327" spans="1:20" ht="30" customHeight="1" x14ac:dyDescent="0.45">
      <c r="A327" s="47"/>
      <c r="B327" s="224"/>
      <c r="C327" s="224"/>
      <c r="D327" s="224"/>
      <c r="E327" s="221"/>
      <c r="F327" s="1012"/>
      <c r="G327" s="1014" t="s">
        <v>298</v>
      </c>
      <c r="H327" s="1014"/>
      <c r="I327" s="1014"/>
      <c r="J327" s="1014"/>
      <c r="K327" s="202">
        <v>1.06</v>
      </c>
      <c r="L327" s="47"/>
      <c r="M327" s="25"/>
      <c r="S327" s="41"/>
      <c r="T327" s="41"/>
    </row>
    <row r="328" spans="1:20" ht="30" customHeight="1" x14ac:dyDescent="0.45">
      <c r="A328" s="47"/>
      <c r="B328" s="47"/>
      <c r="C328" s="58"/>
      <c r="D328" s="58"/>
      <c r="E328" s="58"/>
      <c r="F328" s="58"/>
      <c r="G328" s="58"/>
      <c r="H328" s="58"/>
      <c r="I328" s="58"/>
      <c r="J328" s="203" t="s">
        <v>39</v>
      </c>
      <c r="K328" s="216">
        <f>+K325*K326/K327</f>
        <v>12078</v>
      </c>
      <c r="L328" s="47" t="s">
        <v>88</v>
      </c>
      <c r="M328" s="25"/>
    </row>
    <row r="329" spans="1:20" ht="30" customHeight="1" x14ac:dyDescent="0.45">
      <c r="A329" s="47"/>
      <c r="B329" s="47"/>
      <c r="C329" s="58"/>
      <c r="D329" s="58"/>
      <c r="E329" s="58"/>
      <c r="F329" s="58"/>
      <c r="G329" s="1021" t="s">
        <v>288</v>
      </c>
      <c r="H329" s="1022"/>
      <c r="I329" s="1023"/>
      <c r="J329" s="213">
        <f>VLOOKUP(B323,'[1]Mil Cost Premiums for PUCs'!$A$4:$R$278,18,FALSE)</f>
        <v>1.0209999999999999</v>
      </c>
      <c r="K329" s="216">
        <f>+K328*J329</f>
        <v>12331.637999999999</v>
      </c>
      <c r="L329" s="47" t="s">
        <v>88</v>
      </c>
      <c r="M329" s="25"/>
    </row>
    <row r="330" spans="1:20" ht="30" customHeight="1" thickBot="1" x14ac:dyDescent="0.5">
      <c r="A330" s="225"/>
      <c r="B330" s="225"/>
      <c r="C330" s="150"/>
      <c r="D330" s="150"/>
      <c r="E330" s="150"/>
      <c r="F330" s="150"/>
      <c r="G330" s="1025" t="s">
        <v>299</v>
      </c>
      <c r="H330" s="1026"/>
      <c r="I330" s="1027"/>
      <c r="J330" s="226">
        <v>1.1214</v>
      </c>
      <c r="K330" s="227">
        <f>+K329*J330</f>
        <v>13828.698853199998</v>
      </c>
      <c r="L330" s="225" t="s">
        <v>88</v>
      </c>
      <c r="M330" s="25"/>
    </row>
    <row r="331" spans="1:20" ht="30" customHeight="1" thickBot="1" x14ac:dyDescent="0.5">
      <c r="A331" s="999"/>
      <c r="B331" s="1000"/>
      <c r="C331" s="1000"/>
      <c r="D331" s="1000"/>
      <c r="E331" s="1000"/>
      <c r="F331" s="1000"/>
      <c r="G331" s="1000"/>
      <c r="H331" s="1000"/>
      <c r="I331" s="1000"/>
      <c r="J331" s="1000"/>
      <c r="K331" s="1000"/>
      <c r="L331" s="1001"/>
      <c r="M331" s="25"/>
      <c r="N331" s="186"/>
      <c r="S331" s="41"/>
      <c r="T331" s="41"/>
    </row>
    <row r="332" spans="1:20" ht="30" customHeight="1" x14ac:dyDescent="0.45">
      <c r="A332" s="228" t="s">
        <v>300</v>
      </c>
      <c r="B332" s="228">
        <v>1351</v>
      </c>
      <c r="C332" s="1002" t="s">
        <v>301</v>
      </c>
      <c r="D332" s="1003"/>
      <c r="E332" s="13" t="s">
        <v>7</v>
      </c>
      <c r="F332" s="167" t="s">
        <v>302</v>
      </c>
      <c r="G332" s="11" t="s">
        <v>148</v>
      </c>
      <c r="H332" s="184">
        <v>1</v>
      </c>
      <c r="I332" s="13" t="s">
        <v>9</v>
      </c>
      <c r="J332" s="1155" t="s">
        <v>10</v>
      </c>
      <c r="K332" s="1156"/>
      <c r="L332" s="1127"/>
      <c r="M332" s="25"/>
      <c r="N332" s="186"/>
      <c r="S332" s="90"/>
      <c r="T332" s="90"/>
    </row>
    <row r="333" spans="1:20" s="18" customFormat="1" ht="30" customHeight="1" x14ac:dyDescent="0.45">
      <c r="A333" s="19" t="s">
        <v>11</v>
      </c>
      <c r="B333" s="23" t="s">
        <v>293</v>
      </c>
      <c r="C333" s="1387"/>
      <c r="D333" s="993"/>
      <c r="E333" s="85" t="s">
        <v>13</v>
      </c>
      <c r="F333" s="85" t="s">
        <v>14</v>
      </c>
      <c r="G333" s="85" t="s">
        <v>15</v>
      </c>
      <c r="H333" s="85"/>
      <c r="I333" s="1068" t="s">
        <v>16</v>
      </c>
      <c r="J333" s="1069"/>
      <c r="K333" s="992" t="s">
        <v>17</v>
      </c>
      <c r="L333" s="993"/>
      <c r="M333" s="25"/>
      <c r="N333" s="229"/>
      <c r="O333" s="5"/>
    </row>
    <row r="334" spans="1:20" ht="30" customHeight="1" x14ac:dyDescent="0.45">
      <c r="A334" s="29">
        <v>13510</v>
      </c>
      <c r="B334" s="1142" t="s">
        <v>303</v>
      </c>
      <c r="C334" s="1117"/>
      <c r="D334" s="1118"/>
      <c r="E334" s="230">
        <v>8.7200000000000006</v>
      </c>
      <c r="F334" s="29" t="s">
        <v>113</v>
      </c>
      <c r="G334" s="231">
        <f>5280*2</f>
        <v>10560</v>
      </c>
      <c r="H334" s="29" t="s">
        <v>304</v>
      </c>
      <c r="I334" s="1161">
        <f>+'[1]2023 MILCON Inflation Table'!F22</f>
        <v>0.93771935922451721</v>
      </c>
      <c r="J334" s="1162"/>
      <c r="K334" s="230">
        <f>+E334*I334*G334</f>
        <v>86348.199299343076</v>
      </c>
      <c r="L334" s="29" t="s">
        <v>302</v>
      </c>
    </row>
    <row r="335" spans="1:20" ht="30" customHeight="1" x14ac:dyDescent="0.45">
      <c r="A335" s="29">
        <v>13510</v>
      </c>
      <c r="B335" s="1142" t="s">
        <v>305</v>
      </c>
      <c r="C335" s="1117"/>
      <c r="D335" s="1118"/>
      <c r="E335" s="230">
        <v>6090.4</v>
      </c>
      <c r="F335" s="29" t="s">
        <v>88</v>
      </c>
      <c r="G335" s="29">
        <v>6</v>
      </c>
      <c r="H335" s="29" t="s">
        <v>306</v>
      </c>
      <c r="I335" s="1161">
        <f>+I334</f>
        <v>0.93771935922451721</v>
      </c>
      <c r="J335" s="1162"/>
      <c r="K335" s="230">
        <f>+E335*I335*G335</f>
        <v>34266.515912525996</v>
      </c>
      <c r="L335" s="29" t="s">
        <v>302</v>
      </c>
      <c r="M335" s="25"/>
    </row>
    <row r="336" spans="1:20" ht="30" customHeight="1" x14ac:dyDescent="0.45">
      <c r="A336" s="29">
        <v>13510</v>
      </c>
      <c r="B336" s="1142" t="s">
        <v>307</v>
      </c>
      <c r="C336" s="1117"/>
      <c r="D336" s="1118"/>
      <c r="E336" s="230">
        <v>5375.27</v>
      </c>
      <c r="F336" s="29" t="s">
        <v>88</v>
      </c>
      <c r="G336" s="29">
        <v>6</v>
      </c>
      <c r="H336" s="29" t="s">
        <v>306</v>
      </c>
      <c r="I336" s="1161">
        <f>+I335</f>
        <v>0.93771935922451721</v>
      </c>
      <c r="J336" s="1162"/>
      <c r="K336" s="230">
        <f>+E336*I336*G336</f>
        <v>30242.968440352626</v>
      </c>
      <c r="L336" s="29" t="s">
        <v>302</v>
      </c>
      <c r="M336" s="25"/>
    </row>
    <row r="337" spans="1:20" ht="30" customHeight="1" x14ac:dyDescent="0.45">
      <c r="A337" s="29"/>
      <c r="B337" s="1101"/>
      <c r="C337" s="1102"/>
      <c r="D337" s="1103"/>
      <c r="E337" s="230"/>
      <c r="F337" s="234"/>
      <c r="G337" s="235"/>
      <c r="H337" s="234"/>
      <c r="I337" s="236"/>
      <c r="J337" s="237" t="s">
        <v>38</v>
      </c>
      <c r="K337" s="230">
        <f>SUM(K334:K336)</f>
        <v>150857.68365222169</v>
      </c>
      <c r="L337" s="29" t="s">
        <v>302</v>
      </c>
      <c r="M337" s="25"/>
      <c r="O337" s="2"/>
      <c r="P337" s="26"/>
      <c r="T337" s="28"/>
    </row>
    <row r="338" spans="1:20" ht="30" customHeight="1" thickBot="1" x14ac:dyDescent="0.5">
      <c r="A338" s="29"/>
      <c r="B338" s="190"/>
      <c r="C338" s="191"/>
      <c r="D338" s="192"/>
      <c r="E338" s="230"/>
      <c r="F338" s="234"/>
      <c r="G338" s="235"/>
      <c r="H338" s="234"/>
      <c r="I338" s="236"/>
      <c r="J338" s="238" t="s">
        <v>39</v>
      </c>
      <c r="K338" s="230">
        <f>+K337</f>
        <v>150857.68365222169</v>
      </c>
      <c r="L338" s="29" t="s">
        <v>302</v>
      </c>
      <c r="M338" s="90"/>
      <c r="O338" s="2"/>
      <c r="P338" s="26"/>
      <c r="T338" s="28"/>
    </row>
    <row r="339" spans="1:20" ht="30" customHeight="1" thickBot="1" x14ac:dyDescent="0.5">
      <c r="A339" s="999"/>
      <c r="B339" s="1000"/>
      <c r="C339" s="1000"/>
      <c r="D339" s="1000"/>
      <c r="E339" s="1000"/>
      <c r="F339" s="1000"/>
      <c r="G339" s="1000"/>
      <c r="H339" s="1000"/>
      <c r="I339" s="1000"/>
      <c r="J339" s="1000"/>
      <c r="K339" s="1000"/>
      <c r="L339" s="1001"/>
      <c r="O339" s="2"/>
      <c r="P339" s="26"/>
      <c r="T339" s="28"/>
    </row>
    <row r="340" spans="1:20" ht="30" customHeight="1" x14ac:dyDescent="0.45">
      <c r="A340" s="239" t="s">
        <v>4</v>
      </c>
      <c r="B340" s="240">
        <v>1361</v>
      </c>
      <c r="C340" s="1456" t="s">
        <v>308</v>
      </c>
      <c r="D340" s="1457"/>
      <c r="E340" s="241" t="s">
        <v>7</v>
      </c>
      <c r="F340" s="242" t="s">
        <v>113</v>
      </c>
      <c r="G340" s="243" t="s">
        <v>148</v>
      </c>
      <c r="H340" s="244">
        <v>10000</v>
      </c>
      <c r="I340" s="241" t="s">
        <v>9</v>
      </c>
      <c r="J340" s="1155" t="s">
        <v>10</v>
      </c>
      <c r="K340" s="1156"/>
      <c r="L340" s="1127"/>
      <c r="O340" s="2"/>
      <c r="P340" s="26"/>
      <c r="T340" s="28"/>
    </row>
    <row r="341" spans="1:20" s="18" customFormat="1" ht="30" customHeight="1" x14ac:dyDescent="0.45">
      <c r="A341" s="19" t="s">
        <v>11</v>
      </c>
      <c r="B341" s="1005" t="s">
        <v>12</v>
      </c>
      <c r="C341" s="1005"/>
      <c r="D341" s="1005"/>
      <c r="E341" s="85" t="s">
        <v>13</v>
      </c>
      <c r="F341" s="85" t="s">
        <v>14</v>
      </c>
      <c r="G341" s="85" t="s">
        <v>15</v>
      </c>
      <c r="H341" s="85"/>
      <c r="I341" s="1068" t="s">
        <v>16</v>
      </c>
      <c r="J341" s="1069"/>
      <c r="K341" s="992" t="s">
        <v>17</v>
      </c>
      <c r="L341" s="993"/>
      <c r="M341" s="25"/>
      <c r="N341" s="229"/>
      <c r="O341" s="5"/>
    </row>
    <row r="342" spans="1:20" ht="30" customHeight="1" x14ac:dyDescent="0.45">
      <c r="A342" s="29">
        <v>11110</v>
      </c>
      <c r="B342" s="1142" t="s">
        <v>309</v>
      </c>
      <c r="C342" s="1117"/>
      <c r="D342" s="1118"/>
      <c r="E342" s="230">
        <v>5291.88</v>
      </c>
      <c r="F342" s="29" t="s">
        <v>88</v>
      </c>
      <c r="G342" s="231">
        <v>50</v>
      </c>
      <c r="H342" s="29" t="s">
        <v>310</v>
      </c>
      <c r="I342" s="1161">
        <f>+'[1]2023 MILCON Inflation Table'!F22</f>
        <v>0.93771935922451721</v>
      </c>
      <c r="J342" s="1162"/>
      <c r="K342" s="230">
        <f>+E342/G342*I342</f>
        <v>99.245966453860774</v>
      </c>
      <c r="L342" s="29" t="s">
        <v>113</v>
      </c>
    </row>
    <row r="343" spans="1:20" ht="30" customHeight="1" x14ac:dyDescent="0.45">
      <c r="A343" s="29">
        <v>11110</v>
      </c>
      <c r="B343" s="1142" t="s">
        <v>311</v>
      </c>
      <c r="C343" s="1117"/>
      <c r="D343" s="1118"/>
      <c r="E343" s="230">
        <v>4035.44</v>
      </c>
      <c r="F343" s="29" t="s">
        <v>88</v>
      </c>
      <c r="G343" s="231">
        <v>100</v>
      </c>
      <c r="H343" s="29" t="s">
        <v>310</v>
      </c>
      <c r="I343" s="1161">
        <f>+I342</f>
        <v>0.93771935922451721</v>
      </c>
      <c r="J343" s="1162"/>
      <c r="K343" s="230">
        <f>+E343/G343*I343</f>
        <v>37.841102109889853</v>
      </c>
      <c r="L343" s="29" t="s">
        <v>113</v>
      </c>
    </row>
    <row r="344" spans="1:20" ht="30" customHeight="1" x14ac:dyDescent="0.45">
      <c r="A344" s="29">
        <v>11110</v>
      </c>
      <c r="B344" s="1142" t="s">
        <v>312</v>
      </c>
      <c r="C344" s="1117"/>
      <c r="D344" s="1118"/>
      <c r="E344" s="230">
        <v>3179.43</v>
      </c>
      <c r="F344" s="29" t="s">
        <v>88</v>
      </c>
      <c r="G344" s="245">
        <f>112/H340</f>
        <v>1.12E-2</v>
      </c>
      <c r="H344" s="29" t="s">
        <v>310</v>
      </c>
      <c r="I344" s="1161">
        <f>+I343</f>
        <v>0.93771935922451721</v>
      </c>
      <c r="J344" s="1162"/>
      <c r="K344" s="230">
        <f>+E344*G344*I344</f>
        <v>33.391826297751109</v>
      </c>
      <c r="L344" s="29" t="s">
        <v>113</v>
      </c>
    </row>
    <row r="345" spans="1:20" ht="30" customHeight="1" x14ac:dyDescent="0.45">
      <c r="A345" s="29">
        <v>11110</v>
      </c>
      <c r="B345" s="1142" t="s">
        <v>313</v>
      </c>
      <c r="C345" s="1117"/>
      <c r="D345" s="1118"/>
      <c r="E345" s="230">
        <v>4098.26</v>
      </c>
      <c r="F345" s="29" t="s">
        <v>88</v>
      </c>
      <c r="G345" s="245">
        <f>60*6/H340</f>
        <v>3.5999999999999997E-2</v>
      </c>
      <c r="H345" s="29" t="s">
        <v>310</v>
      </c>
      <c r="I345" s="1161">
        <f>+I344</f>
        <v>0.93771935922451721</v>
      </c>
      <c r="J345" s="1162"/>
      <c r="K345" s="230">
        <f>+E345*G345*I345</f>
        <v>138.34863868087692</v>
      </c>
      <c r="L345" s="29" t="s">
        <v>113</v>
      </c>
    </row>
    <row r="346" spans="1:20" ht="30" customHeight="1" x14ac:dyDescent="0.45">
      <c r="A346" s="978" t="s">
        <v>314</v>
      </c>
      <c r="B346" s="978"/>
      <c r="C346" s="978"/>
      <c r="D346" s="1452"/>
      <c r="E346" s="246"/>
      <c r="F346" s="246"/>
      <c r="G346" s="247"/>
      <c r="H346" s="248"/>
      <c r="I346" s="249"/>
      <c r="J346" s="250" t="s">
        <v>38</v>
      </c>
      <c r="K346" s="251">
        <f>SUM(K342:K345)</f>
        <v>308.82753354237866</v>
      </c>
      <c r="L346" s="29" t="s">
        <v>113</v>
      </c>
      <c r="O346" s="2"/>
      <c r="P346" s="26"/>
      <c r="T346" s="28"/>
    </row>
    <row r="347" spans="1:20" ht="30" customHeight="1" thickBot="1" x14ac:dyDescent="0.5">
      <c r="A347" s="1366"/>
      <c r="B347" s="1366"/>
      <c r="C347" s="1366"/>
      <c r="D347" s="1453"/>
      <c r="E347" s="252"/>
      <c r="F347" s="253"/>
      <c r="G347" s="254"/>
      <c r="H347" s="255"/>
      <c r="I347" s="256"/>
      <c r="J347" s="257" t="s">
        <v>39</v>
      </c>
      <c r="K347" s="251">
        <f>+K346</f>
        <v>308.82753354237866</v>
      </c>
      <c r="L347" s="29" t="s">
        <v>113</v>
      </c>
      <c r="O347" s="2"/>
      <c r="P347" s="26"/>
      <c r="T347" s="28"/>
    </row>
    <row r="348" spans="1:20" ht="30" customHeight="1" thickBot="1" x14ac:dyDescent="0.5">
      <c r="A348" s="999"/>
      <c r="B348" s="1000"/>
      <c r="C348" s="1000"/>
      <c r="D348" s="1000"/>
      <c r="E348" s="1000"/>
      <c r="F348" s="1000"/>
      <c r="G348" s="1000"/>
      <c r="H348" s="1000"/>
      <c r="I348" s="1000"/>
      <c r="J348" s="1000"/>
      <c r="K348" s="1000"/>
      <c r="L348" s="1001"/>
      <c r="M348" s="25"/>
      <c r="S348" s="90"/>
      <c r="T348" s="90"/>
    </row>
    <row r="349" spans="1:20" s="18" customFormat="1" ht="30" customHeight="1" x14ac:dyDescent="0.45">
      <c r="A349" s="9" t="s">
        <v>4</v>
      </c>
      <c r="B349" s="10">
        <v>1362</v>
      </c>
      <c r="C349" s="983" t="s">
        <v>315</v>
      </c>
      <c r="D349" s="984"/>
      <c r="E349" s="13" t="s">
        <v>7</v>
      </c>
      <c r="F349" s="167" t="s">
        <v>88</v>
      </c>
      <c r="G349" s="15" t="s">
        <v>148</v>
      </c>
      <c r="H349" s="163">
        <v>1</v>
      </c>
      <c r="I349" s="241" t="s">
        <v>9</v>
      </c>
      <c r="J349" s="1454" t="s">
        <v>76</v>
      </c>
      <c r="K349" s="1455"/>
      <c r="L349" s="1047"/>
      <c r="M349" s="25"/>
      <c r="N349" s="5"/>
      <c r="O349" s="5"/>
    </row>
    <row r="350" spans="1:20" ht="30" customHeight="1" x14ac:dyDescent="0.45">
      <c r="A350" s="1152" t="s">
        <v>77</v>
      </c>
      <c r="B350" s="1153"/>
      <c r="C350" s="1152" t="s">
        <v>12</v>
      </c>
      <c r="D350" s="1153"/>
      <c r="E350" s="239" t="s">
        <v>78</v>
      </c>
      <c r="F350" s="240" t="s">
        <v>79</v>
      </c>
      <c r="G350" s="149" t="s">
        <v>80</v>
      </c>
      <c r="H350" s="258" t="s">
        <v>81</v>
      </c>
      <c r="I350" s="259" t="s">
        <v>82</v>
      </c>
      <c r="J350" s="228" t="s">
        <v>15</v>
      </c>
      <c r="K350" s="260" t="s">
        <v>84</v>
      </c>
      <c r="L350" s="261"/>
      <c r="M350" s="25"/>
    </row>
    <row r="351" spans="1:20" ht="30" customHeight="1" x14ac:dyDescent="0.45">
      <c r="A351" s="1449" t="s">
        <v>316</v>
      </c>
      <c r="B351" s="1450"/>
      <c r="C351" s="1101" t="s">
        <v>317</v>
      </c>
      <c r="D351" s="1102"/>
      <c r="E351" s="252">
        <v>240</v>
      </c>
      <c r="F351" s="252" t="s">
        <v>88</v>
      </c>
      <c r="G351" s="254">
        <v>721993.34</v>
      </c>
      <c r="H351" s="262">
        <v>169165.2</v>
      </c>
      <c r="I351" s="263">
        <v>1680</v>
      </c>
      <c r="J351" s="264">
        <v>240</v>
      </c>
      <c r="K351" s="254">
        <f>+(G351+H351+I351)/J351</f>
        <v>3720.1605833333333</v>
      </c>
      <c r="L351" s="261" t="s">
        <v>88</v>
      </c>
      <c r="M351" s="265"/>
    </row>
    <row r="352" spans="1:20" ht="30" customHeight="1" x14ac:dyDescent="0.45">
      <c r="A352" s="1449" t="s">
        <v>318</v>
      </c>
      <c r="B352" s="1450"/>
      <c r="C352" s="1101" t="s">
        <v>319</v>
      </c>
      <c r="D352" s="1102"/>
      <c r="E352" s="266">
        <v>59</v>
      </c>
      <c r="F352" s="266" t="s">
        <v>88</v>
      </c>
      <c r="G352" s="255">
        <v>322181.06</v>
      </c>
      <c r="H352" s="267">
        <v>174211.47</v>
      </c>
      <c r="I352" s="256">
        <v>1888.88</v>
      </c>
      <c r="J352" s="264">
        <v>59</v>
      </c>
      <c r="K352" s="254">
        <f>+(G352+H352+I352)/J352</f>
        <v>8445.447627118645</v>
      </c>
      <c r="L352" s="261" t="s">
        <v>88</v>
      </c>
      <c r="S352" s="41"/>
      <c r="T352" s="41"/>
    </row>
    <row r="353" spans="1:20" s="18" customFormat="1" ht="30" customHeight="1" x14ac:dyDescent="0.45">
      <c r="A353" s="1449" t="s">
        <v>320</v>
      </c>
      <c r="B353" s="1450"/>
      <c r="C353" s="1101" t="s">
        <v>321</v>
      </c>
      <c r="D353" s="1451"/>
      <c r="E353" s="252">
        <v>0.1</v>
      </c>
      <c r="F353" s="252" t="s">
        <v>322</v>
      </c>
      <c r="G353" s="254">
        <v>8445.0500000000011</v>
      </c>
      <c r="H353" s="268">
        <v>1440.0260000000001</v>
      </c>
      <c r="I353" s="263">
        <v>66</v>
      </c>
      <c r="J353" s="264">
        <v>1</v>
      </c>
      <c r="K353" s="254">
        <f>+(G353+H353+I353)/J353</f>
        <v>9951.0760000000009</v>
      </c>
      <c r="L353" s="261" t="s">
        <v>88</v>
      </c>
      <c r="M353" s="25"/>
      <c r="N353" s="229"/>
      <c r="O353" s="5"/>
    </row>
    <row r="354" spans="1:20" ht="30" customHeight="1" x14ac:dyDescent="0.45">
      <c r="A354" s="1449" t="s">
        <v>323</v>
      </c>
      <c r="B354" s="1450"/>
      <c r="C354" s="1101" t="s">
        <v>324</v>
      </c>
      <c r="D354" s="1451"/>
      <c r="E354" s="252">
        <v>0.05</v>
      </c>
      <c r="F354" s="252" t="s">
        <v>322</v>
      </c>
      <c r="G354" s="254">
        <v>4182.6870000000008</v>
      </c>
      <c r="H354" s="269">
        <v>1479.347</v>
      </c>
      <c r="I354" s="256">
        <v>27</v>
      </c>
      <c r="J354" s="264">
        <v>1</v>
      </c>
      <c r="K354" s="254">
        <f>+(G354+H354+I354)/J354</f>
        <v>5689.0340000000006</v>
      </c>
      <c r="L354" s="261" t="s">
        <v>88</v>
      </c>
      <c r="M354" s="25"/>
    </row>
    <row r="355" spans="1:20" ht="30" customHeight="1" x14ac:dyDescent="0.45">
      <c r="A355" s="1449" t="s">
        <v>325</v>
      </c>
      <c r="B355" s="1450"/>
      <c r="C355" s="1101" t="s">
        <v>326</v>
      </c>
      <c r="D355" s="1451"/>
      <c r="E355" s="252">
        <v>0.1</v>
      </c>
      <c r="F355" s="252" t="s">
        <v>322</v>
      </c>
      <c r="G355" s="270">
        <v>4616.7269999999999</v>
      </c>
      <c r="H355" s="271">
        <v>2050.4479999999999</v>
      </c>
      <c r="I355" s="272">
        <v>36</v>
      </c>
      <c r="J355" s="264">
        <v>1</v>
      </c>
      <c r="K355" s="254">
        <f>+(G355+H355+I355)/J355</f>
        <v>6703.1749999999993</v>
      </c>
      <c r="L355" s="250" t="s">
        <v>88</v>
      </c>
      <c r="M355" s="25"/>
    </row>
    <row r="356" spans="1:20" ht="30" customHeight="1" x14ac:dyDescent="0.45">
      <c r="A356" s="977" t="s">
        <v>327</v>
      </c>
      <c r="B356" s="978"/>
      <c r="C356" s="978"/>
      <c r="D356" s="979"/>
      <c r="E356" s="94"/>
      <c r="F356" s="95"/>
      <c r="G356" s="38"/>
      <c r="H356" s="110"/>
      <c r="I356" s="1447" t="s">
        <v>328</v>
      </c>
      <c r="J356" s="1448"/>
      <c r="K356" s="62">
        <f>AVERAGE(K351:K355)</f>
        <v>6901.7786420903958</v>
      </c>
      <c r="L356" s="38" t="s">
        <v>88</v>
      </c>
      <c r="S356" s="41"/>
      <c r="T356" s="41"/>
    </row>
    <row r="357" spans="1:20" ht="30" customHeight="1" x14ac:dyDescent="0.45">
      <c r="A357" s="1365"/>
      <c r="B357" s="1366"/>
      <c r="C357" s="1366"/>
      <c r="D357" s="1367"/>
      <c r="E357" s="94"/>
      <c r="F357" s="95"/>
      <c r="G357" s="38"/>
      <c r="H357" s="273"/>
      <c r="I357" s="29"/>
      <c r="J357" s="62"/>
      <c r="K357" s="38"/>
      <c r="L357" s="38"/>
      <c r="M357" s="25"/>
      <c r="S357" s="90"/>
      <c r="T357" s="90"/>
    </row>
    <row r="358" spans="1:20" s="18" customFormat="1" ht="30" customHeight="1" thickBot="1" x14ac:dyDescent="0.5">
      <c r="A358" s="1365"/>
      <c r="B358" s="1366"/>
      <c r="C358" s="1366"/>
      <c r="D358" s="1367"/>
      <c r="E358" s="1093" t="s">
        <v>329</v>
      </c>
      <c r="F358" s="1094"/>
      <c r="G358" s="1094"/>
      <c r="H358" s="1095"/>
      <c r="I358" s="132"/>
      <c r="J358" s="132" t="s">
        <v>39</v>
      </c>
      <c r="K358" s="274">
        <f>+K356/H349</f>
        <v>6901.7786420903958</v>
      </c>
      <c r="L358" s="275" t="s">
        <v>88</v>
      </c>
      <c r="M358" s="25"/>
      <c r="N358" s="186"/>
      <c r="O358" s="5"/>
    </row>
    <row r="359" spans="1:20" ht="30" customHeight="1" thickBot="1" x14ac:dyDescent="0.5">
      <c r="A359" s="999"/>
      <c r="B359" s="1000"/>
      <c r="C359" s="1000"/>
      <c r="D359" s="1000"/>
      <c r="E359" s="1000"/>
      <c r="F359" s="1000"/>
      <c r="G359" s="1000"/>
      <c r="H359" s="1000"/>
      <c r="I359" s="1000"/>
      <c r="J359" s="1000"/>
      <c r="K359" s="1000"/>
      <c r="L359" s="1001"/>
      <c r="M359" s="25"/>
    </row>
    <row r="360" spans="1:20" ht="30" customHeight="1" x14ac:dyDescent="0.45">
      <c r="A360" s="9" t="s">
        <v>4</v>
      </c>
      <c r="B360" s="10">
        <v>1371</v>
      </c>
      <c r="C360" s="1138" t="s">
        <v>330</v>
      </c>
      <c r="D360" s="1139"/>
      <c r="E360" s="13" t="s">
        <v>7</v>
      </c>
      <c r="F360" s="14" t="s">
        <v>35</v>
      </c>
      <c r="G360" s="11" t="s">
        <v>6</v>
      </c>
      <c r="H360" s="184">
        <v>242.25</v>
      </c>
      <c r="I360" s="13" t="s">
        <v>9</v>
      </c>
      <c r="J360" s="1155" t="s">
        <v>266</v>
      </c>
      <c r="K360" s="1156"/>
      <c r="L360" s="1127"/>
      <c r="M360" s="25"/>
    </row>
    <row r="361" spans="1:20" ht="30" customHeight="1" x14ac:dyDescent="0.45">
      <c r="A361" s="19" t="s">
        <v>11</v>
      </c>
      <c r="B361" s="1005" t="s">
        <v>12</v>
      </c>
      <c r="C361" s="1005"/>
      <c r="D361" s="1005"/>
      <c r="E361" s="132" t="s">
        <v>267</v>
      </c>
      <c r="F361" s="20" t="s">
        <v>13</v>
      </c>
      <c r="G361" s="19"/>
      <c r="H361" s="19"/>
      <c r="I361" s="1068" t="s">
        <v>16</v>
      </c>
      <c r="J361" s="1069"/>
      <c r="K361" s="992" t="s">
        <v>17</v>
      </c>
      <c r="L361" s="993"/>
      <c r="N361" s="276"/>
      <c r="S361" s="41"/>
      <c r="T361" s="41"/>
    </row>
    <row r="362" spans="1:20" ht="30" customHeight="1" x14ac:dyDescent="0.45">
      <c r="A362" s="29" t="s">
        <v>268</v>
      </c>
      <c r="B362" s="994" t="s">
        <v>269</v>
      </c>
      <c r="C362" s="994"/>
      <c r="D362" s="994"/>
      <c r="E362" s="176">
        <v>66000</v>
      </c>
      <c r="F362" s="145">
        <v>505</v>
      </c>
      <c r="G362" s="177"/>
      <c r="H362" s="178"/>
      <c r="I362" s="1119" t="s">
        <v>270</v>
      </c>
      <c r="J362" s="1120"/>
      <c r="K362" s="145">
        <f>F362</f>
        <v>505</v>
      </c>
      <c r="L362" s="29" t="s">
        <v>35</v>
      </c>
      <c r="M362" s="25"/>
      <c r="S362" s="90"/>
      <c r="T362" s="90"/>
    </row>
    <row r="363" spans="1:20" s="18" customFormat="1" ht="30" customHeight="1" thickBot="1" x14ac:dyDescent="0.5">
      <c r="A363" s="47"/>
      <c r="B363" s="1092"/>
      <c r="C363" s="1092"/>
      <c r="D363" s="1092"/>
      <c r="E363" s="180"/>
      <c r="F363" s="181"/>
      <c r="G363" s="181"/>
      <c r="H363" s="182"/>
      <c r="I363" s="58"/>
      <c r="J363" s="85" t="s">
        <v>39</v>
      </c>
      <c r="K363" s="216">
        <f>K362</f>
        <v>505</v>
      </c>
      <c r="L363" s="47" t="s">
        <v>35</v>
      </c>
      <c r="M363" s="25"/>
      <c r="N363" s="5"/>
      <c r="O363" s="5"/>
    </row>
    <row r="364" spans="1:20" ht="30" customHeight="1" thickBot="1" x14ac:dyDescent="0.5">
      <c r="A364" s="999"/>
      <c r="B364" s="1000"/>
      <c r="C364" s="1000"/>
      <c r="D364" s="1000"/>
      <c r="E364" s="1000"/>
      <c r="F364" s="1000"/>
      <c r="G364" s="1000"/>
      <c r="H364" s="1000"/>
      <c r="I364" s="1000"/>
      <c r="J364" s="1000"/>
      <c r="K364" s="1000"/>
      <c r="L364" s="1001"/>
      <c r="M364" s="25"/>
    </row>
    <row r="365" spans="1:20" ht="30" customHeight="1" x14ac:dyDescent="0.45">
      <c r="A365" s="9" t="s">
        <v>4</v>
      </c>
      <c r="B365" s="10">
        <v>1381</v>
      </c>
      <c r="C365" s="1028" t="s">
        <v>331</v>
      </c>
      <c r="D365" s="1029"/>
      <c r="E365" s="13" t="s">
        <v>7</v>
      </c>
      <c r="F365" s="14" t="s">
        <v>88</v>
      </c>
      <c r="G365" s="11" t="s">
        <v>6</v>
      </c>
      <c r="H365" s="155">
        <v>1</v>
      </c>
      <c r="I365" s="13" t="s">
        <v>9</v>
      </c>
      <c r="J365" s="985" t="s">
        <v>292</v>
      </c>
      <c r="K365" s="985"/>
      <c r="L365" s="986"/>
      <c r="M365" s="25"/>
    </row>
    <row r="366" spans="1:20" ht="30" customHeight="1" x14ac:dyDescent="0.45">
      <c r="A366" s="85" t="s">
        <v>277</v>
      </c>
      <c r="B366" s="987" t="s">
        <v>293</v>
      </c>
      <c r="C366" s="988"/>
      <c r="D366" s="989"/>
      <c r="E366" s="220" t="s">
        <v>13</v>
      </c>
      <c r="F366" s="220" t="s">
        <v>14</v>
      </c>
      <c r="G366" s="992" t="s">
        <v>15</v>
      </c>
      <c r="H366" s="993"/>
      <c r="I366" s="277" t="s">
        <v>278</v>
      </c>
      <c r="J366" s="277"/>
      <c r="K366" s="992" t="s">
        <v>17</v>
      </c>
      <c r="L366" s="993"/>
      <c r="S366" s="41"/>
      <c r="T366" s="41"/>
    </row>
    <row r="367" spans="1:20" ht="30" customHeight="1" x14ac:dyDescent="0.45">
      <c r="A367" s="29" t="s">
        <v>279</v>
      </c>
      <c r="B367" s="1110" t="s">
        <v>332</v>
      </c>
      <c r="C367" s="1110"/>
      <c r="D367" s="1110"/>
      <c r="E367" s="31">
        <f>+(15800+25200)/2</f>
        <v>20500</v>
      </c>
      <c r="F367" s="29" t="s">
        <v>88</v>
      </c>
      <c r="G367" s="29"/>
      <c r="H367" s="29"/>
      <c r="I367" s="237">
        <v>1.2</v>
      </c>
      <c r="J367" s="29"/>
      <c r="K367" s="31">
        <f>+E367*I367</f>
        <v>24600</v>
      </c>
      <c r="L367" s="29" t="s">
        <v>88</v>
      </c>
      <c r="M367" s="25"/>
      <c r="S367" s="90"/>
      <c r="T367" s="90"/>
    </row>
    <row r="368" spans="1:20" s="18" customFormat="1" ht="30" customHeight="1" x14ac:dyDescent="0.45">
      <c r="A368" s="47"/>
      <c r="B368" s="224"/>
      <c r="C368" s="224"/>
      <c r="D368" s="224"/>
      <c r="E368" s="221"/>
      <c r="F368" s="1011" t="s">
        <v>285</v>
      </c>
      <c r="G368" s="1013" t="s">
        <v>286</v>
      </c>
      <c r="H368" s="1013"/>
      <c r="I368" s="1013"/>
      <c r="J368" s="1013"/>
      <c r="K368" s="278">
        <v>1.06</v>
      </c>
      <c r="L368" s="47"/>
      <c r="M368" s="25"/>
      <c r="N368" s="229"/>
      <c r="O368" s="5"/>
    </row>
    <row r="369" spans="1:20" ht="30" customHeight="1" x14ac:dyDescent="0.45">
      <c r="A369" s="47"/>
      <c r="B369" s="224"/>
      <c r="C369" s="224"/>
      <c r="D369" s="224"/>
      <c r="E369" s="221"/>
      <c r="F369" s="1012"/>
      <c r="G369" s="1014" t="s">
        <v>298</v>
      </c>
      <c r="H369" s="1014"/>
      <c r="I369" s="1014"/>
      <c r="J369" s="1014"/>
      <c r="K369" s="202">
        <v>1.06</v>
      </c>
      <c r="L369" s="47"/>
      <c r="M369" s="25"/>
    </row>
    <row r="370" spans="1:20" ht="30" customHeight="1" x14ac:dyDescent="0.45">
      <c r="A370" s="47"/>
      <c r="B370" s="47"/>
      <c r="C370" s="58"/>
      <c r="D370" s="58"/>
      <c r="E370" s="58"/>
      <c r="F370" s="58"/>
      <c r="G370" s="58"/>
      <c r="H370" s="58"/>
      <c r="I370" s="58"/>
      <c r="J370" s="85" t="s">
        <v>39</v>
      </c>
      <c r="K370" s="216">
        <f>+K367*K368/K369</f>
        <v>24600</v>
      </c>
      <c r="L370" s="47" t="s">
        <v>88</v>
      </c>
      <c r="M370" s="25"/>
    </row>
    <row r="371" spans="1:20" ht="30" customHeight="1" x14ac:dyDescent="0.45">
      <c r="A371" s="47"/>
      <c r="B371" s="47"/>
      <c r="C371" s="58"/>
      <c r="D371" s="58"/>
      <c r="E371" s="58"/>
      <c r="F371" s="58"/>
      <c r="G371" s="1021" t="s">
        <v>288</v>
      </c>
      <c r="H371" s="1022"/>
      <c r="I371" s="1023"/>
      <c r="J371" s="213">
        <f>VLOOKUP(B365,'[1]Mil Cost Premiums for PUCs'!$A$4:$R$278,18,FALSE)</f>
        <v>1.0209999999999999</v>
      </c>
      <c r="K371" s="216">
        <f>+K370*J371</f>
        <v>25116.6</v>
      </c>
      <c r="L371" s="47" t="s">
        <v>88</v>
      </c>
      <c r="M371" s="25"/>
      <c r="N371" s="3"/>
      <c r="S371" s="41"/>
      <c r="T371" s="41"/>
    </row>
    <row r="372" spans="1:20" ht="30" customHeight="1" thickBot="1" x14ac:dyDescent="0.5">
      <c r="A372" s="225"/>
      <c r="B372" s="225"/>
      <c r="C372" s="150"/>
      <c r="D372" s="150"/>
      <c r="E372" s="150"/>
      <c r="F372" s="150"/>
      <c r="G372" s="1025" t="s">
        <v>299</v>
      </c>
      <c r="H372" s="1026"/>
      <c r="I372" s="1027"/>
      <c r="J372" s="226">
        <v>1.1214</v>
      </c>
      <c r="K372" s="227">
        <f>+K371*J372</f>
        <v>28165.755239999999</v>
      </c>
      <c r="L372" s="225" t="s">
        <v>88</v>
      </c>
      <c r="M372" s="25"/>
    </row>
    <row r="373" spans="1:20" ht="30" customHeight="1" thickBot="1" x14ac:dyDescent="0.5">
      <c r="A373" s="999"/>
      <c r="B373" s="1000"/>
      <c r="C373" s="1000"/>
      <c r="D373" s="1000"/>
      <c r="E373" s="1000"/>
      <c r="F373" s="1000"/>
      <c r="G373" s="1000"/>
      <c r="H373" s="1000"/>
      <c r="I373" s="1000"/>
      <c r="J373" s="1000"/>
      <c r="K373" s="1000"/>
      <c r="L373" s="1001"/>
      <c r="M373" s="25"/>
      <c r="S373" s="90"/>
      <c r="T373" s="90"/>
    </row>
    <row r="374" spans="1:20" s="18" customFormat="1" ht="30" customHeight="1" x14ac:dyDescent="0.45">
      <c r="A374" s="9" t="s">
        <v>4</v>
      </c>
      <c r="B374" s="10">
        <v>1402</v>
      </c>
      <c r="C374" s="1138" t="s">
        <v>333</v>
      </c>
      <c r="D374" s="1139"/>
      <c r="E374" s="13" t="s">
        <v>7</v>
      </c>
      <c r="F374" s="14" t="s">
        <v>35</v>
      </c>
      <c r="G374" s="11" t="s">
        <v>6</v>
      </c>
      <c r="H374" s="184">
        <v>15869.332164502101</v>
      </c>
      <c r="I374" s="13" t="s">
        <v>9</v>
      </c>
      <c r="J374" s="1155" t="s">
        <v>266</v>
      </c>
      <c r="K374" s="1156"/>
      <c r="L374" s="1127"/>
      <c r="N374" s="229"/>
      <c r="O374" s="5"/>
    </row>
    <row r="375" spans="1:20" ht="30" customHeight="1" x14ac:dyDescent="0.45">
      <c r="A375" s="19" t="s">
        <v>11</v>
      </c>
      <c r="B375" s="1005" t="s">
        <v>12</v>
      </c>
      <c r="C375" s="1005"/>
      <c r="D375" s="1005"/>
      <c r="E375" s="132" t="s">
        <v>267</v>
      </c>
      <c r="F375" s="20" t="s">
        <v>13</v>
      </c>
      <c r="G375" s="19"/>
      <c r="H375" s="19"/>
      <c r="I375" s="1068" t="s">
        <v>16</v>
      </c>
      <c r="J375" s="1069"/>
      <c r="K375" s="992" t="s">
        <v>17</v>
      </c>
      <c r="L375" s="993"/>
      <c r="M375" s="25"/>
    </row>
    <row r="376" spans="1:20" ht="30" customHeight="1" x14ac:dyDescent="0.45">
      <c r="A376" s="29" t="s">
        <v>268</v>
      </c>
      <c r="B376" s="994" t="s">
        <v>334</v>
      </c>
      <c r="C376" s="994"/>
      <c r="D376" s="994"/>
      <c r="E376" s="176">
        <v>56000</v>
      </c>
      <c r="F376" s="145">
        <v>516</v>
      </c>
      <c r="G376" s="177"/>
      <c r="H376" s="178"/>
      <c r="I376" s="1119" t="s">
        <v>270</v>
      </c>
      <c r="J376" s="1120"/>
      <c r="K376" s="145">
        <f>F376</f>
        <v>516</v>
      </c>
      <c r="L376" s="29" t="s">
        <v>35</v>
      </c>
      <c r="M376" s="25"/>
    </row>
    <row r="377" spans="1:20" ht="30" customHeight="1" thickBot="1" x14ac:dyDescent="0.5">
      <c r="A377" s="47"/>
      <c r="B377" s="1018"/>
      <c r="C377" s="1019"/>
      <c r="D377" s="1020"/>
      <c r="E377" s="180"/>
      <c r="F377" s="181"/>
      <c r="G377" s="181"/>
      <c r="H377" s="182"/>
      <c r="I377" s="58"/>
      <c r="J377" s="228" t="s">
        <v>39</v>
      </c>
      <c r="K377" s="216">
        <f>+K376</f>
        <v>516</v>
      </c>
      <c r="L377" s="47" t="s">
        <v>35</v>
      </c>
      <c r="M377" s="25"/>
      <c r="S377" s="41"/>
      <c r="T377" s="41"/>
    </row>
    <row r="378" spans="1:20" ht="30" customHeight="1" thickBot="1" x14ac:dyDescent="0.5">
      <c r="A378" s="999"/>
      <c r="B378" s="1000"/>
      <c r="C378" s="1000"/>
      <c r="D378" s="1000"/>
      <c r="E378" s="1000"/>
      <c r="F378" s="1000"/>
      <c r="G378" s="1000"/>
      <c r="H378" s="1000"/>
      <c r="I378" s="1000"/>
      <c r="J378" s="1000"/>
      <c r="K378" s="1000"/>
      <c r="L378" s="1001"/>
      <c r="M378" s="25"/>
      <c r="S378" s="90"/>
      <c r="T378" s="90"/>
    </row>
    <row r="379" spans="1:20" s="18" customFormat="1" ht="30" customHeight="1" x14ac:dyDescent="0.45">
      <c r="A379" s="9" t="s">
        <v>4</v>
      </c>
      <c r="B379" s="10">
        <v>1403</v>
      </c>
      <c r="C379" s="1138" t="s">
        <v>335</v>
      </c>
      <c r="D379" s="1139"/>
      <c r="E379" s="13" t="s">
        <v>7</v>
      </c>
      <c r="F379" s="14" t="s">
        <v>35</v>
      </c>
      <c r="G379" s="11" t="s">
        <v>6</v>
      </c>
      <c r="H379" s="184">
        <v>5652.5454545454504</v>
      </c>
      <c r="I379" s="13" t="s">
        <v>9</v>
      </c>
      <c r="J379" s="1155" t="s">
        <v>266</v>
      </c>
      <c r="K379" s="1156"/>
      <c r="L379" s="1127"/>
      <c r="M379" s="25"/>
      <c r="N379" s="186"/>
      <c r="O379" s="5"/>
    </row>
    <row r="380" spans="1:20" s="18" customFormat="1" ht="30" customHeight="1" x14ac:dyDescent="0.45">
      <c r="A380" s="19" t="s">
        <v>11</v>
      </c>
      <c r="B380" s="1005" t="s">
        <v>12</v>
      </c>
      <c r="C380" s="1005"/>
      <c r="D380" s="1005"/>
      <c r="E380" s="132" t="s">
        <v>267</v>
      </c>
      <c r="F380" s="20" t="s">
        <v>13</v>
      </c>
      <c r="G380" s="19"/>
      <c r="H380" s="19"/>
      <c r="I380" s="1068" t="s">
        <v>16</v>
      </c>
      <c r="J380" s="1069"/>
      <c r="K380" s="992" t="s">
        <v>17</v>
      </c>
      <c r="L380" s="993"/>
      <c r="M380" s="25"/>
      <c r="N380" s="229"/>
      <c r="O380" s="5"/>
    </row>
    <row r="381" spans="1:20" s="18" customFormat="1" ht="30" customHeight="1" x14ac:dyDescent="0.45">
      <c r="A381" s="29" t="s">
        <v>268</v>
      </c>
      <c r="B381" s="994" t="s">
        <v>269</v>
      </c>
      <c r="C381" s="994"/>
      <c r="D381" s="994"/>
      <c r="E381" s="176">
        <v>66000</v>
      </c>
      <c r="F381" s="145">
        <v>505</v>
      </c>
      <c r="G381" s="177"/>
      <c r="H381" s="178"/>
      <c r="I381" s="1119" t="s">
        <v>270</v>
      </c>
      <c r="J381" s="1120"/>
      <c r="K381" s="145">
        <f>F381</f>
        <v>505</v>
      </c>
      <c r="L381" s="29" t="s">
        <v>35</v>
      </c>
      <c r="M381" s="84"/>
      <c r="N381" s="279"/>
      <c r="O381" s="5"/>
    </row>
    <row r="382" spans="1:20" ht="30" customHeight="1" thickBot="1" x14ac:dyDescent="0.5">
      <c r="A382" s="47"/>
      <c r="B382" s="1092"/>
      <c r="C382" s="1092"/>
      <c r="D382" s="1092"/>
      <c r="E382" s="180"/>
      <c r="F382" s="181"/>
      <c r="G382" s="181"/>
      <c r="H382" s="182"/>
      <c r="I382" s="58"/>
      <c r="J382" s="85" t="s">
        <v>39</v>
      </c>
      <c r="K382" s="216">
        <f>K381</f>
        <v>505</v>
      </c>
      <c r="L382" s="47" t="s">
        <v>35</v>
      </c>
      <c r="M382" s="25"/>
    </row>
    <row r="383" spans="1:20" ht="30" customHeight="1" thickBot="1" x14ac:dyDescent="0.5">
      <c r="A383" s="999"/>
      <c r="B383" s="1000"/>
      <c r="C383" s="1000"/>
      <c r="D383" s="1000"/>
      <c r="E383" s="1000"/>
      <c r="F383" s="1000"/>
      <c r="G383" s="1000"/>
      <c r="H383" s="1000"/>
      <c r="I383" s="1000"/>
      <c r="J383" s="1000"/>
      <c r="K383" s="1000"/>
      <c r="L383" s="1001"/>
      <c r="M383" s="25"/>
    </row>
    <row r="384" spans="1:20" ht="30" customHeight="1" x14ac:dyDescent="0.45">
      <c r="A384" s="9" t="s">
        <v>4</v>
      </c>
      <c r="B384" s="10">
        <v>1404</v>
      </c>
      <c r="C384" s="1138" t="s">
        <v>336</v>
      </c>
      <c r="D384" s="1139"/>
      <c r="E384" s="13" t="s">
        <v>7</v>
      </c>
      <c r="F384" s="14" t="s">
        <v>35</v>
      </c>
      <c r="G384" s="11" t="s">
        <v>6</v>
      </c>
      <c r="H384" s="184">
        <v>13803</v>
      </c>
      <c r="I384" s="13" t="s">
        <v>9</v>
      </c>
      <c r="J384" s="1155" t="s">
        <v>10</v>
      </c>
      <c r="K384" s="1156"/>
      <c r="L384" s="1127"/>
      <c r="N384" s="26"/>
      <c r="O384" s="2"/>
      <c r="P384" s="27"/>
      <c r="Q384" s="26"/>
      <c r="R384" s="28"/>
    </row>
    <row r="385" spans="1:18" ht="30" customHeight="1" x14ac:dyDescent="0.45">
      <c r="A385" s="19" t="s">
        <v>11</v>
      </c>
      <c r="B385" s="1005" t="s">
        <v>12</v>
      </c>
      <c r="C385" s="1005"/>
      <c r="D385" s="1005"/>
      <c r="E385" s="132" t="s">
        <v>267</v>
      </c>
      <c r="F385" s="20" t="s">
        <v>13</v>
      </c>
      <c r="G385" s="19"/>
      <c r="H385" s="19"/>
      <c r="I385" s="1068" t="s">
        <v>16</v>
      </c>
      <c r="J385" s="1069"/>
      <c r="K385" s="992" t="s">
        <v>17</v>
      </c>
      <c r="L385" s="993"/>
      <c r="M385" s="25"/>
      <c r="N385" s="26"/>
      <c r="O385" s="2"/>
      <c r="P385" s="27"/>
      <c r="Q385" s="26"/>
      <c r="R385" s="28"/>
    </row>
    <row r="386" spans="1:18" ht="30" customHeight="1" x14ac:dyDescent="0.45">
      <c r="A386" s="29">
        <v>14161</v>
      </c>
      <c r="B386" s="994" t="s">
        <v>337</v>
      </c>
      <c r="C386" s="994"/>
      <c r="D386" s="994"/>
      <c r="E386" s="176">
        <v>58130</v>
      </c>
      <c r="F386" s="145">
        <v>729</v>
      </c>
      <c r="G386" s="177"/>
      <c r="H386" s="178"/>
      <c r="I386" s="1119">
        <f>+'[1]2023 MILCON Inflation Table'!F22</f>
        <v>0.93771935922451721</v>
      </c>
      <c r="J386" s="1120"/>
      <c r="K386" s="36">
        <f>+F386*I386</f>
        <v>683.59741287467307</v>
      </c>
      <c r="L386" s="29" t="s">
        <v>35</v>
      </c>
      <c r="M386" s="25"/>
      <c r="N386" s="5"/>
      <c r="O386" s="2"/>
      <c r="P386" s="27"/>
      <c r="Q386" s="26"/>
      <c r="R386" s="28"/>
    </row>
    <row r="387" spans="1:18" ht="30" customHeight="1" x14ac:dyDescent="0.45">
      <c r="A387" s="29">
        <v>14162</v>
      </c>
      <c r="B387" s="994" t="s">
        <v>338</v>
      </c>
      <c r="C387" s="994"/>
      <c r="D387" s="994"/>
      <c r="E387" s="176">
        <v>114000</v>
      </c>
      <c r="F387" s="145">
        <v>661</v>
      </c>
      <c r="G387" s="177"/>
      <c r="H387" s="178"/>
      <c r="I387" s="1119">
        <f>+'[1]2023 MILCON Inflation Table'!F22</f>
        <v>0.93771935922451721</v>
      </c>
      <c r="J387" s="1120"/>
      <c r="K387" s="36">
        <f>+F387*I387</f>
        <v>619.8324964474059</v>
      </c>
      <c r="L387" s="29" t="s">
        <v>35</v>
      </c>
      <c r="M387" s="25"/>
      <c r="N387" s="5"/>
      <c r="O387" s="2"/>
      <c r="P387" s="27"/>
      <c r="Q387" s="26"/>
      <c r="R387" s="28"/>
    </row>
    <row r="388" spans="1:18" ht="30" customHeight="1" x14ac:dyDescent="0.45">
      <c r="A388" s="13"/>
      <c r="B388" s="137"/>
      <c r="C388" s="137"/>
      <c r="D388" s="138"/>
      <c r="E388" s="280"/>
      <c r="F388" s="281"/>
      <c r="G388" s="282"/>
      <c r="H388" s="283"/>
      <c r="I388" s="34"/>
      <c r="J388" s="35" t="s">
        <v>328</v>
      </c>
      <c r="K388" s="36">
        <f>AVERAGE(K386:K387)</f>
        <v>651.71495466103943</v>
      </c>
      <c r="L388" s="29" t="s">
        <v>35</v>
      </c>
      <c r="M388" s="25"/>
      <c r="N388" s="5"/>
      <c r="O388" s="2"/>
      <c r="P388" s="27"/>
      <c r="Q388" s="26"/>
      <c r="R388" s="28"/>
    </row>
    <row r="389" spans="1:18" ht="30" customHeight="1" thickBot="1" x14ac:dyDescent="0.5">
      <c r="A389" s="197"/>
      <c r="B389" s="198"/>
      <c r="C389" s="198"/>
      <c r="D389" s="199"/>
      <c r="E389" s="180"/>
      <c r="F389" s="181"/>
      <c r="G389" s="181"/>
      <c r="H389" s="182"/>
      <c r="I389" s="58"/>
      <c r="J389" s="85" t="s">
        <v>39</v>
      </c>
      <c r="K389" s="185">
        <f>+K388</f>
        <v>651.71495466103943</v>
      </c>
      <c r="L389" s="29" t="s">
        <v>35</v>
      </c>
      <c r="M389" s="25"/>
      <c r="N389" s="5"/>
      <c r="O389" s="2"/>
      <c r="P389" s="27"/>
      <c r="Q389" s="26"/>
      <c r="R389" s="28"/>
    </row>
    <row r="390" spans="1:18" ht="30" customHeight="1" thickBot="1" x14ac:dyDescent="0.5">
      <c r="A390" s="999"/>
      <c r="B390" s="1000"/>
      <c r="C390" s="1000"/>
      <c r="D390" s="1000"/>
      <c r="E390" s="1000"/>
      <c r="F390" s="1000"/>
      <c r="G390" s="1000"/>
      <c r="H390" s="1000"/>
      <c r="I390" s="1000"/>
      <c r="J390" s="1000"/>
      <c r="K390" s="1000"/>
      <c r="L390" s="1001"/>
      <c r="M390" s="25"/>
      <c r="N390" s="26"/>
      <c r="O390" s="2"/>
      <c r="P390" s="27"/>
      <c r="Q390" s="26"/>
      <c r="R390" s="28"/>
    </row>
    <row r="391" spans="1:18" ht="30" customHeight="1" x14ac:dyDescent="0.45">
      <c r="A391" s="9" t="s">
        <v>4</v>
      </c>
      <c r="B391" s="10">
        <v>1411</v>
      </c>
      <c r="C391" s="1138" t="s">
        <v>339</v>
      </c>
      <c r="D391" s="1139"/>
      <c r="E391" s="13" t="s">
        <v>7</v>
      </c>
      <c r="F391" s="14" t="s">
        <v>35</v>
      </c>
      <c r="G391" s="11" t="s">
        <v>6</v>
      </c>
      <c r="H391" s="184">
        <v>10254.695740365099</v>
      </c>
      <c r="I391" s="13" t="s">
        <v>9</v>
      </c>
      <c r="J391" s="1155" t="s">
        <v>266</v>
      </c>
      <c r="K391" s="1156"/>
      <c r="L391" s="1127"/>
      <c r="N391" s="26"/>
      <c r="O391" s="2"/>
      <c r="P391" s="27"/>
      <c r="Q391" s="26"/>
      <c r="R391" s="28"/>
    </row>
    <row r="392" spans="1:18" ht="30" customHeight="1" x14ac:dyDescent="0.45">
      <c r="A392" s="19" t="s">
        <v>11</v>
      </c>
      <c r="B392" s="1005" t="s">
        <v>12</v>
      </c>
      <c r="C392" s="1005"/>
      <c r="D392" s="1005"/>
      <c r="E392" s="132" t="s">
        <v>267</v>
      </c>
      <c r="F392" s="20" t="s">
        <v>13</v>
      </c>
      <c r="G392" s="19"/>
      <c r="H392" s="19"/>
      <c r="I392" s="1068" t="s">
        <v>16</v>
      </c>
      <c r="J392" s="1069"/>
      <c r="K392" s="992" t="s">
        <v>17</v>
      </c>
      <c r="L392" s="993"/>
      <c r="M392" s="25"/>
      <c r="N392" s="26"/>
      <c r="O392" s="2"/>
      <c r="P392" s="27"/>
      <c r="Q392" s="26"/>
      <c r="R392" s="28"/>
    </row>
    <row r="393" spans="1:18" ht="30" customHeight="1" x14ac:dyDescent="0.45">
      <c r="A393" s="29" t="s">
        <v>268</v>
      </c>
      <c r="B393" s="994" t="s">
        <v>339</v>
      </c>
      <c r="C393" s="994"/>
      <c r="D393" s="994"/>
      <c r="E393" s="176">
        <v>23000</v>
      </c>
      <c r="F393" s="145">
        <v>761</v>
      </c>
      <c r="G393" s="177"/>
      <c r="H393" s="284"/>
      <c r="I393" s="1119" t="s">
        <v>270</v>
      </c>
      <c r="J393" s="1120"/>
      <c r="K393" s="145">
        <f>F393</f>
        <v>761</v>
      </c>
      <c r="L393" s="29" t="s">
        <v>35</v>
      </c>
      <c r="M393" s="25"/>
      <c r="N393" s="26"/>
      <c r="O393" s="2"/>
      <c r="P393" s="27"/>
      <c r="Q393" s="26"/>
      <c r="R393" s="28"/>
    </row>
    <row r="394" spans="1:18" ht="30" customHeight="1" thickBot="1" x14ac:dyDescent="0.5">
      <c r="A394" s="47"/>
      <c r="B394" s="1093"/>
      <c r="C394" s="1094"/>
      <c r="D394" s="1095"/>
      <c r="E394" s="180"/>
      <c r="F394" s="181"/>
      <c r="G394" s="181"/>
      <c r="H394" s="182"/>
      <c r="I394" s="58"/>
      <c r="J394" s="85" t="s">
        <v>39</v>
      </c>
      <c r="K394" s="216">
        <f>+K393</f>
        <v>761</v>
      </c>
      <c r="L394" s="47" t="s">
        <v>35</v>
      </c>
      <c r="M394" s="25"/>
      <c r="N394" s="26"/>
      <c r="O394" s="2"/>
      <c r="P394" s="27"/>
      <c r="Q394" s="26"/>
      <c r="R394" s="28"/>
    </row>
    <row r="395" spans="1:18" ht="30" customHeight="1" thickBot="1" x14ac:dyDescent="0.5">
      <c r="A395" s="999"/>
      <c r="B395" s="1000"/>
      <c r="C395" s="1000"/>
      <c r="D395" s="1000"/>
      <c r="E395" s="1000"/>
      <c r="F395" s="1000"/>
      <c r="G395" s="1000"/>
      <c r="H395" s="1000"/>
      <c r="I395" s="1000"/>
      <c r="J395" s="1000"/>
      <c r="K395" s="1000"/>
      <c r="L395" s="1001"/>
      <c r="M395" s="25"/>
      <c r="N395" s="26"/>
      <c r="O395" s="2"/>
      <c r="P395" s="27"/>
      <c r="Q395" s="26"/>
      <c r="R395" s="28"/>
    </row>
    <row r="396" spans="1:18" ht="30" customHeight="1" x14ac:dyDescent="0.45">
      <c r="A396" s="9" t="s">
        <v>4</v>
      </c>
      <c r="B396" s="10">
        <v>1412</v>
      </c>
      <c r="C396" s="1138" t="s">
        <v>340</v>
      </c>
      <c r="D396" s="1139"/>
      <c r="E396" s="13" t="s">
        <v>7</v>
      </c>
      <c r="F396" s="14" t="s">
        <v>35</v>
      </c>
      <c r="G396" s="11" t="s">
        <v>6</v>
      </c>
      <c r="H396" s="184">
        <v>27416.400000000001</v>
      </c>
      <c r="I396" s="13" t="s">
        <v>9</v>
      </c>
      <c r="J396" s="1155" t="s">
        <v>266</v>
      </c>
      <c r="K396" s="1156"/>
      <c r="L396" s="1127"/>
      <c r="M396" s="25"/>
      <c r="N396" s="285"/>
      <c r="O396" s="2"/>
      <c r="P396" s="27"/>
      <c r="Q396" s="26"/>
      <c r="R396" s="28"/>
    </row>
    <row r="397" spans="1:18" ht="30" customHeight="1" x14ac:dyDescent="0.45">
      <c r="A397" s="19" t="s">
        <v>11</v>
      </c>
      <c r="B397" s="1005" t="s">
        <v>12</v>
      </c>
      <c r="C397" s="1005"/>
      <c r="D397" s="1005"/>
      <c r="E397" s="132" t="s">
        <v>267</v>
      </c>
      <c r="F397" s="20" t="s">
        <v>13</v>
      </c>
      <c r="G397" s="19"/>
      <c r="H397" s="19"/>
      <c r="I397" s="1068" t="s">
        <v>16</v>
      </c>
      <c r="J397" s="1069"/>
      <c r="K397" s="992" t="s">
        <v>17</v>
      </c>
      <c r="L397" s="993"/>
      <c r="M397" s="25"/>
      <c r="N397" s="26"/>
      <c r="O397" s="2"/>
      <c r="P397" s="27"/>
      <c r="Q397" s="26"/>
      <c r="R397" s="28"/>
    </row>
    <row r="398" spans="1:18" ht="30" customHeight="1" x14ac:dyDescent="0.45">
      <c r="A398" s="29" t="s">
        <v>268</v>
      </c>
      <c r="B398" s="994" t="s">
        <v>334</v>
      </c>
      <c r="C398" s="994"/>
      <c r="D398" s="994"/>
      <c r="E398" s="176">
        <v>56000</v>
      </c>
      <c r="F398" s="145">
        <v>516</v>
      </c>
      <c r="G398" s="177"/>
      <c r="H398" s="178"/>
      <c r="I398" s="1119" t="s">
        <v>270</v>
      </c>
      <c r="J398" s="1120"/>
      <c r="K398" s="145">
        <f>F398</f>
        <v>516</v>
      </c>
      <c r="L398" s="29" t="s">
        <v>35</v>
      </c>
      <c r="M398" s="25"/>
      <c r="N398" s="5"/>
      <c r="O398" s="2"/>
      <c r="P398" s="27"/>
      <c r="Q398" s="26"/>
      <c r="R398" s="28"/>
    </row>
    <row r="399" spans="1:18" ht="30" customHeight="1" thickBot="1" x14ac:dyDescent="0.5">
      <c r="A399" s="47"/>
      <c r="B399" s="1092"/>
      <c r="C399" s="1092"/>
      <c r="D399" s="1092"/>
      <c r="E399" s="180"/>
      <c r="F399" s="181"/>
      <c r="G399" s="181"/>
      <c r="H399" s="182"/>
      <c r="I399" s="58"/>
      <c r="J399" s="85" t="s">
        <v>39</v>
      </c>
      <c r="K399" s="216">
        <f>+K398</f>
        <v>516</v>
      </c>
      <c r="L399" s="47" t="s">
        <v>35</v>
      </c>
      <c r="M399" s="25"/>
      <c r="N399" s="5"/>
      <c r="O399" s="2"/>
      <c r="P399" s="27"/>
      <c r="Q399" s="26"/>
      <c r="R399" s="28"/>
    </row>
    <row r="400" spans="1:18" ht="30" customHeight="1" thickBot="1" x14ac:dyDescent="0.5">
      <c r="A400" s="999"/>
      <c r="B400" s="1000"/>
      <c r="C400" s="1000"/>
      <c r="D400" s="1000"/>
      <c r="E400" s="1000"/>
      <c r="F400" s="1000"/>
      <c r="G400" s="1000"/>
      <c r="H400" s="1000"/>
      <c r="I400" s="1000"/>
      <c r="J400" s="1000"/>
      <c r="K400" s="1000"/>
      <c r="L400" s="1001"/>
      <c r="M400" s="25"/>
      <c r="N400" s="5"/>
      <c r="O400" s="2"/>
      <c r="P400" s="27"/>
      <c r="Q400" s="26"/>
      <c r="R400" s="28"/>
    </row>
    <row r="401" spans="1:18" ht="30" customHeight="1" x14ac:dyDescent="0.45">
      <c r="A401" s="9" t="s">
        <v>4</v>
      </c>
      <c r="B401" s="10">
        <v>1413</v>
      </c>
      <c r="C401" s="1138" t="s">
        <v>341</v>
      </c>
      <c r="D401" s="1139"/>
      <c r="E401" s="13" t="s">
        <v>7</v>
      </c>
      <c r="F401" s="14" t="s">
        <v>35</v>
      </c>
      <c r="G401" s="11" t="s">
        <v>6</v>
      </c>
      <c r="H401" s="184">
        <v>4859.8367857142803</v>
      </c>
      <c r="I401" s="13" t="s">
        <v>9</v>
      </c>
      <c r="J401" s="1155" t="s">
        <v>266</v>
      </c>
      <c r="K401" s="1156"/>
      <c r="L401" s="1127"/>
      <c r="N401" s="5"/>
      <c r="O401" s="2"/>
      <c r="P401" s="27"/>
      <c r="Q401" s="26"/>
      <c r="R401" s="28"/>
    </row>
    <row r="402" spans="1:18" ht="30" customHeight="1" x14ac:dyDescent="0.45">
      <c r="A402" s="19" t="s">
        <v>11</v>
      </c>
      <c r="B402" s="1005" t="s">
        <v>12</v>
      </c>
      <c r="C402" s="1005"/>
      <c r="D402" s="1005"/>
      <c r="E402" s="132" t="s">
        <v>267</v>
      </c>
      <c r="F402" s="20" t="s">
        <v>13</v>
      </c>
      <c r="G402" s="1068" t="s">
        <v>15</v>
      </c>
      <c r="H402" s="1069"/>
      <c r="I402" s="1068" t="s">
        <v>16</v>
      </c>
      <c r="J402" s="1069"/>
      <c r="K402" s="992" t="s">
        <v>17</v>
      </c>
      <c r="L402" s="993"/>
      <c r="M402" s="90"/>
      <c r="N402" s="170"/>
      <c r="O402" s="2"/>
      <c r="P402" s="27"/>
      <c r="Q402" s="26"/>
      <c r="R402" s="28"/>
    </row>
    <row r="403" spans="1:18" ht="30" customHeight="1" x14ac:dyDescent="0.45">
      <c r="A403" s="29" t="s">
        <v>268</v>
      </c>
      <c r="B403" s="994" t="s">
        <v>342</v>
      </c>
      <c r="C403" s="994"/>
      <c r="D403" s="994"/>
      <c r="E403" s="32">
        <v>68.069999999999993</v>
      </c>
      <c r="F403" s="145">
        <v>132033</v>
      </c>
      <c r="G403" s="286">
        <f>+E403/H401</f>
        <v>1.4006643227215978E-2</v>
      </c>
      <c r="H403" s="287" t="s">
        <v>343</v>
      </c>
      <c r="I403" s="1119" t="str">
        <f>I398</f>
        <v>NA;  GUCs are as of October 2022</v>
      </c>
      <c r="J403" s="1120"/>
      <c r="K403" s="145">
        <f>F403*G403</f>
        <v>1849.3391252190072</v>
      </c>
      <c r="L403" s="29" t="s">
        <v>35</v>
      </c>
      <c r="M403" s="288"/>
      <c r="N403" s="289"/>
      <c r="O403" s="2"/>
      <c r="P403" s="27"/>
      <c r="Q403" s="26"/>
      <c r="R403" s="28"/>
    </row>
    <row r="404" spans="1:18" ht="30" customHeight="1" thickBot="1" x14ac:dyDescent="0.5">
      <c r="A404" s="1093" t="s">
        <v>344</v>
      </c>
      <c r="B404" s="1094"/>
      <c r="C404" s="1094"/>
      <c r="D404" s="1094"/>
      <c r="E404" s="1095"/>
      <c r="F404" s="181"/>
      <c r="G404" s="181"/>
      <c r="H404" s="182"/>
      <c r="I404" s="290"/>
      <c r="J404" s="291" t="str">
        <f>J399</f>
        <v>PUC</v>
      </c>
      <c r="K404" s="145">
        <f>K403</f>
        <v>1849.3391252190072</v>
      </c>
      <c r="L404" s="29" t="s">
        <v>35</v>
      </c>
      <c r="M404" s="90"/>
      <c r="N404" s="26"/>
      <c r="O404" s="2"/>
      <c r="P404" s="27"/>
      <c r="Q404" s="26"/>
      <c r="R404" s="28"/>
    </row>
    <row r="405" spans="1:18" ht="30" customHeight="1" thickBot="1" x14ac:dyDescent="0.5">
      <c r="A405" s="999"/>
      <c r="B405" s="1000"/>
      <c r="C405" s="1000"/>
      <c r="D405" s="1000"/>
      <c r="E405" s="1000"/>
      <c r="F405" s="1000"/>
      <c r="G405" s="1000"/>
      <c r="H405" s="1000"/>
      <c r="I405" s="1000"/>
      <c r="J405" s="1000"/>
      <c r="K405" s="1000"/>
      <c r="L405" s="1001"/>
      <c r="M405" s="25"/>
      <c r="N405" s="26"/>
      <c r="O405" s="2"/>
      <c r="P405" s="27"/>
      <c r="Q405" s="26"/>
      <c r="R405" s="28"/>
    </row>
    <row r="406" spans="1:18" ht="30" customHeight="1" x14ac:dyDescent="0.45">
      <c r="A406" s="9" t="s">
        <v>4</v>
      </c>
      <c r="B406" s="10">
        <v>1421</v>
      </c>
      <c r="C406" s="1138" t="s">
        <v>345</v>
      </c>
      <c r="D406" s="1139"/>
      <c r="E406" s="13" t="s">
        <v>7</v>
      </c>
      <c r="F406" s="14" t="s">
        <v>35</v>
      </c>
      <c r="G406" s="11" t="s">
        <v>6</v>
      </c>
      <c r="H406" s="184">
        <v>385.5</v>
      </c>
      <c r="I406" s="13" t="s">
        <v>9</v>
      </c>
      <c r="J406" s="985" t="s">
        <v>10</v>
      </c>
      <c r="K406" s="985"/>
      <c r="L406" s="986"/>
      <c r="M406" s="25"/>
      <c r="N406" s="26"/>
      <c r="O406" s="2"/>
      <c r="P406" s="27"/>
      <c r="Q406" s="26"/>
      <c r="R406" s="28"/>
    </row>
    <row r="407" spans="1:18" ht="30" customHeight="1" x14ac:dyDescent="0.45">
      <c r="A407" s="19" t="s">
        <v>11</v>
      </c>
      <c r="B407" s="1005" t="s">
        <v>12</v>
      </c>
      <c r="C407" s="1005"/>
      <c r="D407" s="1005"/>
      <c r="E407" s="132" t="s">
        <v>267</v>
      </c>
      <c r="F407" s="20" t="s">
        <v>13</v>
      </c>
      <c r="G407" s="1068" t="s">
        <v>15</v>
      </c>
      <c r="H407" s="1069"/>
      <c r="I407" s="1068" t="s">
        <v>16</v>
      </c>
      <c r="J407" s="1069"/>
      <c r="K407" s="992" t="s">
        <v>17</v>
      </c>
      <c r="L407" s="993"/>
      <c r="M407" s="25"/>
      <c r="N407" s="26"/>
      <c r="O407" s="2"/>
      <c r="P407" s="27"/>
      <c r="Q407" s="26"/>
      <c r="R407" s="28"/>
    </row>
    <row r="408" spans="1:18" ht="30" customHeight="1" x14ac:dyDescent="0.45">
      <c r="A408" s="29">
        <v>42183</v>
      </c>
      <c r="B408" s="1142" t="s">
        <v>346</v>
      </c>
      <c r="C408" s="1117"/>
      <c r="D408" s="1118"/>
      <c r="E408" s="176">
        <v>6000</v>
      </c>
      <c r="F408" s="145">
        <v>739</v>
      </c>
      <c r="G408" s="105"/>
      <c r="H408" s="78"/>
      <c r="I408" s="1119">
        <f>+'[1]2023 MILCON Inflation Table'!F22</f>
        <v>0.93771935922451721</v>
      </c>
      <c r="J408" s="1120"/>
      <c r="K408" s="145">
        <f>+F408*I408</f>
        <v>692.9746064669182</v>
      </c>
      <c r="L408" s="29" t="s">
        <v>35</v>
      </c>
      <c r="M408" s="25"/>
      <c r="N408" s="26"/>
      <c r="O408" s="2"/>
      <c r="P408" s="27"/>
      <c r="Q408" s="26"/>
      <c r="R408" s="28"/>
    </row>
    <row r="409" spans="1:18" ht="30" customHeight="1" x14ac:dyDescent="0.45">
      <c r="A409" s="29">
        <v>44220</v>
      </c>
      <c r="B409" s="1142" t="s">
        <v>347</v>
      </c>
      <c r="C409" s="1117"/>
      <c r="D409" s="1118"/>
      <c r="E409" s="176">
        <v>5300</v>
      </c>
      <c r="F409" s="145">
        <v>367</v>
      </c>
      <c r="G409" s="177"/>
      <c r="H409" s="178"/>
      <c r="I409" s="1119">
        <f>+I408</f>
        <v>0.93771935922451721</v>
      </c>
      <c r="J409" s="1120"/>
      <c r="K409" s="145">
        <f>+F409*I409</f>
        <v>344.14300483539779</v>
      </c>
      <c r="L409" s="29" t="s">
        <v>35</v>
      </c>
      <c r="M409" s="25"/>
      <c r="N409" s="26"/>
      <c r="O409" s="2"/>
      <c r="P409" s="27"/>
      <c r="Q409" s="26"/>
      <c r="R409" s="28"/>
    </row>
    <row r="410" spans="1:18" ht="30" customHeight="1" x14ac:dyDescent="0.45">
      <c r="A410" s="29">
        <v>21470</v>
      </c>
      <c r="B410" s="1142" t="s">
        <v>348</v>
      </c>
      <c r="C410" s="1117"/>
      <c r="D410" s="1118"/>
      <c r="E410" s="176">
        <v>180</v>
      </c>
      <c r="F410" s="145">
        <v>724</v>
      </c>
      <c r="G410" s="177"/>
      <c r="H410" s="178"/>
      <c r="I410" s="1119">
        <f>+I408</f>
        <v>0.93771935922451721</v>
      </c>
      <c r="J410" s="1120"/>
      <c r="K410" s="145">
        <f>+F410*I410</f>
        <v>678.90881607855044</v>
      </c>
      <c r="L410" s="29" t="s">
        <v>35</v>
      </c>
      <c r="M410" s="25"/>
      <c r="N410" s="26"/>
      <c r="O410" s="2"/>
      <c r="P410" s="27"/>
      <c r="Q410" s="26"/>
      <c r="R410" s="28"/>
    </row>
    <row r="411" spans="1:18" ht="30" customHeight="1" x14ac:dyDescent="0.45">
      <c r="A411" s="47"/>
      <c r="B411" s="197"/>
      <c r="C411" s="198"/>
      <c r="D411" s="292" t="s">
        <v>56</v>
      </c>
      <c r="E411" s="280">
        <f>AVERAGE(E408:E410)</f>
        <v>3826.6666666666665</v>
      </c>
      <c r="F411" s="281"/>
      <c r="G411" s="282"/>
      <c r="H411" s="283"/>
      <c r="I411" s="1119" t="s">
        <v>56</v>
      </c>
      <c r="J411" s="1120"/>
      <c r="K411" s="145">
        <f>AVERAGE(K408:K410)</f>
        <v>572.0088091269555</v>
      </c>
      <c r="L411" s="29" t="s">
        <v>35</v>
      </c>
      <c r="M411" s="25"/>
      <c r="N411" s="26"/>
      <c r="O411" s="2"/>
      <c r="P411" s="27"/>
      <c r="Q411" s="26"/>
      <c r="R411" s="28"/>
    </row>
    <row r="412" spans="1:18" ht="30" customHeight="1" thickBot="1" x14ac:dyDescent="0.5">
      <c r="A412" s="47"/>
      <c r="B412" s="1092"/>
      <c r="C412" s="1092"/>
      <c r="D412" s="1092"/>
      <c r="E412" s="293"/>
      <c r="F412" s="294"/>
      <c r="G412" s="294"/>
      <c r="H412" s="295"/>
      <c r="I412" s="58"/>
      <c r="J412" s="85" t="s">
        <v>39</v>
      </c>
      <c r="K412" s="216">
        <f>+K411</f>
        <v>572.0088091269555</v>
      </c>
      <c r="L412" s="47" t="s">
        <v>35</v>
      </c>
      <c r="M412" s="25"/>
      <c r="N412" s="26"/>
      <c r="O412" s="2"/>
      <c r="P412" s="27"/>
      <c r="Q412" s="26"/>
      <c r="R412" s="28"/>
    </row>
    <row r="413" spans="1:18" ht="30" customHeight="1" thickBot="1" x14ac:dyDescent="0.5">
      <c r="A413" s="999"/>
      <c r="B413" s="1000"/>
      <c r="C413" s="1000"/>
      <c r="D413" s="1000"/>
      <c r="E413" s="1000"/>
      <c r="F413" s="1000"/>
      <c r="G413" s="1000"/>
      <c r="H413" s="1000"/>
      <c r="I413" s="1000"/>
      <c r="J413" s="1000"/>
      <c r="K413" s="1000"/>
      <c r="L413" s="1001"/>
      <c r="M413" s="25"/>
      <c r="N413" s="26"/>
      <c r="O413" s="2"/>
      <c r="P413" s="27"/>
      <c r="Q413" s="26"/>
      <c r="R413" s="28"/>
    </row>
    <row r="414" spans="1:18" ht="30" customHeight="1" x14ac:dyDescent="0.45">
      <c r="A414" s="9" t="s">
        <v>4</v>
      </c>
      <c r="B414" s="10">
        <v>1422</v>
      </c>
      <c r="C414" s="983" t="s">
        <v>349</v>
      </c>
      <c r="D414" s="984"/>
      <c r="E414" s="13" t="s">
        <v>7</v>
      </c>
      <c r="F414" s="14" t="s">
        <v>88</v>
      </c>
      <c r="G414" s="161" t="s">
        <v>148</v>
      </c>
      <c r="H414" s="155">
        <v>1</v>
      </c>
      <c r="I414" s="13" t="s">
        <v>9</v>
      </c>
      <c r="J414" s="985" t="s">
        <v>292</v>
      </c>
      <c r="K414" s="985"/>
      <c r="L414" s="986"/>
      <c r="M414" s="25"/>
      <c r="N414" s="26"/>
      <c r="O414" s="2"/>
      <c r="P414" s="27"/>
      <c r="Q414" s="26"/>
      <c r="R414" s="28"/>
    </row>
    <row r="415" spans="1:18" ht="30" customHeight="1" x14ac:dyDescent="0.45">
      <c r="A415" s="85" t="s">
        <v>277</v>
      </c>
      <c r="B415" s="987" t="s">
        <v>293</v>
      </c>
      <c r="C415" s="988"/>
      <c r="D415" s="989"/>
      <c r="E415" s="220" t="s">
        <v>13</v>
      </c>
      <c r="F415" s="220" t="s">
        <v>14</v>
      </c>
      <c r="G415" s="990" t="s">
        <v>15</v>
      </c>
      <c r="H415" s="991"/>
      <c r="I415" s="19" t="s">
        <v>278</v>
      </c>
      <c r="J415" s="19"/>
      <c r="K415" s="992" t="s">
        <v>17</v>
      </c>
      <c r="L415" s="993"/>
      <c r="M415" s="25"/>
      <c r="N415" s="26"/>
      <c r="O415" s="2"/>
      <c r="P415" s="27"/>
      <c r="Q415" s="26"/>
      <c r="R415" s="28"/>
    </row>
    <row r="416" spans="1:18" ht="30" customHeight="1" x14ac:dyDescent="0.45">
      <c r="A416" s="47" t="s">
        <v>350</v>
      </c>
      <c r="B416" s="1008" t="s">
        <v>351</v>
      </c>
      <c r="C416" s="1009"/>
      <c r="D416" s="1010"/>
      <c r="E416" s="221">
        <v>85750</v>
      </c>
      <c r="F416" s="47" t="s">
        <v>88</v>
      </c>
      <c r="G416" s="47"/>
      <c r="H416" s="47"/>
      <c r="I416" s="47">
        <v>1.19</v>
      </c>
      <c r="J416" s="47"/>
      <c r="K416" s="221">
        <f>+E416*I416</f>
        <v>102042.5</v>
      </c>
      <c r="L416" s="47" t="s">
        <v>88</v>
      </c>
      <c r="M416" s="25"/>
      <c r="N416" s="26"/>
      <c r="O416" s="2"/>
      <c r="P416" s="27"/>
      <c r="Q416" s="26"/>
      <c r="R416" s="28"/>
    </row>
    <row r="417" spans="1:18" ht="30" customHeight="1" x14ac:dyDescent="0.45">
      <c r="A417" s="47" t="s">
        <v>350</v>
      </c>
      <c r="B417" s="1008" t="s">
        <v>352</v>
      </c>
      <c r="C417" s="1009"/>
      <c r="D417" s="1010"/>
      <c r="E417" s="221">
        <v>129000</v>
      </c>
      <c r="F417" s="47" t="s">
        <v>88</v>
      </c>
      <c r="G417" s="47"/>
      <c r="H417" s="47"/>
      <c r="I417" s="47">
        <v>1.19</v>
      </c>
      <c r="J417" s="47"/>
      <c r="K417" s="221">
        <f>+E417*I417</f>
        <v>153510</v>
      </c>
      <c r="L417" s="47" t="s">
        <v>88</v>
      </c>
      <c r="M417" s="25"/>
      <c r="N417" s="26"/>
      <c r="O417" s="2"/>
      <c r="P417" s="27"/>
      <c r="Q417" s="26"/>
      <c r="R417" s="28"/>
    </row>
    <row r="418" spans="1:18" ht="30" customHeight="1" x14ac:dyDescent="0.45">
      <c r="A418" s="47"/>
      <c r="B418" s="197"/>
      <c r="C418" s="198"/>
      <c r="D418" s="199"/>
      <c r="E418" s="221"/>
      <c r="F418" s="47"/>
      <c r="G418" s="47"/>
      <c r="H418" s="47"/>
      <c r="I418" s="47"/>
      <c r="J418" s="47" t="s">
        <v>56</v>
      </c>
      <c r="K418" s="221">
        <f>AVERAGE(K416:K417)</f>
        <v>127776.25</v>
      </c>
      <c r="L418" s="47" t="s">
        <v>88</v>
      </c>
      <c r="M418" s="25"/>
      <c r="N418" s="26"/>
      <c r="O418" s="2"/>
      <c r="P418" s="27"/>
      <c r="Q418" s="26"/>
      <c r="R418" s="28"/>
    </row>
    <row r="419" spans="1:18" ht="30" customHeight="1" x14ac:dyDescent="0.45">
      <c r="A419" s="47"/>
      <c r="B419" s="197"/>
      <c r="C419" s="198"/>
      <c r="D419" s="199"/>
      <c r="E419" s="221"/>
      <c r="F419" s="1011" t="s">
        <v>285</v>
      </c>
      <c r="G419" s="1013" t="s">
        <v>286</v>
      </c>
      <c r="H419" s="1013"/>
      <c r="I419" s="1013"/>
      <c r="J419" s="1013"/>
      <c r="K419" s="202">
        <v>1.06</v>
      </c>
      <c r="L419" s="47"/>
      <c r="M419" s="25"/>
      <c r="N419" s="26"/>
      <c r="O419" s="2"/>
      <c r="P419" s="27"/>
      <c r="Q419" s="26"/>
      <c r="R419" s="28"/>
    </row>
    <row r="420" spans="1:18" ht="30" customHeight="1" x14ac:dyDescent="0.45">
      <c r="A420" s="47"/>
      <c r="B420" s="1092"/>
      <c r="C420" s="1092"/>
      <c r="D420" s="1092"/>
      <c r="E420" s="221"/>
      <c r="F420" s="1012"/>
      <c r="G420" s="1014" t="s">
        <v>298</v>
      </c>
      <c r="H420" s="1014"/>
      <c r="I420" s="1014"/>
      <c r="J420" s="1014"/>
      <c r="K420" s="202">
        <v>1.06</v>
      </c>
      <c r="L420" s="58"/>
      <c r="M420" s="25"/>
      <c r="N420" s="26"/>
      <c r="O420" s="2"/>
      <c r="P420" s="27"/>
      <c r="Q420" s="26"/>
      <c r="R420" s="28"/>
    </row>
    <row r="421" spans="1:18" ht="30" customHeight="1" x14ac:dyDescent="0.45">
      <c r="A421" s="47"/>
      <c r="B421" s="47"/>
      <c r="C421" s="58"/>
      <c r="D421" s="58"/>
      <c r="E421" s="58"/>
      <c r="F421" s="58"/>
      <c r="G421" s="58"/>
      <c r="H421" s="58"/>
      <c r="I421" s="58"/>
      <c r="J421" s="58" t="s">
        <v>39</v>
      </c>
      <c r="K421" s="216">
        <f>+K418*K419/K420</f>
        <v>127776.25</v>
      </c>
      <c r="L421" s="47" t="s">
        <v>88</v>
      </c>
      <c r="N421" s="26"/>
      <c r="O421" s="2"/>
      <c r="P421" s="27"/>
      <c r="Q421" s="26"/>
      <c r="R421" s="28"/>
    </row>
    <row r="422" spans="1:18" ht="30" customHeight="1" x14ac:dyDescent="0.45">
      <c r="A422" s="47"/>
      <c r="B422" s="47"/>
      <c r="C422" s="58"/>
      <c r="D422" s="58"/>
      <c r="E422" s="58"/>
      <c r="F422" s="58"/>
      <c r="G422" s="1021" t="s">
        <v>288</v>
      </c>
      <c r="H422" s="1022"/>
      <c r="I422" s="1023"/>
      <c r="J422" s="213">
        <f>VLOOKUP(B414,'[1]Mil Cost Premiums for PUCs'!$A$4:$R$278,18,FALSE)</f>
        <v>1.0209999999999999</v>
      </c>
      <c r="K422" s="216">
        <f>+K421*J422</f>
        <v>130459.55124999999</v>
      </c>
      <c r="L422" s="47" t="s">
        <v>88</v>
      </c>
      <c r="M422" s="25"/>
      <c r="N422" s="26"/>
      <c r="O422" s="2"/>
      <c r="P422" s="27"/>
      <c r="Q422" s="26"/>
      <c r="R422" s="28"/>
    </row>
    <row r="423" spans="1:18" ht="30" customHeight="1" thickBot="1" x14ac:dyDescent="0.5">
      <c r="A423" s="225"/>
      <c r="B423" s="225"/>
      <c r="C423" s="150"/>
      <c r="D423" s="150"/>
      <c r="E423" s="150"/>
      <c r="F423" s="150"/>
      <c r="G423" s="1025" t="s">
        <v>299</v>
      </c>
      <c r="H423" s="1026"/>
      <c r="I423" s="1027"/>
      <c r="J423" s="226">
        <v>1.1214</v>
      </c>
      <c r="K423" s="227">
        <f>+K422*J423</f>
        <v>146297.34077174999</v>
      </c>
      <c r="L423" s="225" t="s">
        <v>88</v>
      </c>
      <c r="M423" s="25"/>
    </row>
    <row r="424" spans="1:18" ht="30" customHeight="1" thickBot="1" x14ac:dyDescent="0.5">
      <c r="A424" s="999"/>
      <c r="B424" s="1000"/>
      <c r="C424" s="1000"/>
      <c r="D424" s="1000"/>
      <c r="E424" s="1000"/>
      <c r="F424" s="1000"/>
      <c r="G424" s="1000"/>
      <c r="H424" s="1000"/>
      <c r="I424" s="1000"/>
      <c r="J424" s="1000"/>
      <c r="K424" s="1000"/>
      <c r="L424" s="1001"/>
      <c r="M424" s="25"/>
      <c r="N424" s="26"/>
      <c r="O424" s="2"/>
      <c r="P424" s="27"/>
      <c r="Q424" s="26"/>
      <c r="R424" s="28"/>
    </row>
    <row r="425" spans="1:18" ht="30" customHeight="1" x14ac:dyDescent="0.45">
      <c r="A425" s="228" t="s">
        <v>4</v>
      </c>
      <c r="B425" s="228">
        <v>1431</v>
      </c>
      <c r="C425" s="1002" t="s">
        <v>353</v>
      </c>
      <c r="D425" s="1003"/>
      <c r="E425" s="29" t="s">
        <v>7</v>
      </c>
      <c r="F425" s="154" t="s">
        <v>35</v>
      </c>
      <c r="G425" s="11" t="s">
        <v>6</v>
      </c>
      <c r="H425" s="296">
        <v>8405.2250622406591</v>
      </c>
      <c r="I425" s="13" t="s">
        <v>9</v>
      </c>
      <c r="J425" s="1155" t="s">
        <v>266</v>
      </c>
      <c r="K425" s="1156"/>
      <c r="L425" s="1127"/>
      <c r="M425" s="25"/>
      <c r="N425" s="26"/>
      <c r="O425" s="2"/>
      <c r="P425" s="27"/>
      <c r="Q425" s="26"/>
      <c r="R425" s="28"/>
    </row>
    <row r="426" spans="1:18" ht="30" customHeight="1" x14ac:dyDescent="0.45">
      <c r="A426" s="19" t="s">
        <v>11</v>
      </c>
      <c r="B426" s="1005" t="s">
        <v>12</v>
      </c>
      <c r="C426" s="1005"/>
      <c r="D426" s="1005"/>
      <c r="E426" s="132" t="s">
        <v>267</v>
      </c>
      <c r="F426" s="20" t="s">
        <v>13</v>
      </c>
      <c r="G426" s="19"/>
      <c r="H426" s="19"/>
      <c r="I426" s="1068" t="s">
        <v>16</v>
      </c>
      <c r="J426" s="1069"/>
      <c r="K426" s="992" t="s">
        <v>17</v>
      </c>
      <c r="L426" s="993"/>
      <c r="M426" s="25"/>
      <c r="N426" s="26"/>
      <c r="O426" s="2"/>
      <c r="P426" s="27"/>
      <c r="Q426" s="26"/>
      <c r="R426" s="28"/>
    </row>
    <row r="427" spans="1:18" ht="30" customHeight="1" x14ac:dyDescent="0.45">
      <c r="A427" s="47" t="s">
        <v>268</v>
      </c>
      <c r="B427" s="1018" t="s">
        <v>354</v>
      </c>
      <c r="C427" s="1019"/>
      <c r="D427" s="1020"/>
      <c r="E427" s="297">
        <v>29000</v>
      </c>
      <c r="F427" s="298">
        <v>539</v>
      </c>
      <c r="G427" s="42"/>
      <c r="H427" s="199"/>
      <c r="I427" s="1119" t="str">
        <f>$I$381</f>
        <v>NA;  GUCs are as of October 2022</v>
      </c>
      <c r="J427" s="1120"/>
      <c r="K427" s="221">
        <f>F427</f>
        <v>539</v>
      </c>
      <c r="L427" s="47" t="s">
        <v>35</v>
      </c>
      <c r="M427" s="25"/>
      <c r="N427" s="26"/>
      <c r="O427" s="2"/>
      <c r="P427" s="27"/>
      <c r="Q427" s="26"/>
      <c r="R427" s="28"/>
    </row>
    <row r="428" spans="1:18" ht="30" customHeight="1" thickBot="1" x14ac:dyDescent="0.5">
      <c r="A428" s="47"/>
      <c r="B428" s="224"/>
      <c r="C428" s="224"/>
      <c r="D428" s="224"/>
      <c r="E428" s="221"/>
      <c r="F428" s="47"/>
      <c r="G428" s="47"/>
      <c r="H428" s="47"/>
      <c r="I428" s="47"/>
      <c r="J428" s="85" t="s">
        <v>39</v>
      </c>
      <c r="K428" s="221">
        <f>SUM(K427:K427)</f>
        <v>539</v>
      </c>
      <c r="L428" s="47" t="s">
        <v>35</v>
      </c>
      <c r="M428" s="25"/>
      <c r="N428" s="26"/>
      <c r="O428" s="2"/>
      <c r="P428" s="27"/>
      <c r="Q428" s="26"/>
      <c r="R428" s="28"/>
    </row>
    <row r="429" spans="1:18" ht="30" customHeight="1" thickBot="1" x14ac:dyDescent="0.5">
      <c r="A429" s="999"/>
      <c r="B429" s="1000"/>
      <c r="C429" s="1000"/>
      <c r="D429" s="1000"/>
      <c r="E429" s="1000"/>
      <c r="F429" s="1000"/>
      <c r="G429" s="1000"/>
      <c r="H429" s="1000"/>
      <c r="I429" s="1000"/>
      <c r="J429" s="1000"/>
      <c r="K429" s="1000"/>
      <c r="L429" s="1001"/>
      <c r="M429" s="25"/>
      <c r="N429" s="26"/>
      <c r="O429" s="2"/>
      <c r="P429" s="27"/>
      <c r="Q429" s="26"/>
      <c r="R429" s="28"/>
    </row>
    <row r="430" spans="1:18" ht="30" customHeight="1" x14ac:dyDescent="0.45">
      <c r="A430" s="9" t="s">
        <v>4</v>
      </c>
      <c r="B430" s="10">
        <v>1441</v>
      </c>
      <c r="C430" s="91" t="s">
        <v>355</v>
      </c>
      <c r="D430" s="299"/>
      <c r="E430" s="13" t="s">
        <v>7</v>
      </c>
      <c r="F430" s="14" t="s">
        <v>35</v>
      </c>
      <c r="G430" s="11" t="s">
        <v>6</v>
      </c>
      <c r="H430" s="300">
        <v>5341</v>
      </c>
      <c r="I430" s="13" t="s">
        <v>9</v>
      </c>
      <c r="J430" s="985" t="s">
        <v>292</v>
      </c>
      <c r="K430" s="985"/>
      <c r="L430" s="986"/>
      <c r="M430" s="25"/>
      <c r="N430" s="26"/>
      <c r="O430" s="2"/>
      <c r="P430" s="27"/>
      <c r="Q430" s="26"/>
      <c r="R430" s="28"/>
    </row>
    <row r="431" spans="1:18" ht="30" customHeight="1" x14ac:dyDescent="0.45">
      <c r="A431" s="85" t="s">
        <v>277</v>
      </c>
      <c r="B431" s="987" t="s">
        <v>293</v>
      </c>
      <c r="C431" s="988"/>
      <c r="D431" s="989"/>
      <c r="E431" s="220" t="s">
        <v>13</v>
      </c>
      <c r="F431" s="220" t="s">
        <v>14</v>
      </c>
      <c r="G431" s="990" t="s">
        <v>15</v>
      </c>
      <c r="H431" s="991"/>
      <c r="I431" s="277" t="s">
        <v>278</v>
      </c>
      <c r="J431" s="277"/>
      <c r="K431" s="992" t="s">
        <v>17</v>
      </c>
      <c r="L431" s="993"/>
      <c r="M431" s="25"/>
      <c r="N431" s="26"/>
      <c r="O431" s="2"/>
      <c r="P431" s="27"/>
      <c r="Q431" s="26"/>
      <c r="R431" s="28"/>
    </row>
    <row r="432" spans="1:18" ht="30" customHeight="1" x14ac:dyDescent="0.45">
      <c r="A432" s="47" t="s">
        <v>356</v>
      </c>
      <c r="B432" s="1008" t="s">
        <v>357</v>
      </c>
      <c r="C432" s="1009"/>
      <c r="D432" s="1010"/>
      <c r="E432" s="221">
        <v>214</v>
      </c>
      <c r="F432" s="47" t="s">
        <v>35</v>
      </c>
      <c r="G432" s="42"/>
      <c r="H432" s="199"/>
      <c r="I432" s="47">
        <v>1.19</v>
      </c>
      <c r="J432" s="47"/>
      <c r="K432" s="221">
        <f>+E432*I432</f>
        <v>254.66</v>
      </c>
      <c r="L432" s="47" t="s">
        <v>35</v>
      </c>
      <c r="M432" s="25"/>
      <c r="N432" s="26"/>
      <c r="O432" s="2"/>
      <c r="P432" s="27"/>
      <c r="Q432" s="26"/>
      <c r="R432" s="28"/>
    </row>
    <row r="433" spans="1:18" ht="30" customHeight="1" x14ac:dyDescent="0.45">
      <c r="A433" s="47" t="s">
        <v>358</v>
      </c>
      <c r="B433" s="1008" t="s">
        <v>359</v>
      </c>
      <c r="C433" s="1009"/>
      <c r="D433" s="1010"/>
      <c r="E433" s="221">
        <v>3.71</v>
      </c>
      <c r="F433" s="47" t="s">
        <v>35</v>
      </c>
      <c r="G433" s="42"/>
      <c r="H433" s="199"/>
      <c r="I433" s="47">
        <v>1.19</v>
      </c>
      <c r="J433" s="47"/>
      <c r="K433" s="221">
        <f>+E433*I433</f>
        <v>4.4148999999999994</v>
      </c>
      <c r="L433" s="47" t="s">
        <v>35</v>
      </c>
      <c r="M433" s="25"/>
      <c r="N433" s="26"/>
      <c r="O433" s="2"/>
      <c r="P433" s="27"/>
      <c r="Q433" s="26"/>
      <c r="R433" s="28"/>
    </row>
    <row r="434" spans="1:18" ht="30" customHeight="1" x14ac:dyDescent="0.45">
      <c r="A434" s="47"/>
      <c r="B434" s="1030"/>
      <c r="C434" s="1030"/>
      <c r="D434" s="1030"/>
      <c r="E434" s="221"/>
      <c r="F434" s="47"/>
      <c r="G434" s="47"/>
      <c r="H434" s="47"/>
      <c r="I434" s="47"/>
      <c r="J434" s="47" t="s">
        <v>360</v>
      </c>
      <c r="K434" s="221">
        <f>SUM(K432:K433)</f>
        <v>259.07490000000001</v>
      </c>
      <c r="L434" s="47" t="s">
        <v>35</v>
      </c>
      <c r="M434" s="25"/>
      <c r="N434" s="26"/>
      <c r="O434" s="2"/>
      <c r="P434" s="27"/>
      <c r="Q434" s="26"/>
      <c r="R434" s="28"/>
    </row>
    <row r="435" spans="1:18" ht="30" customHeight="1" x14ac:dyDescent="0.45">
      <c r="A435" s="47"/>
      <c r="B435" s="224"/>
      <c r="C435" s="224"/>
      <c r="D435" s="224"/>
      <c r="E435" s="221"/>
      <c r="F435" s="1011" t="s">
        <v>285</v>
      </c>
      <c r="G435" s="1013" t="s">
        <v>361</v>
      </c>
      <c r="H435" s="1013"/>
      <c r="I435" s="1013"/>
      <c r="J435" s="1013"/>
      <c r="K435" s="202">
        <v>1.08</v>
      </c>
      <c r="L435" s="47"/>
      <c r="M435" s="25"/>
      <c r="N435" s="26"/>
      <c r="O435" s="2"/>
      <c r="P435" s="27"/>
      <c r="Q435" s="26"/>
      <c r="R435" s="28"/>
    </row>
    <row r="436" spans="1:18" ht="30" customHeight="1" x14ac:dyDescent="0.45">
      <c r="A436" s="47"/>
      <c r="B436" s="224"/>
      <c r="C436" s="224"/>
      <c r="D436" s="224"/>
      <c r="E436" s="221"/>
      <c r="F436" s="1012"/>
      <c r="G436" s="1014" t="s">
        <v>298</v>
      </c>
      <c r="H436" s="1014"/>
      <c r="I436" s="1014"/>
      <c r="J436" s="1014"/>
      <c r="K436" s="278">
        <v>1.06</v>
      </c>
      <c r="L436" s="47"/>
      <c r="M436" s="25"/>
      <c r="N436" s="26"/>
      <c r="O436" s="2"/>
      <c r="P436" s="27"/>
      <c r="Q436" s="26"/>
      <c r="R436" s="28"/>
    </row>
    <row r="437" spans="1:18" ht="30" customHeight="1" x14ac:dyDescent="0.45">
      <c r="A437" s="47"/>
      <c r="B437" s="47"/>
      <c r="C437" s="58"/>
      <c r="D437" s="58"/>
      <c r="E437" s="58"/>
      <c r="F437" s="58"/>
      <c r="G437" s="58"/>
      <c r="H437" s="58"/>
      <c r="I437" s="58"/>
      <c r="J437" s="47" t="s">
        <v>39</v>
      </c>
      <c r="K437" s="216">
        <f>+K434*K435/K436</f>
        <v>263.96310566037738</v>
      </c>
      <c r="L437" s="47" t="s">
        <v>35</v>
      </c>
      <c r="M437" s="25"/>
      <c r="N437" s="26"/>
      <c r="O437" s="2"/>
      <c r="P437" s="27"/>
      <c r="Q437" s="26"/>
      <c r="R437" s="28"/>
    </row>
    <row r="438" spans="1:18" ht="30" customHeight="1" x14ac:dyDescent="0.45">
      <c r="A438" s="47"/>
      <c r="B438" s="47"/>
      <c r="C438" s="58"/>
      <c r="D438" s="58"/>
      <c r="E438" s="58"/>
      <c r="F438" s="58"/>
      <c r="G438" s="1021" t="s">
        <v>288</v>
      </c>
      <c r="H438" s="1022"/>
      <c r="I438" s="1023"/>
      <c r="J438" s="213">
        <f>VLOOKUP(B430,'[1]Mil Cost Premiums for PUCs'!$A$4:$R$278,18,FALSE)</f>
        <v>1.3319480854780448</v>
      </c>
      <c r="K438" s="216">
        <f>+K437*J438</f>
        <v>351.58515322117847</v>
      </c>
      <c r="L438" s="47" t="s">
        <v>35</v>
      </c>
      <c r="M438" s="25"/>
      <c r="N438" s="26"/>
      <c r="O438" s="2"/>
      <c r="P438" s="27"/>
      <c r="Q438" s="26"/>
      <c r="R438" s="28"/>
    </row>
    <row r="439" spans="1:18" ht="30" customHeight="1" thickBot="1" x14ac:dyDescent="0.5">
      <c r="A439" s="225"/>
      <c r="B439" s="225"/>
      <c r="C439" s="150"/>
      <c r="D439" s="150"/>
      <c r="E439" s="150"/>
      <c r="F439" s="150"/>
      <c r="G439" s="1025" t="s">
        <v>299</v>
      </c>
      <c r="H439" s="1026"/>
      <c r="I439" s="1027"/>
      <c r="J439" s="226">
        <v>1.1214</v>
      </c>
      <c r="K439" s="227">
        <f>+K438*J439</f>
        <v>394.26759082222952</v>
      </c>
      <c r="L439" s="225" t="s">
        <v>35</v>
      </c>
      <c r="M439" s="25"/>
    </row>
    <row r="440" spans="1:18" ht="30" customHeight="1" thickBot="1" x14ac:dyDescent="0.5">
      <c r="A440" s="999"/>
      <c r="B440" s="1000"/>
      <c r="C440" s="1000"/>
      <c r="D440" s="1000"/>
      <c r="E440" s="1000"/>
      <c r="F440" s="1000"/>
      <c r="G440" s="1000"/>
      <c r="H440" s="1000"/>
      <c r="I440" s="1000"/>
      <c r="J440" s="1000"/>
      <c r="K440" s="1000"/>
      <c r="L440" s="1001"/>
      <c r="M440" s="25"/>
      <c r="N440" s="26"/>
      <c r="O440" s="2"/>
      <c r="P440" s="27"/>
      <c r="Q440" s="26"/>
      <c r="R440" s="28"/>
    </row>
    <row r="441" spans="1:18" ht="30" customHeight="1" x14ac:dyDescent="0.45">
      <c r="A441" s="9" t="s">
        <v>4</v>
      </c>
      <c r="B441" s="10">
        <v>1442</v>
      </c>
      <c r="C441" s="1002" t="s">
        <v>362</v>
      </c>
      <c r="D441" s="1003"/>
      <c r="E441" s="13" t="s">
        <v>7</v>
      </c>
      <c r="F441" s="14" t="s">
        <v>35</v>
      </c>
      <c r="G441" s="11" t="s">
        <v>6</v>
      </c>
      <c r="H441" s="300">
        <v>8236</v>
      </c>
      <c r="I441" s="13" t="s">
        <v>9</v>
      </c>
      <c r="J441" s="985" t="s">
        <v>292</v>
      </c>
      <c r="K441" s="985"/>
      <c r="L441" s="986"/>
      <c r="M441" s="25"/>
      <c r="N441" s="26"/>
      <c r="O441" s="2"/>
      <c r="P441" s="27"/>
      <c r="Q441" s="26"/>
      <c r="R441" s="28"/>
    </row>
    <row r="442" spans="1:18" ht="30" customHeight="1" x14ac:dyDescent="0.45">
      <c r="A442" s="85" t="s">
        <v>277</v>
      </c>
      <c r="B442" s="987" t="s">
        <v>293</v>
      </c>
      <c r="C442" s="988"/>
      <c r="D442" s="989"/>
      <c r="E442" s="220" t="s">
        <v>13</v>
      </c>
      <c r="F442" s="220" t="s">
        <v>14</v>
      </c>
      <c r="G442" s="990" t="s">
        <v>15</v>
      </c>
      <c r="H442" s="991"/>
      <c r="I442" s="277" t="s">
        <v>278</v>
      </c>
      <c r="J442" s="277"/>
      <c r="K442" s="992" t="s">
        <v>17</v>
      </c>
      <c r="L442" s="993"/>
      <c r="M442" s="25"/>
      <c r="N442" s="26"/>
      <c r="O442" s="2"/>
      <c r="P442" s="27"/>
      <c r="Q442" s="26"/>
      <c r="R442" s="28"/>
    </row>
    <row r="443" spans="1:18" ht="30" customHeight="1" x14ac:dyDescent="0.45">
      <c r="A443" s="47" t="s">
        <v>363</v>
      </c>
      <c r="B443" s="1008" t="s">
        <v>364</v>
      </c>
      <c r="C443" s="1009"/>
      <c r="D443" s="1010"/>
      <c r="E443" s="221">
        <v>242</v>
      </c>
      <c r="F443" s="47" t="s">
        <v>35</v>
      </c>
      <c r="G443" s="42"/>
      <c r="H443" s="199"/>
      <c r="I443" s="47">
        <v>1.19</v>
      </c>
      <c r="J443" s="47"/>
      <c r="K443" s="221">
        <f>+E443*I443</f>
        <v>287.97999999999996</v>
      </c>
      <c r="L443" s="47" t="s">
        <v>35</v>
      </c>
      <c r="M443" s="25"/>
      <c r="N443" s="26"/>
      <c r="O443" s="2"/>
      <c r="P443" s="27"/>
      <c r="Q443" s="26"/>
      <c r="R443" s="28"/>
    </row>
    <row r="444" spans="1:18" ht="30" customHeight="1" x14ac:dyDescent="0.45">
      <c r="A444" s="47" t="s">
        <v>358</v>
      </c>
      <c r="B444" s="1008" t="s">
        <v>365</v>
      </c>
      <c r="C444" s="1009"/>
      <c r="D444" s="1010"/>
      <c r="E444" s="221">
        <v>4.38</v>
      </c>
      <c r="F444" s="47" t="s">
        <v>35</v>
      </c>
      <c r="G444" s="42"/>
      <c r="H444" s="199"/>
      <c r="I444" s="47">
        <v>1.19</v>
      </c>
      <c r="J444" s="47"/>
      <c r="K444" s="221">
        <f>+E444*I444</f>
        <v>5.2121999999999993</v>
      </c>
      <c r="L444" s="47" t="s">
        <v>35</v>
      </c>
      <c r="M444" s="25"/>
      <c r="N444" s="26"/>
      <c r="O444" s="2"/>
      <c r="P444" s="27"/>
      <c r="Q444" s="26"/>
      <c r="R444" s="28"/>
    </row>
    <row r="445" spans="1:18" ht="30" customHeight="1" x14ac:dyDescent="0.45">
      <c r="A445" s="47"/>
      <c r="B445" s="1030"/>
      <c r="C445" s="1030"/>
      <c r="D445" s="1030"/>
      <c r="E445" s="221"/>
      <c r="F445" s="47"/>
      <c r="G445" s="47"/>
      <c r="H445" s="47"/>
      <c r="I445" s="47"/>
      <c r="J445" s="47" t="s">
        <v>38</v>
      </c>
      <c r="K445" s="221">
        <f>SUM(K443:K444)</f>
        <v>293.19219999999996</v>
      </c>
      <c r="L445" s="47" t="s">
        <v>35</v>
      </c>
      <c r="M445" s="25"/>
      <c r="N445" s="26"/>
      <c r="O445" s="2"/>
      <c r="P445" s="27"/>
      <c r="Q445" s="26"/>
      <c r="R445" s="28"/>
    </row>
    <row r="446" spans="1:18" ht="30" customHeight="1" x14ac:dyDescent="0.45">
      <c r="A446" s="47"/>
      <c r="B446" s="224"/>
      <c r="C446" s="224"/>
      <c r="D446" s="224"/>
      <c r="E446" s="221"/>
      <c r="F446" s="1011" t="s">
        <v>285</v>
      </c>
      <c r="G446" s="1013" t="s">
        <v>286</v>
      </c>
      <c r="H446" s="1013"/>
      <c r="I446" s="1013"/>
      <c r="J446" s="1013"/>
      <c r="K446" s="202">
        <v>1.08</v>
      </c>
      <c r="L446" s="47"/>
      <c r="M446" s="25"/>
      <c r="N446" s="26"/>
      <c r="O446" s="2"/>
      <c r="P446" s="27"/>
      <c r="Q446" s="26"/>
      <c r="R446" s="28"/>
    </row>
    <row r="447" spans="1:18" ht="30" customHeight="1" x14ac:dyDescent="0.45">
      <c r="A447" s="47"/>
      <c r="B447" s="224"/>
      <c r="C447" s="224"/>
      <c r="D447" s="224"/>
      <c r="E447" s="221"/>
      <c r="F447" s="1012"/>
      <c r="G447" s="1014" t="s">
        <v>298</v>
      </c>
      <c r="H447" s="1014"/>
      <c r="I447" s="1014"/>
      <c r="J447" s="1014"/>
      <c r="K447" s="202">
        <v>1.06</v>
      </c>
      <c r="L447" s="47"/>
      <c r="M447" s="25"/>
      <c r="N447" s="26"/>
      <c r="O447" s="2"/>
      <c r="P447" s="27"/>
      <c r="Q447" s="26"/>
      <c r="R447" s="28"/>
    </row>
    <row r="448" spans="1:18" ht="30" customHeight="1" x14ac:dyDescent="0.45">
      <c r="A448" s="47"/>
      <c r="B448" s="47"/>
      <c r="C448" s="58"/>
      <c r="D448" s="58"/>
      <c r="E448" s="58"/>
      <c r="F448" s="58"/>
      <c r="G448" s="58"/>
      <c r="H448" s="58"/>
      <c r="I448" s="58"/>
      <c r="J448" s="47" t="s">
        <v>39</v>
      </c>
      <c r="K448" s="216">
        <f>+K445*K446/K447</f>
        <v>298.72412830188676</v>
      </c>
      <c r="L448" s="47" t="s">
        <v>35</v>
      </c>
      <c r="M448" s="25"/>
      <c r="N448" s="26"/>
      <c r="O448" s="2"/>
      <c r="P448" s="27"/>
      <c r="Q448" s="26"/>
      <c r="R448" s="28"/>
    </row>
    <row r="449" spans="1:18" ht="30" customHeight="1" x14ac:dyDescent="0.45">
      <c r="A449" s="211"/>
      <c r="B449" s="301"/>
      <c r="C449" s="302"/>
      <c r="D449" s="302"/>
      <c r="E449" s="302"/>
      <c r="F449" s="302"/>
      <c r="G449" s="1086" t="s">
        <v>288</v>
      </c>
      <c r="H449" s="1086"/>
      <c r="I449" s="1087"/>
      <c r="J449" s="213">
        <f>VLOOKUP(B441,'[1]Mil Cost Premiums for PUCs'!$A$4:$R$278,18,FALSE)</f>
        <v>1.3319480854780448</v>
      </c>
      <c r="K449" s="304">
        <f>+K448*J449</f>
        <v>397.88503077779586</v>
      </c>
      <c r="L449" s="47" t="s">
        <v>35</v>
      </c>
      <c r="M449" s="25"/>
      <c r="N449" s="26"/>
      <c r="O449" s="2"/>
      <c r="P449" s="27"/>
      <c r="Q449" s="26"/>
      <c r="R449" s="28"/>
    </row>
    <row r="450" spans="1:18" ht="30" customHeight="1" x14ac:dyDescent="0.45">
      <c r="A450" s="225"/>
      <c r="B450" s="225"/>
      <c r="C450" s="150"/>
      <c r="D450" s="150"/>
      <c r="E450" s="150"/>
      <c r="F450" s="150"/>
      <c r="G450" s="1025" t="s">
        <v>299</v>
      </c>
      <c r="H450" s="1026"/>
      <c r="I450" s="1027"/>
      <c r="J450" s="226">
        <v>1.1214</v>
      </c>
      <c r="K450" s="227">
        <f>+K449*J450</f>
        <v>446.18827351422027</v>
      </c>
      <c r="L450" s="47" t="s">
        <v>35</v>
      </c>
      <c r="M450" s="25"/>
    </row>
    <row r="451" spans="1:18" ht="60" customHeight="1" x14ac:dyDescent="0.45">
      <c r="A451" s="1406" t="s">
        <v>366</v>
      </c>
      <c r="B451" s="1406"/>
      <c r="C451" s="1406"/>
      <c r="D451" s="1406"/>
      <c r="E451" s="1406"/>
      <c r="F451" s="1406"/>
      <c r="G451" s="1406"/>
      <c r="H451" s="1406"/>
      <c r="I451" s="1406"/>
      <c r="J451" s="1406"/>
      <c r="K451" s="1406"/>
      <c r="L451" s="1406"/>
      <c r="M451" s="25"/>
      <c r="N451" s="26"/>
      <c r="O451" s="2"/>
      <c r="P451" s="27"/>
      <c r="Q451" s="26"/>
      <c r="R451" s="28"/>
    </row>
    <row r="452" spans="1:18" ht="30" customHeight="1" x14ac:dyDescent="0.45">
      <c r="A452" s="1400" t="s">
        <v>367</v>
      </c>
      <c r="B452" s="1338"/>
      <c r="C452" s="1338"/>
      <c r="D452" s="1181" t="s">
        <v>368</v>
      </c>
      <c r="E452" s="1332"/>
      <c r="F452" s="1332"/>
      <c r="G452" s="1332"/>
      <c r="H452" s="1332"/>
      <c r="I452" s="1332"/>
      <c r="J452" s="1332"/>
      <c r="K452" s="1332"/>
      <c r="L452" s="1333"/>
      <c r="N452" s="26"/>
      <c r="O452" s="2"/>
      <c r="P452" s="27"/>
      <c r="Q452" s="26"/>
      <c r="R452" s="28"/>
    </row>
    <row r="453" spans="1:18" ht="30" customHeight="1" x14ac:dyDescent="0.45">
      <c r="A453" s="1400" t="s">
        <v>369</v>
      </c>
      <c r="B453" s="1338"/>
      <c r="C453" s="1338"/>
      <c r="D453" s="1406" t="s">
        <v>370</v>
      </c>
      <c r="E453" s="1406"/>
      <c r="F453" s="1406"/>
      <c r="G453" s="1406"/>
      <c r="H453" s="1406"/>
      <c r="I453" s="1406"/>
      <c r="J453" s="1406"/>
      <c r="K453" s="1406"/>
      <c r="L453" s="1406"/>
      <c r="M453" s="25"/>
      <c r="N453" s="26"/>
      <c r="O453" s="2"/>
      <c r="P453" s="27"/>
      <c r="Q453" s="26"/>
      <c r="R453" s="28"/>
    </row>
    <row r="454" spans="1:18" ht="30" customHeight="1" x14ac:dyDescent="0.45">
      <c r="A454" s="1400" t="s">
        <v>371</v>
      </c>
      <c r="B454" s="1338"/>
      <c r="C454" s="1338"/>
      <c r="D454" s="1181" t="s">
        <v>372</v>
      </c>
      <c r="E454" s="1332"/>
      <c r="F454" s="1332"/>
      <c r="G454" s="1332"/>
      <c r="H454" s="1332"/>
      <c r="I454" s="1332"/>
      <c r="J454" s="1332"/>
      <c r="K454" s="1332"/>
      <c r="L454" s="1333"/>
      <c r="M454" s="25"/>
      <c r="N454" s="26"/>
      <c r="O454" s="2"/>
      <c r="P454" s="27"/>
      <c r="Q454" s="26"/>
      <c r="R454" s="28"/>
    </row>
    <row r="455" spans="1:18" ht="30" customHeight="1" x14ac:dyDescent="0.45">
      <c r="A455" s="1400" t="s">
        <v>373</v>
      </c>
      <c r="B455" s="1338"/>
      <c r="C455" s="1338"/>
      <c r="D455" s="1181" t="s">
        <v>374</v>
      </c>
      <c r="E455" s="1332"/>
      <c r="F455" s="1332"/>
      <c r="G455" s="1332"/>
      <c r="H455" s="1332"/>
      <c r="I455" s="1332"/>
      <c r="J455" s="1332"/>
      <c r="K455" s="1332"/>
      <c r="L455" s="1333"/>
      <c r="M455" s="25"/>
      <c r="N455" s="26"/>
      <c r="O455" s="2"/>
      <c r="P455" s="27"/>
      <c r="Q455" s="26"/>
      <c r="R455" s="28"/>
    </row>
    <row r="456" spans="1:18" ht="30" customHeight="1" x14ac:dyDescent="0.45">
      <c r="A456" s="1400" t="s">
        <v>375</v>
      </c>
      <c r="B456" s="1338"/>
      <c r="C456" s="1338"/>
      <c r="D456" s="1181" t="s">
        <v>376</v>
      </c>
      <c r="E456" s="1332"/>
      <c r="F456" s="1332"/>
      <c r="G456" s="1332"/>
      <c r="H456" s="1332"/>
      <c r="I456" s="1332"/>
      <c r="J456" s="1332"/>
      <c r="K456" s="1332"/>
      <c r="L456" s="1333"/>
      <c r="M456" s="121"/>
      <c r="N456" s="306"/>
      <c r="O456" s="2"/>
      <c r="P456" s="27"/>
      <c r="Q456" s="26"/>
      <c r="R456" s="28"/>
    </row>
    <row r="457" spans="1:18" ht="30" customHeight="1" x14ac:dyDescent="0.45">
      <c r="A457" s="1400" t="s">
        <v>377</v>
      </c>
      <c r="B457" s="1338"/>
      <c r="C457" s="1338"/>
      <c r="D457" s="1331" t="s">
        <v>378</v>
      </c>
      <c r="E457" s="1332"/>
      <c r="F457" s="1332"/>
      <c r="G457" s="1332"/>
      <c r="H457" s="1332"/>
      <c r="I457" s="1332"/>
      <c r="J457" s="1332"/>
      <c r="K457" s="1332"/>
      <c r="L457" s="1333"/>
      <c r="N457" s="26"/>
      <c r="O457" s="2"/>
      <c r="P457" s="27"/>
      <c r="Q457" s="26"/>
      <c r="R457" s="28"/>
    </row>
    <row r="458" spans="1:18" ht="30" customHeight="1" x14ac:dyDescent="0.45">
      <c r="A458" s="1400" t="s">
        <v>379</v>
      </c>
      <c r="B458" s="1338"/>
      <c r="C458" s="1338"/>
      <c r="D458" s="1331" t="s">
        <v>380</v>
      </c>
      <c r="E458" s="1332"/>
      <c r="F458" s="1332"/>
      <c r="G458" s="1332"/>
      <c r="H458" s="1332"/>
      <c r="I458" s="1332"/>
      <c r="J458" s="1332"/>
      <c r="K458" s="1332"/>
      <c r="L458" s="1333"/>
      <c r="M458" s="25"/>
      <c r="N458" s="26"/>
      <c r="O458" s="2"/>
      <c r="P458" s="27"/>
      <c r="Q458" s="26"/>
      <c r="R458" s="28"/>
    </row>
    <row r="459" spans="1:18" ht="75" customHeight="1" thickBot="1" x14ac:dyDescent="0.5">
      <c r="A459" s="1400" t="s">
        <v>381</v>
      </c>
      <c r="B459" s="1338"/>
      <c r="C459" s="1338"/>
      <c r="D459" s="1445" t="s">
        <v>382</v>
      </c>
      <c r="E459" s="1446"/>
      <c r="F459" s="1446"/>
      <c r="G459" s="1446"/>
      <c r="H459" s="1446"/>
      <c r="I459" s="1446"/>
      <c r="J459" s="1446"/>
      <c r="K459" s="1446"/>
      <c r="L459" s="1446"/>
      <c r="M459" s="25"/>
      <c r="N459" s="26"/>
      <c r="O459" s="2"/>
      <c r="P459" s="27"/>
      <c r="Q459" s="26"/>
      <c r="R459" s="28"/>
    </row>
    <row r="460" spans="1:18" ht="30" customHeight="1" thickBot="1" x14ac:dyDescent="0.5">
      <c r="A460" s="999"/>
      <c r="B460" s="1000"/>
      <c r="C460" s="1000"/>
      <c r="D460" s="1000"/>
      <c r="E460" s="1000"/>
      <c r="F460" s="1000"/>
      <c r="G460" s="1000"/>
      <c r="H460" s="1000"/>
      <c r="I460" s="1000"/>
      <c r="J460" s="1000"/>
      <c r="K460" s="1000"/>
      <c r="L460" s="1001"/>
      <c r="M460" s="25"/>
      <c r="N460" s="26"/>
      <c r="O460" s="2"/>
      <c r="P460" s="27"/>
      <c r="Q460" s="26"/>
      <c r="R460" s="28"/>
    </row>
    <row r="461" spans="1:18" ht="30" customHeight="1" x14ac:dyDescent="0.45">
      <c r="A461" s="9" t="s">
        <v>4</v>
      </c>
      <c r="B461" s="10">
        <v>1443</v>
      </c>
      <c r="C461" s="1002" t="s">
        <v>383</v>
      </c>
      <c r="D461" s="1003"/>
      <c r="E461" s="13" t="s">
        <v>7</v>
      </c>
      <c r="F461" s="14" t="s">
        <v>35</v>
      </c>
      <c r="G461" s="11" t="s">
        <v>6</v>
      </c>
      <c r="H461" s="307">
        <v>12770.060376914</v>
      </c>
      <c r="I461" s="13" t="s">
        <v>9</v>
      </c>
      <c r="J461" s="985" t="s">
        <v>10</v>
      </c>
      <c r="K461" s="985"/>
      <c r="L461" s="986"/>
      <c r="M461" s="25"/>
      <c r="N461" s="26"/>
      <c r="O461" s="2"/>
      <c r="P461" s="27"/>
      <c r="Q461" s="26"/>
      <c r="R461" s="28"/>
    </row>
    <row r="462" spans="1:18" ht="30" customHeight="1" x14ac:dyDescent="0.45">
      <c r="A462" s="19" t="s">
        <v>11</v>
      </c>
      <c r="B462" s="1005" t="s">
        <v>12</v>
      </c>
      <c r="C462" s="1005"/>
      <c r="D462" s="1005"/>
      <c r="E462" s="132" t="s">
        <v>267</v>
      </c>
      <c r="F462" s="20" t="s">
        <v>13</v>
      </c>
      <c r="G462" s="1068" t="s">
        <v>15</v>
      </c>
      <c r="H462" s="1069"/>
      <c r="I462" s="1068" t="s">
        <v>16</v>
      </c>
      <c r="J462" s="1069"/>
      <c r="K462" s="992" t="s">
        <v>17</v>
      </c>
      <c r="L462" s="993"/>
      <c r="M462" s="25"/>
      <c r="N462" s="26"/>
      <c r="O462" s="2"/>
      <c r="P462" s="27"/>
      <c r="Q462" s="26"/>
      <c r="R462" s="28"/>
    </row>
    <row r="463" spans="1:18" ht="30" customHeight="1" x14ac:dyDescent="0.45">
      <c r="A463" s="29">
        <v>17122</v>
      </c>
      <c r="B463" s="1142" t="s">
        <v>384</v>
      </c>
      <c r="C463" s="1117"/>
      <c r="D463" s="1118"/>
      <c r="E463" s="176">
        <v>800</v>
      </c>
      <c r="F463" s="145">
        <v>532</v>
      </c>
      <c r="G463" s="308"/>
      <c r="H463" s="309"/>
      <c r="I463" s="1084">
        <f>+'[1]2023 MILCON Inflation Table'!F22</f>
        <v>0.93771935922451721</v>
      </c>
      <c r="J463" s="1085"/>
      <c r="K463" s="145">
        <f>+F463*I463</f>
        <v>498.86669910744314</v>
      </c>
      <c r="L463" s="29" t="s">
        <v>35</v>
      </c>
      <c r="M463" s="25"/>
      <c r="N463" s="26"/>
      <c r="O463" s="2"/>
      <c r="P463" s="27"/>
      <c r="Q463" s="26"/>
      <c r="R463" s="28"/>
    </row>
    <row r="464" spans="1:18" ht="30" customHeight="1" x14ac:dyDescent="0.45">
      <c r="A464" s="29">
        <v>44220</v>
      </c>
      <c r="B464" s="1142" t="s">
        <v>385</v>
      </c>
      <c r="C464" s="1117"/>
      <c r="D464" s="1118"/>
      <c r="E464" s="176">
        <v>3000</v>
      </c>
      <c r="F464" s="145">
        <v>209</v>
      </c>
      <c r="G464" s="177"/>
      <c r="H464" s="178"/>
      <c r="I464" s="1119">
        <f>+I463</f>
        <v>0.93771935922451721</v>
      </c>
      <c r="J464" s="1120"/>
      <c r="K464" s="145">
        <f>+F464*I464</f>
        <v>195.9833460779241</v>
      </c>
      <c r="L464" s="29" t="s">
        <v>35</v>
      </c>
      <c r="M464" s="25"/>
      <c r="N464" s="26"/>
      <c r="O464" s="2"/>
      <c r="P464" s="27"/>
      <c r="Q464" s="26"/>
      <c r="R464" s="28"/>
    </row>
    <row r="465" spans="1:20" ht="30" customHeight="1" x14ac:dyDescent="0.45">
      <c r="A465" s="47"/>
      <c r="B465" s="224"/>
      <c r="C465" s="224"/>
      <c r="D465" s="224"/>
      <c r="E465" s="221"/>
      <c r="F465" s="47"/>
      <c r="G465" s="47"/>
      <c r="H465" s="47"/>
      <c r="I465" s="47"/>
      <c r="J465" s="47" t="s">
        <v>386</v>
      </c>
      <c r="K465" s="221">
        <f>AVERAGE(K463:K464)</f>
        <v>347.4250225926836</v>
      </c>
      <c r="L465" s="47" t="s">
        <v>35</v>
      </c>
      <c r="M465" s="25"/>
      <c r="S465" s="41"/>
      <c r="T465" s="41"/>
    </row>
    <row r="466" spans="1:20" ht="30" customHeight="1" thickBot="1" x14ac:dyDescent="0.5">
      <c r="A466" s="47"/>
      <c r="B466" s="47"/>
      <c r="C466" s="58"/>
      <c r="D466" s="58"/>
      <c r="E466" s="58"/>
      <c r="F466" s="58"/>
      <c r="G466" s="1015"/>
      <c r="H466" s="1016"/>
      <c r="I466" s="1017"/>
      <c r="J466" s="310" t="s">
        <v>39</v>
      </c>
      <c r="K466" s="311">
        <f>+K465</f>
        <v>347.4250225926836</v>
      </c>
      <c r="L466" s="47" t="s">
        <v>35</v>
      </c>
      <c r="M466" s="25"/>
    </row>
    <row r="467" spans="1:20" ht="30" customHeight="1" thickBot="1" x14ac:dyDescent="0.5">
      <c r="A467" s="999"/>
      <c r="B467" s="1000"/>
      <c r="C467" s="1000"/>
      <c r="D467" s="1000"/>
      <c r="E467" s="1000"/>
      <c r="F467" s="1000"/>
      <c r="G467" s="1000"/>
      <c r="H467" s="1000"/>
      <c r="I467" s="1000"/>
      <c r="J467" s="1000"/>
      <c r="K467" s="1000"/>
      <c r="L467" s="1001"/>
      <c r="M467" s="25"/>
      <c r="N467" s="26"/>
      <c r="O467" s="2"/>
      <c r="P467" s="27"/>
      <c r="Q467" s="26"/>
      <c r="R467" s="28"/>
    </row>
    <row r="468" spans="1:20" ht="30" customHeight="1" x14ac:dyDescent="0.45">
      <c r="A468" s="9" t="s">
        <v>4</v>
      </c>
      <c r="B468" s="10">
        <v>1444</v>
      </c>
      <c r="C468" s="1138" t="s">
        <v>387</v>
      </c>
      <c r="D468" s="1139"/>
      <c r="E468" s="13" t="s">
        <v>7</v>
      </c>
      <c r="F468" s="14" t="s">
        <v>35</v>
      </c>
      <c r="G468" s="11" t="s">
        <v>6</v>
      </c>
      <c r="H468" s="184">
        <v>11998.1778869876</v>
      </c>
      <c r="I468" s="13" t="s">
        <v>9</v>
      </c>
      <c r="J468" s="1155" t="s">
        <v>266</v>
      </c>
      <c r="K468" s="1156"/>
      <c r="L468" s="1127"/>
      <c r="M468" s="25"/>
      <c r="N468" s="26"/>
      <c r="O468" s="2"/>
      <c r="P468" s="27"/>
      <c r="Q468" s="26"/>
      <c r="R468" s="28"/>
    </row>
    <row r="469" spans="1:20" ht="30" customHeight="1" x14ac:dyDescent="0.45">
      <c r="A469" s="19" t="s">
        <v>11</v>
      </c>
      <c r="B469" s="1005" t="s">
        <v>12</v>
      </c>
      <c r="C469" s="1005"/>
      <c r="D469" s="1005"/>
      <c r="E469" s="132" t="s">
        <v>267</v>
      </c>
      <c r="F469" s="20" t="s">
        <v>13</v>
      </c>
      <c r="G469" s="19"/>
      <c r="H469" s="19"/>
      <c r="I469" s="1068" t="s">
        <v>16</v>
      </c>
      <c r="J469" s="1069"/>
      <c r="K469" s="992" t="s">
        <v>17</v>
      </c>
      <c r="L469" s="993"/>
      <c r="M469" s="84"/>
      <c r="N469" s="26"/>
      <c r="O469" s="2"/>
      <c r="P469" s="27"/>
      <c r="Q469" s="26"/>
      <c r="R469" s="28"/>
    </row>
    <row r="470" spans="1:20" ht="30" customHeight="1" x14ac:dyDescent="0.45">
      <c r="A470" s="29" t="s">
        <v>268</v>
      </c>
      <c r="B470" s="1018" t="s">
        <v>388</v>
      </c>
      <c r="C470" s="1019"/>
      <c r="D470" s="1020"/>
      <c r="E470" s="312">
        <v>29000</v>
      </c>
      <c r="F470" s="298">
        <v>539</v>
      </c>
      <c r="G470" s="177"/>
      <c r="H470" s="178"/>
      <c r="I470" s="1119" t="str">
        <f>$I$381</f>
        <v>NA;  GUCs are as of October 2022</v>
      </c>
      <c r="J470" s="1120"/>
      <c r="K470" s="313">
        <f>+F470</f>
        <v>539</v>
      </c>
      <c r="L470" s="29" t="s">
        <v>35</v>
      </c>
      <c r="M470" s="25"/>
      <c r="N470" s="26"/>
      <c r="O470" s="2"/>
      <c r="P470" s="27"/>
      <c r="Q470" s="26"/>
      <c r="R470" s="28"/>
    </row>
    <row r="471" spans="1:20" ht="30" customHeight="1" thickBot="1" x14ac:dyDescent="0.5">
      <c r="A471" s="47"/>
      <c r="B471" s="1092"/>
      <c r="C471" s="1092"/>
      <c r="D471" s="1092"/>
      <c r="F471" s="181"/>
      <c r="G471" s="181"/>
      <c r="H471" s="182"/>
      <c r="I471" s="58"/>
      <c r="J471" s="85" t="s">
        <v>39</v>
      </c>
      <c r="K471" s="216">
        <f>+K470</f>
        <v>539</v>
      </c>
      <c r="L471" s="47" t="s">
        <v>35</v>
      </c>
      <c r="M471" s="25"/>
      <c r="N471" s="18"/>
      <c r="O471" s="18"/>
      <c r="P471" s="27"/>
      <c r="Q471" s="26"/>
      <c r="R471" s="28"/>
    </row>
    <row r="472" spans="1:20" ht="30" customHeight="1" thickBot="1" x14ac:dyDescent="0.5">
      <c r="A472" s="999"/>
      <c r="B472" s="1000"/>
      <c r="C472" s="1000"/>
      <c r="D472" s="1000"/>
      <c r="E472" s="1000"/>
      <c r="F472" s="1000"/>
      <c r="G472" s="1000"/>
      <c r="H472" s="1000"/>
      <c r="I472" s="1000"/>
      <c r="J472" s="1000"/>
      <c r="K472" s="1000"/>
      <c r="L472" s="1001"/>
      <c r="M472" s="25"/>
      <c r="N472" s="18"/>
      <c r="O472" s="18"/>
      <c r="P472" s="27"/>
      <c r="Q472" s="26"/>
      <c r="R472" s="28"/>
    </row>
    <row r="473" spans="1:20" ht="30" customHeight="1" x14ac:dyDescent="0.45">
      <c r="A473" s="9" t="s">
        <v>4</v>
      </c>
      <c r="B473" s="10">
        <v>1445</v>
      </c>
      <c r="C473" s="1138" t="s">
        <v>389</v>
      </c>
      <c r="D473" s="1139"/>
      <c r="E473" s="13" t="s">
        <v>7</v>
      </c>
      <c r="F473" s="14" t="s">
        <v>35</v>
      </c>
      <c r="G473" s="11" t="s">
        <v>6</v>
      </c>
      <c r="H473" s="184">
        <v>3152</v>
      </c>
      <c r="I473" s="13" t="s">
        <v>9</v>
      </c>
      <c r="J473" s="1155" t="s">
        <v>390</v>
      </c>
      <c r="K473" s="1156"/>
      <c r="L473" s="1127"/>
      <c r="M473" s="84"/>
      <c r="N473" s="18"/>
      <c r="O473" s="18"/>
      <c r="P473" s="27"/>
      <c r="Q473" s="26"/>
      <c r="R473" s="28"/>
    </row>
    <row r="474" spans="1:20" ht="30" customHeight="1" x14ac:dyDescent="0.45">
      <c r="A474" s="19" t="s">
        <v>11</v>
      </c>
      <c r="B474" s="217" t="s">
        <v>293</v>
      </c>
      <c r="C474" s="218"/>
      <c r="D474" s="219"/>
      <c r="E474" s="220" t="s">
        <v>13</v>
      </c>
      <c r="F474" s="220" t="s">
        <v>14</v>
      </c>
      <c r="G474" s="992" t="s">
        <v>15</v>
      </c>
      <c r="H474" s="1191"/>
      <c r="I474" s="277" t="s">
        <v>278</v>
      </c>
      <c r="J474" s="277"/>
      <c r="K474" s="992" t="s">
        <v>17</v>
      </c>
      <c r="L474" s="993"/>
      <c r="M474" s="25"/>
      <c r="N474" s="18"/>
      <c r="O474" s="18"/>
      <c r="P474" s="27"/>
      <c r="Q474" s="26"/>
      <c r="R474" s="28"/>
    </row>
    <row r="475" spans="1:20" ht="30" customHeight="1" x14ac:dyDescent="0.45">
      <c r="A475" s="47">
        <v>14126</v>
      </c>
      <c r="B475" s="1008" t="s">
        <v>391</v>
      </c>
      <c r="C475" s="1009"/>
      <c r="D475" s="1010"/>
      <c r="E475" s="176">
        <v>2770</v>
      </c>
      <c r="F475" s="145">
        <v>482</v>
      </c>
      <c r="G475" s="177"/>
      <c r="H475" s="178"/>
      <c r="I475" s="1119">
        <f>+'[1]2023 MILCON Inflation Table'!F18</f>
        <v>1.1214155171577724</v>
      </c>
      <c r="J475" s="1120"/>
      <c r="K475" s="36">
        <f>+F475*I475</f>
        <v>540.52227927004628</v>
      </c>
      <c r="L475" s="29" t="s">
        <v>35</v>
      </c>
      <c r="M475" s="25"/>
      <c r="N475" s="18"/>
      <c r="O475" s="18"/>
      <c r="P475" s="27"/>
      <c r="Q475" s="26"/>
      <c r="R475" s="28"/>
    </row>
    <row r="476" spans="1:20" ht="30" customHeight="1" thickBot="1" x14ac:dyDescent="0.5">
      <c r="A476" s="47"/>
      <c r="B476" s="1092"/>
      <c r="C476" s="1092"/>
      <c r="D476" s="1092"/>
      <c r="E476" s="293"/>
      <c r="F476" s="294"/>
      <c r="G476" s="294"/>
      <c r="H476" s="295"/>
      <c r="I476" s="58"/>
      <c r="J476" s="85" t="s">
        <v>39</v>
      </c>
      <c r="K476" s="185">
        <f>+K475</f>
        <v>540.52227927004628</v>
      </c>
      <c r="L476" s="47" t="s">
        <v>35</v>
      </c>
      <c r="M476" s="25"/>
      <c r="N476" s="18"/>
      <c r="O476" s="18"/>
      <c r="P476" s="27"/>
      <c r="Q476" s="26"/>
      <c r="R476" s="28"/>
    </row>
    <row r="477" spans="1:20" ht="30" customHeight="1" thickBot="1" x14ac:dyDescent="0.5">
      <c r="A477" s="999"/>
      <c r="B477" s="1000"/>
      <c r="C477" s="1000"/>
      <c r="D477" s="1000"/>
      <c r="E477" s="1000"/>
      <c r="F477" s="1000"/>
      <c r="G477" s="1000"/>
      <c r="H477" s="1000"/>
      <c r="I477" s="1000"/>
      <c r="J477" s="1000"/>
      <c r="K477" s="1000"/>
      <c r="L477" s="1001"/>
      <c r="M477" s="84"/>
      <c r="N477" s="18"/>
      <c r="O477" s="18"/>
      <c r="P477" s="27"/>
      <c r="Q477" s="26"/>
      <c r="R477" s="28"/>
    </row>
    <row r="478" spans="1:20" ht="30" customHeight="1" x14ac:dyDescent="0.45">
      <c r="A478" s="9" t="s">
        <v>4</v>
      </c>
      <c r="B478" s="10">
        <v>1446</v>
      </c>
      <c r="C478" s="1002" t="s">
        <v>392</v>
      </c>
      <c r="D478" s="1003"/>
      <c r="E478" s="13" t="s">
        <v>7</v>
      </c>
      <c r="F478" s="14" t="s">
        <v>35</v>
      </c>
      <c r="G478" s="11" t="s">
        <v>6</v>
      </c>
      <c r="H478" s="300">
        <v>11713</v>
      </c>
      <c r="I478" s="13" t="s">
        <v>9</v>
      </c>
      <c r="J478" s="985" t="s">
        <v>292</v>
      </c>
      <c r="K478" s="985"/>
      <c r="L478" s="986"/>
      <c r="M478" s="25"/>
      <c r="N478" s="18"/>
      <c r="O478" s="18"/>
      <c r="P478" s="27"/>
      <c r="Q478" s="26"/>
      <c r="R478" s="28"/>
    </row>
    <row r="479" spans="1:20" ht="30" customHeight="1" x14ac:dyDescent="0.45">
      <c r="A479" s="85" t="s">
        <v>277</v>
      </c>
      <c r="B479" s="987" t="s">
        <v>293</v>
      </c>
      <c r="C479" s="988"/>
      <c r="D479" s="989"/>
      <c r="E479" s="220" t="s">
        <v>13</v>
      </c>
      <c r="F479" s="220" t="s">
        <v>14</v>
      </c>
      <c r="G479" s="990" t="s">
        <v>15</v>
      </c>
      <c r="H479" s="991"/>
      <c r="I479" s="277" t="s">
        <v>278</v>
      </c>
      <c r="J479" s="277"/>
      <c r="K479" s="992" t="s">
        <v>17</v>
      </c>
      <c r="L479" s="993"/>
      <c r="M479" s="25"/>
      <c r="N479" s="18"/>
      <c r="O479" s="18"/>
      <c r="P479" s="27"/>
      <c r="Q479" s="26"/>
      <c r="R479" s="28"/>
    </row>
    <row r="480" spans="1:20" ht="30" customHeight="1" x14ac:dyDescent="0.45">
      <c r="A480" s="47" t="s">
        <v>393</v>
      </c>
      <c r="B480" s="1008" t="s">
        <v>394</v>
      </c>
      <c r="C480" s="1009"/>
      <c r="D480" s="1010"/>
      <c r="E480" s="221">
        <v>175</v>
      </c>
      <c r="F480" s="47" t="s">
        <v>35</v>
      </c>
      <c r="G480" s="42"/>
      <c r="H480" s="199"/>
      <c r="I480" s="47">
        <v>1.17</v>
      </c>
      <c r="J480" s="47"/>
      <c r="K480" s="221">
        <f>+E480*I480</f>
        <v>204.75</v>
      </c>
      <c r="L480" s="47" t="s">
        <v>35</v>
      </c>
      <c r="M480" s="25"/>
      <c r="N480" s="18"/>
      <c r="O480" s="18"/>
      <c r="P480" s="27"/>
      <c r="Q480" s="26"/>
      <c r="R480" s="28"/>
    </row>
    <row r="481" spans="1:20" ht="30" customHeight="1" x14ac:dyDescent="0.45">
      <c r="A481" s="47" t="s">
        <v>395</v>
      </c>
      <c r="B481" s="1008" t="s">
        <v>396</v>
      </c>
      <c r="C481" s="1009"/>
      <c r="D481" s="1010"/>
      <c r="E481" s="221">
        <v>58000</v>
      </c>
      <c r="F481" s="47" t="s">
        <v>88</v>
      </c>
      <c r="G481" s="314">
        <f>E481/H478</f>
        <v>4.9517629983778706</v>
      </c>
      <c r="H481" s="199" t="s">
        <v>35</v>
      </c>
      <c r="I481" s="47">
        <v>1.17</v>
      </c>
      <c r="J481" s="47"/>
      <c r="K481" s="221">
        <f>G481*I481</f>
        <v>5.7935627081021082</v>
      </c>
      <c r="L481" s="47" t="s">
        <v>35</v>
      </c>
      <c r="M481" s="84"/>
      <c r="N481" s="18"/>
      <c r="O481" s="18"/>
      <c r="P481" s="27"/>
      <c r="Q481" s="26"/>
      <c r="R481" s="28"/>
    </row>
    <row r="482" spans="1:20" ht="30" customHeight="1" x14ac:dyDescent="0.45">
      <c r="A482" s="47" t="s">
        <v>397</v>
      </c>
      <c r="B482" s="1008" t="s">
        <v>398</v>
      </c>
      <c r="C482" s="1009"/>
      <c r="D482" s="1010"/>
      <c r="E482" s="221">
        <v>3.73</v>
      </c>
      <c r="F482" s="47" t="s">
        <v>35</v>
      </c>
      <c r="G482" s="42"/>
      <c r="H482" s="199"/>
      <c r="I482" s="47">
        <v>1.17</v>
      </c>
      <c r="J482" s="47"/>
      <c r="K482" s="221">
        <f>+E482*I482</f>
        <v>4.3640999999999996</v>
      </c>
      <c r="L482" s="47" t="s">
        <v>35</v>
      </c>
      <c r="M482" s="25"/>
      <c r="N482" s="18"/>
      <c r="O482" s="18"/>
      <c r="P482" s="27"/>
      <c r="Q482" s="26"/>
      <c r="R482" s="28"/>
    </row>
    <row r="483" spans="1:20" ht="30" customHeight="1" x14ac:dyDescent="0.45">
      <c r="A483" s="47"/>
      <c r="B483" s="1030"/>
      <c r="C483" s="1030"/>
      <c r="D483" s="1030"/>
      <c r="E483" s="221"/>
      <c r="F483" s="47"/>
      <c r="G483" s="47"/>
      <c r="H483" s="47"/>
      <c r="I483" s="47"/>
      <c r="J483" s="47" t="s">
        <v>360</v>
      </c>
      <c r="K483" s="221">
        <f>SUM(K480:K482)</f>
        <v>214.90766270810212</v>
      </c>
      <c r="L483" s="47" t="s">
        <v>35</v>
      </c>
      <c r="M483" s="25"/>
      <c r="N483" s="18"/>
      <c r="O483" s="18"/>
      <c r="P483" s="27"/>
      <c r="Q483" s="26"/>
      <c r="R483" s="28"/>
    </row>
    <row r="484" spans="1:20" ht="30" customHeight="1" x14ac:dyDescent="0.45">
      <c r="A484" s="47"/>
      <c r="B484" s="224"/>
      <c r="C484" s="224"/>
      <c r="D484" s="224"/>
      <c r="E484" s="221"/>
      <c r="F484" s="1011" t="s">
        <v>285</v>
      </c>
      <c r="G484" s="1013" t="s">
        <v>286</v>
      </c>
      <c r="H484" s="1013"/>
      <c r="I484" s="1013"/>
      <c r="J484" s="1013"/>
      <c r="K484" s="202">
        <v>1.08</v>
      </c>
      <c r="L484" s="47"/>
      <c r="M484" s="25"/>
      <c r="N484" s="18"/>
      <c r="O484" s="18"/>
      <c r="P484" s="27"/>
      <c r="Q484" s="26"/>
      <c r="R484" s="28"/>
    </row>
    <row r="485" spans="1:20" ht="30" customHeight="1" x14ac:dyDescent="0.45">
      <c r="A485" s="47"/>
      <c r="B485" s="224"/>
      <c r="C485" s="224"/>
      <c r="D485" s="224"/>
      <c r="E485" s="221"/>
      <c r="F485" s="1012"/>
      <c r="G485" s="1014" t="s">
        <v>298</v>
      </c>
      <c r="H485" s="1014"/>
      <c r="I485" s="1014"/>
      <c r="J485" s="1014"/>
      <c r="K485" s="278">
        <v>1.06</v>
      </c>
      <c r="L485" s="47"/>
      <c r="M485" s="121"/>
      <c r="N485" s="18"/>
      <c r="O485" s="18"/>
      <c r="P485" s="27"/>
      <c r="Q485" s="26"/>
      <c r="R485" s="28"/>
    </row>
    <row r="486" spans="1:20" ht="30" customHeight="1" x14ac:dyDescent="0.45">
      <c r="A486" s="47"/>
      <c r="B486" s="47"/>
      <c r="C486" s="58"/>
      <c r="D486" s="58"/>
      <c r="E486" s="58"/>
      <c r="F486" s="58"/>
      <c r="G486" s="58"/>
      <c r="H486" s="58"/>
      <c r="I486" s="58"/>
      <c r="J486" s="47" t="s">
        <v>39</v>
      </c>
      <c r="K486" s="216">
        <f>+K483*K484/K485</f>
        <v>218.96252426863236</v>
      </c>
      <c r="L486" s="47" t="s">
        <v>35</v>
      </c>
      <c r="M486" s="25"/>
      <c r="N486" s="18"/>
      <c r="O486" s="18"/>
      <c r="P486" s="27"/>
      <c r="Q486" s="26"/>
      <c r="R486" s="28"/>
    </row>
    <row r="487" spans="1:20" ht="30" customHeight="1" x14ac:dyDescent="0.45">
      <c r="A487" s="47"/>
      <c r="B487" s="47"/>
      <c r="C487" s="58"/>
      <c r="D487" s="58"/>
      <c r="E487" s="58"/>
      <c r="F487" s="58"/>
      <c r="G487" s="1175" t="s">
        <v>288</v>
      </c>
      <c r="H487" s="1086"/>
      <c r="I487" s="1087"/>
      <c r="J487" s="213">
        <f>VLOOKUP(B478,'[1]Mil Cost Premiums for PUCs'!$A$4:$R$278,18,FALSE)</f>
        <v>1.3279641928993471</v>
      </c>
      <c r="K487" s="216">
        <f>+K486*J487</f>
        <v>290.77439181559805</v>
      </c>
      <c r="L487" s="47" t="s">
        <v>35</v>
      </c>
      <c r="M487" s="25"/>
      <c r="N487" s="18"/>
      <c r="O487" s="18"/>
      <c r="P487" s="27"/>
      <c r="Q487" s="26"/>
      <c r="R487" s="28"/>
    </row>
    <row r="488" spans="1:20" ht="30" customHeight="1" x14ac:dyDescent="0.45">
      <c r="A488" s="225"/>
      <c r="B488" s="225"/>
      <c r="C488" s="150"/>
      <c r="D488" s="150"/>
      <c r="E488" s="150"/>
      <c r="F488" s="150"/>
      <c r="G488" s="1025" t="s">
        <v>299</v>
      </c>
      <c r="H488" s="1026"/>
      <c r="I488" s="1027"/>
      <c r="J488" s="226">
        <v>1.1214</v>
      </c>
      <c r="K488" s="227">
        <f>+K487*J488</f>
        <v>326.07440298201163</v>
      </c>
      <c r="L488" s="225" t="s">
        <v>35</v>
      </c>
      <c r="M488" s="25"/>
    </row>
    <row r="489" spans="1:20" ht="60" customHeight="1" x14ac:dyDescent="0.45">
      <c r="A489" s="1181" t="s">
        <v>366</v>
      </c>
      <c r="B489" s="1182"/>
      <c r="C489" s="1182"/>
      <c r="D489" s="1182"/>
      <c r="E489" s="1182"/>
      <c r="F489" s="1182"/>
      <c r="G489" s="1182"/>
      <c r="H489" s="1182"/>
      <c r="I489" s="1182"/>
      <c r="J489" s="1182"/>
      <c r="K489" s="1182"/>
      <c r="L489" s="1183"/>
      <c r="M489" s="25"/>
      <c r="N489" s="18"/>
      <c r="O489" s="18"/>
      <c r="P489" s="27"/>
      <c r="Q489" s="26"/>
      <c r="R489" s="28"/>
    </row>
    <row r="490" spans="1:20" ht="30" customHeight="1" x14ac:dyDescent="0.45">
      <c r="A490" s="1400" t="s">
        <v>367</v>
      </c>
      <c r="B490" s="1338"/>
      <c r="C490" s="1338"/>
      <c r="D490" s="1331" t="s">
        <v>399</v>
      </c>
      <c r="E490" s="1332"/>
      <c r="F490" s="1332"/>
      <c r="G490" s="1332"/>
      <c r="H490" s="1332"/>
      <c r="I490" s="1332"/>
      <c r="J490" s="1332"/>
      <c r="K490" s="1332"/>
      <c r="L490" s="1333"/>
      <c r="M490" s="25"/>
      <c r="N490" s="18"/>
      <c r="O490" s="18"/>
      <c r="P490" s="27"/>
      <c r="Q490" s="26"/>
      <c r="R490" s="28"/>
    </row>
    <row r="491" spans="1:20" ht="30" customHeight="1" x14ac:dyDescent="0.45">
      <c r="A491" s="1400" t="s">
        <v>369</v>
      </c>
      <c r="B491" s="1338"/>
      <c r="C491" s="1338"/>
      <c r="D491" s="1181" t="s">
        <v>400</v>
      </c>
      <c r="E491" s="1332"/>
      <c r="F491" s="1332"/>
      <c r="G491" s="1332"/>
      <c r="H491" s="1332"/>
      <c r="I491" s="1332"/>
      <c r="J491" s="1332"/>
      <c r="K491" s="1332"/>
      <c r="L491" s="1333"/>
      <c r="M491" s="25"/>
      <c r="N491" s="18"/>
      <c r="O491" s="18"/>
      <c r="P491" s="27"/>
      <c r="Q491" s="26"/>
      <c r="R491" s="28"/>
    </row>
    <row r="492" spans="1:20" ht="30" customHeight="1" x14ac:dyDescent="0.45">
      <c r="A492" s="1400" t="s">
        <v>371</v>
      </c>
      <c r="B492" s="1338"/>
      <c r="C492" s="1338"/>
      <c r="D492" s="1181" t="s">
        <v>401</v>
      </c>
      <c r="E492" s="1332"/>
      <c r="F492" s="1332"/>
      <c r="G492" s="1332"/>
      <c r="H492" s="1332"/>
      <c r="I492" s="1332"/>
      <c r="J492" s="1332"/>
      <c r="K492" s="1332"/>
      <c r="L492" s="1333"/>
      <c r="M492" s="25"/>
      <c r="N492" s="26"/>
      <c r="O492" s="2"/>
      <c r="P492" s="27"/>
      <c r="Q492" s="26"/>
      <c r="R492" s="28"/>
    </row>
    <row r="493" spans="1:20" ht="30" customHeight="1" x14ac:dyDescent="0.45">
      <c r="A493" s="1400" t="s">
        <v>373</v>
      </c>
      <c r="B493" s="1338"/>
      <c r="C493" s="1338"/>
      <c r="D493" s="1181" t="s">
        <v>402</v>
      </c>
      <c r="E493" s="1332"/>
      <c r="F493" s="1332"/>
      <c r="G493" s="1332"/>
      <c r="H493" s="1332"/>
      <c r="I493" s="1332"/>
      <c r="J493" s="1332"/>
      <c r="K493" s="1332"/>
      <c r="L493" s="1333"/>
      <c r="M493" s="25"/>
      <c r="N493" s="26"/>
      <c r="O493" s="2"/>
      <c r="P493" s="27"/>
      <c r="Q493" s="26"/>
      <c r="R493" s="28"/>
    </row>
    <row r="494" spans="1:20" ht="30" customHeight="1" x14ac:dyDescent="0.45">
      <c r="A494" s="1400" t="s">
        <v>375</v>
      </c>
      <c r="B494" s="1338"/>
      <c r="C494" s="1338"/>
      <c r="D494" s="1181" t="s">
        <v>403</v>
      </c>
      <c r="E494" s="1332"/>
      <c r="F494" s="1332"/>
      <c r="G494" s="1332"/>
      <c r="H494" s="1332"/>
      <c r="I494" s="1332"/>
      <c r="J494" s="1332"/>
      <c r="K494" s="1332"/>
      <c r="L494" s="1333"/>
      <c r="M494" s="25"/>
      <c r="N494" s="26"/>
      <c r="O494" s="2"/>
      <c r="P494" s="27"/>
      <c r="Q494" s="26"/>
      <c r="R494" s="28"/>
    </row>
    <row r="495" spans="1:20" ht="30" customHeight="1" x14ac:dyDescent="0.45">
      <c r="A495" s="1400" t="s">
        <v>377</v>
      </c>
      <c r="B495" s="1338"/>
      <c r="C495" s="1338"/>
      <c r="D495" s="1331" t="s">
        <v>404</v>
      </c>
      <c r="E495" s="1332"/>
      <c r="F495" s="1332"/>
      <c r="G495" s="1332"/>
      <c r="H495" s="1332"/>
      <c r="I495" s="1332"/>
      <c r="J495" s="1332"/>
      <c r="K495" s="1332"/>
      <c r="L495" s="1333"/>
      <c r="M495" s="25"/>
      <c r="S495" s="41"/>
      <c r="T495" s="41"/>
    </row>
    <row r="496" spans="1:20" ht="30" customHeight="1" x14ac:dyDescent="0.45">
      <c r="A496" s="1400" t="s">
        <v>379</v>
      </c>
      <c r="B496" s="1338"/>
      <c r="C496" s="1338"/>
      <c r="D496" s="1331" t="s">
        <v>405</v>
      </c>
      <c r="E496" s="1332"/>
      <c r="F496" s="1332"/>
      <c r="G496" s="1332"/>
      <c r="H496" s="1332"/>
      <c r="I496" s="1332"/>
      <c r="J496" s="1332"/>
      <c r="K496" s="1332"/>
      <c r="L496" s="1333"/>
      <c r="M496" s="25"/>
      <c r="S496" s="90"/>
      <c r="T496" s="90"/>
    </row>
    <row r="497" spans="1:16" s="18" customFormat="1" ht="75" customHeight="1" thickBot="1" x14ac:dyDescent="0.5">
      <c r="A497" s="1436" t="s">
        <v>381</v>
      </c>
      <c r="B497" s="1437"/>
      <c r="C497" s="1437"/>
      <c r="D497" s="1438" t="s">
        <v>382</v>
      </c>
      <c r="E497" s="1439"/>
      <c r="F497" s="1439"/>
      <c r="G497" s="1439"/>
      <c r="H497" s="1439"/>
      <c r="I497" s="1439"/>
      <c r="J497" s="1439"/>
      <c r="K497" s="1439"/>
      <c r="L497" s="1439"/>
      <c r="M497" s="25"/>
      <c r="N497" s="229"/>
      <c r="O497" s="5"/>
    </row>
    <row r="498" spans="1:16" s="18" customFormat="1" ht="30" customHeight="1" thickBot="1" x14ac:dyDescent="0.5">
      <c r="A498" s="1440"/>
      <c r="B498" s="1441"/>
      <c r="C498" s="1441"/>
      <c r="D498" s="1441"/>
      <c r="E498" s="1441"/>
      <c r="F498" s="1441"/>
      <c r="G498" s="1441"/>
      <c r="H498" s="1441"/>
      <c r="I498" s="1441"/>
      <c r="J498" s="1441"/>
      <c r="K498" s="1441"/>
      <c r="L498" s="1442"/>
      <c r="M498" s="121"/>
      <c r="N498" s="229"/>
      <c r="O498" s="5"/>
    </row>
    <row r="499" spans="1:16" s="18" customFormat="1" ht="30" customHeight="1" x14ac:dyDescent="0.45">
      <c r="A499" s="80" t="s">
        <v>4</v>
      </c>
      <c r="B499" s="316">
        <v>1451</v>
      </c>
      <c r="C499" s="1443" t="s">
        <v>406</v>
      </c>
      <c r="D499" s="1443"/>
      <c r="E499" s="317" t="s">
        <v>407</v>
      </c>
      <c r="F499" s="318" t="s">
        <v>88</v>
      </c>
      <c r="G499" s="83" t="s">
        <v>6</v>
      </c>
      <c r="H499" s="319">
        <v>1</v>
      </c>
      <c r="I499" s="81" t="s">
        <v>9</v>
      </c>
      <c r="J499" s="1444" t="s">
        <v>408</v>
      </c>
      <c r="K499" s="1444"/>
      <c r="L499" s="1444"/>
      <c r="M499" s="25"/>
      <c r="N499" s="229"/>
      <c r="O499" s="5"/>
    </row>
    <row r="500" spans="1:16" s="18" customFormat="1" ht="30" customHeight="1" x14ac:dyDescent="0.45">
      <c r="A500" s="19" t="s">
        <v>11</v>
      </c>
      <c r="B500" s="1007" t="s">
        <v>409</v>
      </c>
      <c r="C500" s="1007"/>
      <c r="D500" s="1007"/>
      <c r="E500" s="19" t="s">
        <v>13</v>
      </c>
      <c r="F500" s="19" t="s">
        <v>14</v>
      </c>
      <c r="G500" s="1006" t="s">
        <v>15</v>
      </c>
      <c r="H500" s="1006"/>
      <c r="I500" s="19" t="s">
        <v>59</v>
      </c>
      <c r="J500" s="19" t="s">
        <v>60</v>
      </c>
      <c r="K500" s="1006" t="s">
        <v>39</v>
      </c>
      <c r="L500" s="1006"/>
      <c r="M500" s="25"/>
      <c r="N500" s="229"/>
      <c r="O500" s="5"/>
    </row>
    <row r="501" spans="1:16" s="18" customFormat="1" ht="30" customHeight="1" thickBot="1" x14ac:dyDescent="0.5">
      <c r="A501" s="65"/>
      <c r="B501" s="1388">
        <v>8281394.1347677642</v>
      </c>
      <c r="C501" s="1388"/>
      <c r="D501" s="1388"/>
      <c r="E501" s="86"/>
      <c r="F501" s="87"/>
      <c r="G501" s="1412" t="s">
        <v>299</v>
      </c>
      <c r="H501" s="1413"/>
      <c r="I501" s="1414"/>
      <c r="J501" s="88">
        <v>1.1214</v>
      </c>
      <c r="K501" s="89">
        <f>B501*J501</f>
        <v>9286755.3827285711</v>
      </c>
      <c r="L501" s="87" t="s">
        <v>88</v>
      </c>
      <c r="M501" s="121"/>
      <c r="N501" s="229"/>
      <c r="O501" s="5"/>
    </row>
    <row r="502" spans="1:16" s="18" customFormat="1" ht="30" customHeight="1" thickBot="1" x14ac:dyDescent="0.5">
      <c r="A502" s="1425"/>
      <c r="B502" s="1426"/>
      <c r="C502" s="1426"/>
      <c r="D502" s="1426"/>
      <c r="E502" s="1426"/>
      <c r="F502" s="1426"/>
      <c r="G502" s="1426"/>
      <c r="H502" s="1426"/>
      <c r="I502" s="1426"/>
      <c r="J502" s="1426"/>
      <c r="K502" s="1426"/>
      <c r="L502" s="1427"/>
      <c r="M502" s="25"/>
      <c r="N502" s="229"/>
      <c r="O502" s="5"/>
    </row>
    <row r="503" spans="1:16" s="18" customFormat="1" ht="30" customHeight="1" x14ac:dyDescent="0.45">
      <c r="A503" s="320" t="s">
        <v>4</v>
      </c>
      <c r="B503" s="321">
        <v>1452</v>
      </c>
      <c r="C503" s="1433" t="s">
        <v>410</v>
      </c>
      <c r="D503" s="1433"/>
      <c r="E503" s="322" t="s">
        <v>407</v>
      </c>
      <c r="F503" s="323" t="s">
        <v>35</v>
      </c>
      <c r="G503" s="102" t="s">
        <v>6</v>
      </c>
      <c r="H503" s="324">
        <v>3812</v>
      </c>
      <c r="I503" s="13" t="s">
        <v>9</v>
      </c>
      <c r="J503" s="1428" t="s">
        <v>411</v>
      </c>
      <c r="K503" s="1428"/>
      <c r="L503" s="1429"/>
      <c r="M503" s="84"/>
      <c r="N503" s="229"/>
      <c r="O503" s="5"/>
    </row>
    <row r="504" spans="1:16" s="18" customFormat="1" ht="30" customHeight="1" x14ac:dyDescent="0.45">
      <c r="A504" s="19" t="s">
        <v>11</v>
      </c>
      <c r="B504" s="1007" t="s">
        <v>409</v>
      </c>
      <c r="C504" s="1007"/>
      <c r="D504" s="1007"/>
      <c r="E504" s="19" t="s">
        <v>13</v>
      </c>
      <c r="F504" s="19" t="s">
        <v>14</v>
      </c>
      <c r="G504" s="990" t="s">
        <v>15</v>
      </c>
      <c r="H504" s="991"/>
      <c r="I504" s="19" t="s">
        <v>59</v>
      </c>
      <c r="J504" s="19" t="s">
        <v>60</v>
      </c>
      <c r="K504" s="992" t="s">
        <v>39</v>
      </c>
      <c r="L504" s="993"/>
      <c r="M504" s="25"/>
      <c r="N504" s="229"/>
      <c r="O504" s="5"/>
    </row>
    <row r="505" spans="1:16" s="18" customFormat="1" ht="30" customHeight="1" thickBot="1" x14ac:dyDescent="0.5">
      <c r="A505" s="38">
        <v>149514</v>
      </c>
      <c r="B505" s="1430">
        <v>668.80449926134179</v>
      </c>
      <c r="C505" s="1431"/>
      <c r="D505" s="1432"/>
      <c r="E505" s="104"/>
      <c r="F505" s="105"/>
      <c r="G505" s="1412" t="s">
        <v>299</v>
      </c>
      <c r="H505" s="1413"/>
      <c r="I505" s="1414"/>
      <c r="J505" s="88">
        <v>1.1214</v>
      </c>
      <c r="K505" s="108">
        <f>B505*J505</f>
        <v>749.99736547166867</v>
      </c>
      <c r="L505" s="105" t="s">
        <v>35</v>
      </c>
      <c r="M505" s="325"/>
      <c r="N505" s="229"/>
      <c r="O505" s="5"/>
    </row>
    <row r="506" spans="1:16" s="18" customFormat="1" ht="30" customHeight="1" thickBot="1" x14ac:dyDescent="0.5">
      <c r="A506" s="1425"/>
      <c r="B506" s="1426"/>
      <c r="C506" s="1426"/>
      <c r="D506" s="1426"/>
      <c r="E506" s="1426"/>
      <c r="F506" s="1426"/>
      <c r="G506" s="1426"/>
      <c r="H506" s="1426"/>
      <c r="I506" s="1426"/>
      <c r="J506" s="1426"/>
      <c r="K506" s="1426"/>
      <c r="L506" s="1427"/>
      <c r="M506" s="25"/>
      <c r="N506" s="229"/>
      <c r="O506" s="5"/>
    </row>
    <row r="507" spans="1:16" s="18" customFormat="1" ht="30" customHeight="1" x14ac:dyDescent="0.45">
      <c r="A507" s="320" t="s">
        <v>4</v>
      </c>
      <c r="B507" s="321">
        <v>1453</v>
      </c>
      <c r="C507" s="1433" t="s">
        <v>412</v>
      </c>
      <c r="D507" s="1433"/>
      <c r="E507" s="322" t="s">
        <v>407</v>
      </c>
      <c r="F507" s="323" t="s">
        <v>88</v>
      </c>
      <c r="G507" s="102" t="s">
        <v>6</v>
      </c>
      <c r="H507" s="324">
        <v>1</v>
      </c>
      <c r="I507" s="13" t="s">
        <v>9</v>
      </c>
      <c r="J507" s="1428" t="s">
        <v>413</v>
      </c>
      <c r="K507" s="1428"/>
      <c r="L507" s="1429"/>
      <c r="M507" s="84"/>
      <c r="N507" s="229"/>
      <c r="O507" s="5"/>
    </row>
    <row r="508" spans="1:16" s="18" customFormat="1" ht="30" customHeight="1" x14ac:dyDescent="0.45">
      <c r="A508" s="19" t="s">
        <v>11</v>
      </c>
      <c r="B508" s="1007" t="s">
        <v>409</v>
      </c>
      <c r="C508" s="1007"/>
      <c r="D508" s="1007"/>
      <c r="E508" s="19" t="s">
        <v>13</v>
      </c>
      <c r="F508" s="19" t="s">
        <v>14</v>
      </c>
      <c r="G508" s="990" t="s">
        <v>15</v>
      </c>
      <c r="H508" s="991"/>
      <c r="I508" s="19" t="s">
        <v>59</v>
      </c>
      <c r="J508" s="19" t="s">
        <v>60</v>
      </c>
      <c r="K508" s="992" t="s">
        <v>39</v>
      </c>
      <c r="L508" s="993"/>
      <c r="M508" s="25"/>
      <c r="N508" s="229"/>
      <c r="O508" s="5"/>
    </row>
    <row r="509" spans="1:16" s="18" customFormat="1" ht="30" customHeight="1" thickBot="1" x14ac:dyDescent="0.5">
      <c r="A509" s="38">
        <v>149711</v>
      </c>
      <c r="B509" s="1430">
        <v>150412.567819786</v>
      </c>
      <c r="C509" s="1431"/>
      <c r="D509" s="1432"/>
      <c r="E509" s="104"/>
      <c r="F509" s="105"/>
      <c r="G509" s="1412" t="s">
        <v>299</v>
      </c>
      <c r="H509" s="1413"/>
      <c r="I509" s="1414"/>
      <c r="J509" s="88">
        <v>1.1214</v>
      </c>
      <c r="K509" s="108">
        <f>B509*J509</f>
        <v>168672.65355310802</v>
      </c>
      <c r="L509" s="105" t="s">
        <v>88</v>
      </c>
      <c r="M509" s="25"/>
      <c r="O509" s="5"/>
    </row>
    <row r="510" spans="1:16" s="18" customFormat="1" ht="30" customHeight="1" thickBot="1" x14ac:dyDescent="0.5">
      <c r="A510" s="1425"/>
      <c r="B510" s="1426"/>
      <c r="C510" s="1426"/>
      <c r="D510" s="1426"/>
      <c r="E510" s="1426"/>
      <c r="F510" s="1426"/>
      <c r="G510" s="1426"/>
      <c r="H510" s="1426"/>
      <c r="I510" s="1426"/>
      <c r="J510" s="1426"/>
      <c r="K510" s="1426"/>
      <c r="L510" s="1427"/>
      <c r="M510" s="37"/>
      <c r="O510" s="5"/>
      <c r="P510" s="131"/>
    </row>
    <row r="511" spans="1:16" s="18" customFormat="1" ht="30" customHeight="1" x14ac:dyDescent="0.45">
      <c r="A511" s="326" t="s">
        <v>4</v>
      </c>
      <c r="B511" s="321">
        <v>1454</v>
      </c>
      <c r="C511" s="1433" t="s">
        <v>414</v>
      </c>
      <c r="D511" s="1433"/>
      <c r="E511" s="322" t="s">
        <v>407</v>
      </c>
      <c r="F511" s="323" t="s">
        <v>113</v>
      </c>
      <c r="G511" s="102" t="s">
        <v>6</v>
      </c>
      <c r="H511" s="327">
        <v>259</v>
      </c>
      <c r="I511" s="13" t="s">
        <v>9</v>
      </c>
      <c r="J511" s="1434" t="s">
        <v>413</v>
      </c>
      <c r="K511" s="1434"/>
      <c r="L511" s="1435"/>
      <c r="M511" s="84"/>
      <c r="N511" s="229"/>
      <c r="O511" s="5"/>
    </row>
    <row r="512" spans="1:16" s="18" customFormat="1" ht="30" customHeight="1" x14ac:dyDescent="0.45">
      <c r="A512" s="19" t="s">
        <v>11</v>
      </c>
      <c r="B512" s="1007" t="s">
        <v>409</v>
      </c>
      <c r="C512" s="1007"/>
      <c r="D512" s="1007"/>
      <c r="E512" s="19" t="s">
        <v>13</v>
      </c>
      <c r="F512" s="19" t="s">
        <v>14</v>
      </c>
      <c r="G512" s="990" t="s">
        <v>15</v>
      </c>
      <c r="H512" s="991"/>
      <c r="I512" s="19" t="s">
        <v>59</v>
      </c>
      <c r="J512" s="19" t="s">
        <v>60</v>
      </c>
      <c r="K512" s="992" t="s">
        <v>39</v>
      </c>
      <c r="L512" s="993"/>
      <c r="M512" s="25"/>
      <c r="N512" s="229"/>
      <c r="O512" s="5"/>
    </row>
    <row r="513" spans="1:20" s="18" customFormat="1" ht="30" customHeight="1" thickBot="1" x14ac:dyDescent="0.5">
      <c r="A513" s="38">
        <v>149811</v>
      </c>
      <c r="B513" s="1422">
        <v>1249.9023121496145</v>
      </c>
      <c r="C513" s="1423"/>
      <c r="D513" s="1424"/>
      <c r="E513" s="104"/>
      <c r="F513" s="105"/>
      <c r="G513" s="1412" t="s">
        <v>299</v>
      </c>
      <c r="H513" s="1413"/>
      <c r="I513" s="1414"/>
      <c r="J513" s="88">
        <v>1.1214</v>
      </c>
      <c r="K513" s="108">
        <f>B513*J513</f>
        <v>1401.6404528445778</v>
      </c>
      <c r="L513" s="105" t="s">
        <v>113</v>
      </c>
      <c r="N513" s="229"/>
      <c r="O513" s="5"/>
    </row>
    <row r="514" spans="1:20" s="18" customFormat="1" ht="30" customHeight="1" thickBot="1" x14ac:dyDescent="0.5">
      <c r="A514" s="1425"/>
      <c r="B514" s="1426"/>
      <c r="C514" s="1426"/>
      <c r="D514" s="1426"/>
      <c r="E514" s="1426"/>
      <c r="F514" s="1426"/>
      <c r="G514" s="1426"/>
      <c r="H514" s="1426"/>
      <c r="I514" s="1426"/>
      <c r="J514" s="1426"/>
      <c r="K514" s="1426"/>
      <c r="L514" s="1427"/>
      <c r="M514" s="25"/>
      <c r="N514" s="229"/>
      <c r="O514" s="5"/>
    </row>
    <row r="515" spans="1:20" ht="30" customHeight="1" x14ac:dyDescent="0.45">
      <c r="A515" s="329" t="s">
        <v>4</v>
      </c>
      <c r="B515" s="328">
        <v>1456</v>
      </c>
      <c r="C515" s="1418" t="s">
        <v>415</v>
      </c>
      <c r="D515" s="1418"/>
      <c r="E515" s="330" t="s">
        <v>407</v>
      </c>
      <c r="F515" s="331" t="s">
        <v>88</v>
      </c>
      <c r="G515" s="332" t="s">
        <v>6</v>
      </c>
      <c r="H515" s="327">
        <v>1</v>
      </c>
      <c r="I515" s="13" t="s">
        <v>9</v>
      </c>
      <c r="J515" s="1428" t="s">
        <v>411</v>
      </c>
      <c r="K515" s="1428"/>
      <c r="L515" s="1429"/>
      <c r="M515" s="84"/>
      <c r="N515" s="1"/>
    </row>
    <row r="516" spans="1:20" ht="30" customHeight="1" x14ac:dyDescent="0.45">
      <c r="A516" s="19" t="s">
        <v>11</v>
      </c>
      <c r="B516" s="1007" t="s">
        <v>409</v>
      </c>
      <c r="C516" s="1007"/>
      <c r="D516" s="1007"/>
      <c r="E516" s="19" t="s">
        <v>13</v>
      </c>
      <c r="F516" s="19" t="s">
        <v>14</v>
      </c>
      <c r="G516" s="990" t="s">
        <v>15</v>
      </c>
      <c r="H516" s="991"/>
      <c r="I516" s="19" t="s">
        <v>59</v>
      </c>
      <c r="J516" s="19" t="s">
        <v>60</v>
      </c>
      <c r="K516" s="992" t="s">
        <v>39</v>
      </c>
      <c r="L516" s="993"/>
      <c r="M516" s="25"/>
    </row>
    <row r="517" spans="1:20" ht="30" customHeight="1" thickBot="1" x14ac:dyDescent="0.5">
      <c r="A517" s="38" t="s">
        <v>416</v>
      </c>
      <c r="B517" s="1083">
        <v>1095407.2210828611</v>
      </c>
      <c r="C517" s="1083"/>
      <c r="D517" s="1083"/>
      <c r="E517" s="104"/>
      <c r="F517" s="105"/>
      <c r="G517" s="1412" t="s">
        <v>299</v>
      </c>
      <c r="H517" s="1413"/>
      <c r="I517" s="1414"/>
      <c r="J517" s="88">
        <v>1.1214</v>
      </c>
      <c r="K517" s="108">
        <f>B517*J517</f>
        <v>1228389.6577223204</v>
      </c>
      <c r="L517" s="105" t="s">
        <v>88</v>
      </c>
      <c r="M517" s="25"/>
      <c r="S517" s="41"/>
      <c r="T517" s="41"/>
    </row>
    <row r="518" spans="1:20" ht="30" customHeight="1" thickBot="1" x14ac:dyDescent="0.5">
      <c r="A518" s="1415"/>
      <c r="B518" s="1416"/>
      <c r="C518" s="1416"/>
      <c r="D518" s="1416"/>
      <c r="E518" s="1416"/>
      <c r="F518" s="1416"/>
      <c r="G518" s="1416"/>
      <c r="H518" s="1416"/>
      <c r="I518" s="1416"/>
      <c r="J518" s="1416"/>
      <c r="K518" s="1416"/>
      <c r="L518" s="1417"/>
      <c r="M518" s="25"/>
      <c r="S518" s="90"/>
      <c r="T518" s="90"/>
    </row>
    <row r="519" spans="1:20" ht="30" customHeight="1" x14ac:dyDescent="0.45">
      <c r="A519" s="329" t="s">
        <v>300</v>
      </c>
      <c r="B519" s="328">
        <v>1457</v>
      </c>
      <c r="C519" s="1418" t="s">
        <v>417</v>
      </c>
      <c r="D519" s="1418"/>
      <c r="E519" s="330" t="s">
        <v>407</v>
      </c>
      <c r="F519" s="331" t="s">
        <v>35</v>
      </c>
      <c r="G519" s="332" t="s">
        <v>6</v>
      </c>
      <c r="H519" s="327">
        <v>4857</v>
      </c>
      <c r="I519" s="13" t="s">
        <v>9</v>
      </c>
      <c r="J519" s="1419" t="s">
        <v>418</v>
      </c>
      <c r="K519" s="1420"/>
      <c r="L519" s="1421"/>
      <c r="M519" s="121"/>
      <c r="N519" s="26"/>
      <c r="O519" s="2"/>
      <c r="P519" s="27"/>
      <c r="Q519" s="26"/>
      <c r="R519" s="28"/>
    </row>
    <row r="520" spans="1:20" ht="30" customHeight="1" x14ac:dyDescent="0.45">
      <c r="A520" s="19"/>
      <c r="B520" s="1007" t="s">
        <v>419</v>
      </c>
      <c r="C520" s="1007"/>
      <c r="D520" s="1007"/>
      <c r="E520" s="19" t="s">
        <v>13</v>
      </c>
      <c r="F520" s="19" t="s">
        <v>14</v>
      </c>
      <c r="G520" s="990" t="s">
        <v>15</v>
      </c>
      <c r="H520" s="991"/>
      <c r="I520" s="19" t="s">
        <v>59</v>
      </c>
      <c r="J520" s="19" t="s">
        <v>60</v>
      </c>
      <c r="K520" s="992" t="s">
        <v>39</v>
      </c>
      <c r="L520" s="993"/>
      <c r="M520" s="25"/>
      <c r="S520" s="41"/>
      <c r="T520" s="41"/>
    </row>
    <row r="521" spans="1:20" ht="30" customHeight="1" thickBot="1" x14ac:dyDescent="0.5">
      <c r="A521" s="38"/>
      <c r="B521" s="1083">
        <f>+K505</f>
        <v>749.99736547166867</v>
      </c>
      <c r="C521" s="1083"/>
      <c r="D521" s="1083"/>
      <c r="E521" s="104"/>
      <c r="F521" s="105"/>
      <c r="G521" s="1084"/>
      <c r="H521" s="1085"/>
      <c r="I521" s="105"/>
      <c r="J521" s="106">
        <v>1</v>
      </c>
      <c r="K521" s="108">
        <f>B521*J521</f>
        <v>749.99736547166867</v>
      </c>
      <c r="L521" s="105" t="s">
        <v>35</v>
      </c>
      <c r="M521" s="25"/>
    </row>
    <row r="522" spans="1:20" ht="30" customHeight="1" thickBot="1" x14ac:dyDescent="0.5">
      <c r="A522" s="999"/>
      <c r="B522" s="1000"/>
      <c r="C522" s="1000"/>
      <c r="D522" s="1000"/>
      <c r="E522" s="1000"/>
      <c r="F522" s="1000"/>
      <c r="G522" s="1000"/>
      <c r="H522" s="1000"/>
      <c r="I522" s="1000"/>
      <c r="J522" s="1000"/>
      <c r="K522" s="1000"/>
      <c r="L522" s="1001"/>
      <c r="M522" s="121"/>
      <c r="S522" s="41"/>
      <c r="T522" s="41"/>
    </row>
    <row r="523" spans="1:20" ht="30" customHeight="1" x14ac:dyDescent="0.45">
      <c r="A523" s="9" t="s">
        <v>4</v>
      </c>
      <c r="B523" s="10">
        <v>1458</v>
      </c>
      <c r="C523" s="1138" t="s">
        <v>420</v>
      </c>
      <c r="D523" s="1139"/>
      <c r="E523" s="13" t="s">
        <v>7</v>
      </c>
      <c r="F523" s="14" t="s">
        <v>88</v>
      </c>
      <c r="G523" s="173" t="s">
        <v>148</v>
      </c>
      <c r="H523" s="184">
        <v>1</v>
      </c>
      <c r="I523" s="13" t="s">
        <v>9</v>
      </c>
      <c r="J523" s="985" t="s">
        <v>421</v>
      </c>
      <c r="K523" s="985"/>
      <c r="L523" s="986"/>
      <c r="M523" s="25"/>
      <c r="S523" s="90"/>
      <c r="T523" s="90"/>
    </row>
    <row r="524" spans="1:20" ht="30" customHeight="1" x14ac:dyDescent="0.45">
      <c r="A524" s="19" t="s">
        <v>11</v>
      </c>
      <c r="B524" s="1005" t="s">
        <v>12</v>
      </c>
      <c r="C524" s="1005"/>
      <c r="D524" s="1005"/>
      <c r="E524" s="132" t="s">
        <v>267</v>
      </c>
      <c r="F524" s="20" t="s">
        <v>13</v>
      </c>
      <c r="G524" s="19"/>
      <c r="H524" s="19"/>
      <c r="I524" s="1068" t="s">
        <v>16</v>
      </c>
      <c r="J524" s="1069"/>
      <c r="K524" s="992" t="s">
        <v>17</v>
      </c>
      <c r="L524" s="993"/>
      <c r="M524" s="265"/>
      <c r="N524" s="112"/>
      <c r="S524" s="41"/>
      <c r="T524" s="41"/>
    </row>
    <row r="525" spans="1:20" ht="30" customHeight="1" x14ac:dyDescent="0.45">
      <c r="A525" s="47">
        <v>88040</v>
      </c>
      <c r="B525" s="1338" t="s">
        <v>422</v>
      </c>
      <c r="C525" s="1338"/>
      <c r="D525" s="1338"/>
      <c r="E525" s="333">
        <v>1</v>
      </c>
      <c r="F525" s="334">
        <v>152190</v>
      </c>
      <c r="G525" s="282"/>
      <c r="H525" s="283"/>
      <c r="I525" s="1084">
        <f>+'[1]2023 MILCON Inflation Table'!F21</f>
        <v>0.957411465768232</v>
      </c>
      <c r="J525" s="1085"/>
      <c r="K525" s="335">
        <f t="shared" ref="K525:K531" si="8">+F525*I525</f>
        <v>145708.45097526722</v>
      </c>
      <c r="L525" s="47" t="s">
        <v>88</v>
      </c>
      <c r="M525" s="121"/>
      <c r="N525" s="186"/>
      <c r="S525" s="41"/>
      <c r="T525" s="41"/>
    </row>
    <row r="526" spans="1:20" ht="30" customHeight="1" x14ac:dyDescent="0.45">
      <c r="A526" s="47">
        <v>88040</v>
      </c>
      <c r="B526" s="1338" t="s">
        <v>423</v>
      </c>
      <c r="C526" s="1338"/>
      <c r="D526" s="1338"/>
      <c r="E526" s="333">
        <v>1</v>
      </c>
      <c r="F526" s="334">
        <v>278070</v>
      </c>
      <c r="G526" s="282"/>
      <c r="H526" s="283"/>
      <c r="I526" s="1084">
        <f>+I525</f>
        <v>0.957411465768232</v>
      </c>
      <c r="J526" s="1085"/>
      <c r="K526" s="335">
        <f t="shared" si="8"/>
        <v>266227.40628617228</v>
      </c>
      <c r="L526" s="47" t="s">
        <v>88</v>
      </c>
      <c r="M526" s="25"/>
      <c r="N526" s="186"/>
    </row>
    <row r="527" spans="1:20" ht="30" customHeight="1" x14ac:dyDescent="0.9">
      <c r="A527" s="47">
        <v>88040</v>
      </c>
      <c r="B527" s="1406" t="s">
        <v>424</v>
      </c>
      <c r="C527" s="1406"/>
      <c r="D527" s="1406"/>
      <c r="E527" s="333">
        <v>1</v>
      </c>
      <c r="F527" s="334">
        <v>54790</v>
      </c>
      <c r="G527" s="282"/>
      <c r="H527" s="283"/>
      <c r="I527" s="1084">
        <f>+I525</f>
        <v>0.957411465768232</v>
      </c>
      <c r="J527" s="1085"/>
      <c r="K527" s="335">
        <f t="shared" si="8"/>
        <v>52456.574209441431</v>
      </c>
      <c r="L527" s="47" t="s">
        <v>88</v>
      </c>
      <c r="M527" s="25"/>
      <c r="N527" s="186"/>
      <c r="O527" s="336"/>
      <c r="S527" s="41"/>
      <c r="T527" s="41"/>
    </row>
    <row r="528" spans="1:20" ht="30" customHeight="1" x14ac:dyDescent="0.45">
      <c r="A528" s="47">
        <v>88040</v>
      </c>
      <c r="B528" s="1338" t="s">
        <v>425</v>
      </c>
      <c r="C528" s="1338"/>
      <c r="D528" s="1338"/>
      <c r="E528" s="333">
        <v>1</v>
      </c>
      <c r="F528" s="334">
        <v>62640</v>
      </c>
      <c r="G528" s="282"/>
      <c r="H528" s="283"/>
      <c r="I528" s="1084">
        <f>+I527</f>
        <v>0.957411465768232</v>
      </c>
      <c r="J528" s="1085"/>
      <c r="K528" s="335">
        <f t="shared" si="8"/>
        <v>59972.254215722052</v>
      </c>
      <c r="L528" s="47" t="s">
        <v>88</v>
      </c>
      <c r="M528" s="25"/>
      <c r="S528" s="90"/>
      <c r="T528" s="90"/>
    </row>
    <row r="529" spans="1:20" ht="30" customHeight="1" x14ac:dyDescent="0.45">
      <c r="A529" s="47">
        <v>88040</v>
      </c>
      <c r="B529" s="1338" t="s">
        <v>426</v>
      </c>
      <c r="C529" s="1338"/>
      <c r="D529" s="1338"/>
      <c r="E529" s="333">
        <v>1</v>
      </c>
      <c r="F529" s="334">
        <v>66730</v>
      </c>
      <c r="G529" s="282"/>
      <c r="H529" s="283"/>
      <c r="I529" s="1084">
        <f>+I528</f>
        <v>0.957411465768232</v>
      </c>
      <c r="J529" s="1085"/>
      <c r="K529" s="335">
        <f t="shared" si="8"/>
        <v>63888.067110714124</v>
      </c>
      <c r="L529" s="47" t="s">
        <v>88</v>
      </c>
      <c r="M529" s="25"/>
      <c r="S529" s="90"/>
      <c r="T529" s="90"/>
    </row>
    <row r="530" spans="1:20" ht="30" customHeight="1" x14ac:dyDescent="0.45">
      <c r="A530" s="47">
        <v>88040</v>
      </c>
      <c r="B530" s="1338" t="s">
        <v>427</v>
      </c>
      <c r="C530" s="1338"/>
      <c r="D530" s="1338"/>
      <c r="E530" s="333">
        <v>1</v>
      </c>
      <c r="F530" s="334">
        <v>74330</v>
      </c>
      <c r="G530" s="282"/>
      <c r="H530" s="283"/>
      <c r="I530" s="1084">
        <f>+I529</f>
        <v>0.957411465768232</v>
      </c>
      <c r="J530" s="1085"/>
      <c r="K530" s="335">
        <f t="shared" si="8"/>
        <v>71164.394250552679</v>
      </c>
      <c r="L530" s="47" t="s">
        <v>88</v>
      </c>
      <c r="M530" s="25"/>
      <c r="N530" s="26"/>
      <c r="O530" s="2"/>
      <c r="P530" s="27"/>
      <c r="Q530" s="26"/>
      <c r="R530" s="28"/>
    </row>
    <row r="531" spans="1:20" ht="30" customHeight="1" x14ac:dyDescent="0.45">
      <c r="A531" s="47">
        <v>88040</v>
      </c>
      <c r="B531" s="1092" t="s">
        <v>428</v>
      </c>
      <c r="C531" s="1092"/>
      <c r="D531" s="1092"/>
      <c r="E531" s="333">
        <v>1</v>
      </c>
      <c r="F531" s="334">
        <v>58430</v>
      </c>
      <c r="G531" s="282"/>
      <c r="H531" s="283"/>
      <c r="I531" s="1084">
        <f>+I530</f>
        <v>0.957411465768232</v>
      </c>
      <c r="J531" s="1085"/>
      <c r="K531" s="335">
        <f t="shared" si="8"/>
        <v>55941.551944837796</v>
      </c>
      <c r="L531" s="47" t="s">
        <v>88</v>
      </c>
      <c r="M531" s="25"/>
      <c r="N531" s="26"/>
      <c r="O531" s="2"/>
      <c r="P531" s="27"/>
      <c r="Q531" s="26"/>
      <c r="R531" s="28"/>
    </row>
    <row r="532" spans="1:20" ht="30" customHeight="1" thickBot="1" x14ac:dyDescent="0.5">
      <c r="A532" s="47"/>
      <c r="B532" s="1092"/>
      <c r="C532" s="1092"/>
      <c r="D532" s="1092"/>
      <c r="E532" s="293"/>
      <c r="F532" s="294"/>
      <c r="G532" s="294"/>
      <c r="H532" s="295" t="s">
        <v>56</v>
      </c>
      <c r="I532" s="58"/>
      <c r="J532" s="85" t="s">
        <v>39</v>
      </c>
      <c r="K532" s="335">
        <f>AVERAGE(K525:K531)</f>
        <v>102194.09985610108</v>
      </c>
      <c r="L532" s="47" t="s">
        <v>88</v>
      </c>
      <c r="M532" s="25"/>
      <c r="N532" s="26"/>
      <c r="O532" s="2"/>
      <c r="P532" s="27"/>
      <c r="Q532" s="26"/>
      <c r="R532" s="28"/>
    </row>
    <row r="533" spans="1:20" ht="30" customHeight="1" thickBot="1" x14ac:dyDescent="0.5">
      <c r="A533" s="999"/>
      <c r="B533" s="1000"/>
      <c r="C533" s="1000"/>
      <c r="D533" s="1000"/>
      <c r="E533" s="1000"/>
      <c r="F533" s="1000"/>
      <c r="G533" s="1000"/>
      <c r="H533" s="1000"/>
      <c r="I533" s="1000"/>
      <c r="J533" s="1000"/>
      <c r="K533" s="1000"/>
      <c r="L533" s="1001"/>
      <c r="M533" s="25"/>
      <c r="N533" s="26"/>
      <c r="O533" s="2"/>
      <c r="P533" s="27"/>
      <c r="Q533" s="26"/>
      <c r="R533" s="28"/>
    </row>
    <row r="534" spans="1:20" ht="30" customHeight="1" x14ac:dyDescent="0.45">
      <c r="A534" s="9" t="s">
        <v>4</v>
      </c>
      <c r="B534" s="10">
        <v>1459</v>
      </c>
      <c r="C534" s="1138" t="s">
        <v>429</v>
      </c>
      <c r="D534" s="1139"/>
      <c r="E534" s="13" t="s">
        <v>7</v>
      </c>
      <c r="F534" s="14" t="s">
        <v>35</v>
      </c>
      <c r="G534" s="11" t="s">
        <v>6</v>
      </c>
      <c r="H534" s="163">
        <v>2191.3600932941799</v>
      </c>
      <c r="I534" s="13" t="s">
        <v>9</v>
      </c>
      <c r="J534" s="985" t="s">
        <v>10</v>
      </c>
      <c r="K534" s="985"/>
      <c r="L534" s="986"/>
      <c r="M534" s="25"/>
      <c r="N534" s="26"/>
      <c r="O534" s="2"/>
      <c r="P534" s="27"/>
      <c r="Q534" s="26"/>
      <c r="R534" s="28"/>
    </row>
    <row r="535" spans="1:20" ht="30" customHeight="1" x14ac:dyDescent="0.45">
      <c r="A535" s="19" t="s">
        <v>11</v>
      </c>
      <c r="B535" s="1005" t="s">
        <v>12</v>
      </c>
      <c r="C535" s="1005"/>
      <c r="D535" s="1005"/>
      <c r="E535" s="132" t="s">
        <v>267</v>
      </c>
      <c r="F535" s="20" t="s">
        <v>13</v>
      </c>
      <c r="G535" s="19"/>
      <c r="H535" s="19"/>
      <c r="I535" s="1068" t="s">
        <v>16</v>
      </c>
      <c r="J535" s="1069"/>
      <c r="K535" s="992" t="s">
        <v>17</v>
      </c>
      <c r="L535" s="993"/>
      <c r="M535" s="25"/>
      <c r="N535" s="26"/>
      <c r="O535" s="2"/>
      <c r="P535" s="27"/>
      <c r="Q535" s="26"/>
      <c r="R535" s="28"/>
    </row>
    <row r="536" spans="1:20" ht="30" customHeight="1" x14ac:dyDescent="0.45">
      <c r="A536" s="47">
        <v>14179</v>
      </c>
      <c r="B536" s="1008" t="s">
        <v>430</v>
      </c>
      <c r="C536" s="1009"/>
      <c r="D536" s="1010"/>
      <c r="E536" s="290">
        <v>1100</v>
      </c>
      <c r="F536" s="313">
        <v>365</v>
      </c>
      <c r="G536" s="337"/>
      <c r="H536" s="338"/>
      <c r="I536" s="1084">
        <f>+'[1]2023 MILCON Inflation Table'!F22</f>
        <v>0.93771935922451721</v>
      </c>
      <c r="J536" s="1085"/>
      <c r="K536" s="335">
        <f>+F536*I536</f>
        <v>342.26756611694879</v>
      </c>
      <c r="L536" s="47" t="s">
        <v>35</v>
      </c>
      <c r="M536" s="25"/>
      <c r="N536" s="26"/>
      <c r="O536" s="2"/>
      <c r="P536" s="27"/>
      <c r="Q536" s="26"/>
      <c r="R536" s="28"/>
    </row>
    <row r="537" spans="1:20" ht="30" customHeight="1" thickBot="1" x14ac:dyDescent="0.5">
      <c r="A537" s="47"/>
      <c r="B537" s="1092"/>
      <c r="C537" s="1092"/>
      <c r="D537" s="1092"/>
      <c r="E537" s="293"/>
      <c r="F537" s="294"/>
      <c r="G537" s="294"/>
      <c r="H537" s="295"/>
      <c r="I537" s="58"/>
      <c r="J537" s="85" t="s">
        <v>39</v>
      </c>
      <c r="K537" s="185">
        <f>+K536</f>
        <v>342.26756611694879</v>
      </c>
      <c r="L537" s="47" t="s">
        <v>35</v>
      </c>
      <c r="M537" s="25"/>
      <c r="N537" s="26"/>
      <c r="O537" s="2"/>
      <c r="P537" s="27"/>
      <c r="Q537" s="26"/>
      <c r="R537" s="28"/>
    </row>
    <row r="538" spans="1:20" ht="30" customHeight="1" thickBot="1" x14ac:dyDescent="0.5">
      <c r="A538" s="999"/>
      <c r="B538" s="1000"/>
      <c r="C538" s="1000"/>
      <c r="D538" s="1000"/>
      <c r="E538" s="1000"/>
      <c r="F538" s="1000"/>
      <c r="G538" s="1000"/>
      <c r="H538" s="1000"/>
      <c r="I538" s="1000"/>
      <c r="J538" s="1000"/>
      <c r="K538" s="1000"/>
      <c r="L538" s="1001"/>
      <c r="M538" s="25"/>
      <c r="O538" s="2"/>
    </row>
    <row r="539" spans="1:20" ht="30" customHeight="1" x14ac:dyDescent="0.45">
      <c r="A539" s="9" t="s">
        <v>4</v>
      </c>
      <c r="B539" s="10">
        <v>1461</v>
      </c>
      <c r="C539" s="983" t="s">
        <v>431</v>
      </c>
      <c r="D539" s="984"/>
      <c r="E539" s="13" t="s">
        <v>7</v>
      </c>
      <c r="F539" s="14" t="s">
        <v>88</v>
      </c>
      <c r="G539" s="161" t="s">
        <v>148</v>
      </c>
      <c r="H539" s="163">
        <v>2</v>
      </c>
      <c r="I539" s="13" t="s">
        <v>9</v>
      </c>
      <c r="J539" s="985" t="s">
        <v>76</v>
      </c>
      <c r="K539" s="985"/>
      <c r="L539" s="986"/>
      <c r="M539" s="25"/>
      <c r="O539" s="2"/>
    </row>
    <row r="540" spans="1:20" ht="30" customHeight="1" x14ac:dyDescent="0.45">
      <c r="A540" s="114" t="s">
        <v>77</v>
      </c>
      <c r="B540" s="1300" t="s">
        <v>12</v>
      </c>
      <c r="C540" s="1301"/>
      <c r="D540" s="1302"/>
      <c r="E540" s="115" t="s">
        <v>78</v>
      </c>
      <c r="F540" s="116" t="s">
        <v>79</v>
      </c>
      <c r="G540" s="117" t="s">
        <v>80</v>
      </c>
      <c r="H540" s="118" t="s">
        <v>81</v>
      </c>
      <c r="I540" s="118" t="s">
        <v>82</v>
      </c>
      <c r="J540" s="119" t="s">
        <v>15</v>
      </c>
      <c r="K540" s="114" t="s">
        <v>84</v>
      </c>
      <c r="L540" s="120" t="s">
        <v>85</v>
      </c>
      <c r="M540" s="121"/>
      <c r="N540" s="5"/>
      <c r="O540" s="2"/>
      <c r="P540" s="27"/>
      <c r="Q540" s="26"/>
      <c r="R540" s="28"/>
    </row>
    <row r="541" spans="1:20" ht="30" customHeight="1" x14ac:dyDescent="0.45">
      <c r="A541" s="122" t="s">
        <v>432</v>
      </c>
      <c r="B541" s="1291" t="s">
        <v>433</v>
      </c>
      <c r="C541" s="1292"/>
      <c r="D541" s="1293"/>
      <c r="E541" s="123">
        <v>2</v>
      </c>
      <c r="F541" s="124" t="s">
        <v>88</v>
      </c>
      <c r="G541" s="124">
        <v>2352584.5</v>
      </c>
      <c r="H541" s="124">
        <v>35499.919999999998</v>
      </c>
      <c r="I541" s="124">
        <v>11753.05</v>
      </c>
      <c r="J541" s="339">
        <v>2</v>
      </c>
      <c r="K541" s="340">
        <f>+(G541+H541+I541)/J541</f>
        <v>1199918.7349999999</v>
      </c>
      <c r="L541" s="124" t="s">
        <v>88</v>
      </c>
      <c r="M541" s="121"/>
      <c r="N541" s="5"/>
      <c r="O541" s="2"/>
      <c r="P541" s="27"/>
      <c r="Q541" s="26"/>
      <c r="R541" s="28"/>
    </row>
    <row r="542" spans="1:20" ht="30" customHeight="1" x14ac:dyDescent="0.45">
      <c r="A542" s="122" t="s">
        <v>434</v>
      </c>
      <c r="B542" s="1291" t="s">
        <v>435</v>
      </c>
      <c r="C542" s="1292"/>
      <c r="D542" s="1293"/>
      <c r="E542" s="123">
        <v>2</v>
      </c>
      <c r="F542" s="124" t="s">
        <v>88</v>
      </c>
      <c r="G542" s="124">
        <v>2127218.04</v>
      </c>
      <c r="H542" s="124">
        <v>35499.919999999998</v>
      </c>
      <c r="I542" s="124">
        <v>11753.05</v>
      </c>
      <c r="J542" s="339">
        <v>2</v>
      </c>
      <c r="K542" s="340">
        <f>+(G542+H542+I542)/J542</f>
        <v>1087235.5049999999</v>
      </c>
      <c r="L542" s="124" t="s">
        <v>88</v>
      </c>
      <c r="M542" s="121"/>
      <c r="N542" s="5"/>
      <c r="O542" s="2"/>
      <c r="P542" s="27"/>
      <c r="Q542" s="26"/>
      <c r="R542" s="28"/>
    </row>
    <row r="543" spans="1:20" ht="30" customHeight="1" x14ac:dyDescent="0.45">
      <c r="A543" s="1294" t="s">
        <v>436</v>
      </c>
      <c r="B543" s="1303"/>
      <c r="C543" s="1303"/>
      <c r="D543" s="1303"/>
      <c r="E543" s="126"/>
      <c r="F543" s="126"/>
      <c r="G543" s="126"/>
      <c r="H543" s="126"/>
      <c r="I543" s="126"/>
      <c r="J543" s="341"/>
      <c r="K543" s="340">
        <f>SUM(K541:K542)</f>
        <v>2287154.2399999998</v>
      </c>
      <c r="L543" s="124" t="s">
        <v>188</v>
      </c>
      <c r="M543" s="25"/>
      <c r="N543" s="5"/>
      <c r="O543" s="2"/>
      <c r="P543" s="27"/>
      <c r="Q543" s="26"/>
      <c r="R543" s="28"/>
    </row>
    <row r="544" spans="1:20" ht="30" customHeight="1" thickBot="1" x14ac:dyDescent="0.5">
      <c r="A544" s="1304"/>
      <c r="B544" s="1304"/>
      <c r="C544" s="1304"/>
      <c r="D544" s="1304"/>
      <c r="E544" s="127"/>
      <c r="F544" s="78"/>
      <c r="G544" s="1296"/>
      <c r="H544" s="1297"/>
      <c r="I544" s="78"/>
      <c r="J544" s="128" t="s">
        <v>39</v>
      </c>
      <c r="K544" s="129">
        <f>K543/H539</f>
        <v>1143577.1199999999</v>
      </c>
      <c r="L544" s="124" t="s">
        <v>88</v>
      </c>
      <c r="M544" s="25"/>
      <c r="O544" s="2"/>
      <c r="P544" s="27"/>
      <c r="Q544" s="26"/>
      <c r="R544" s="28"/>
    </row>
    <row r="545" spans="1:18" ht="30" customHeight="1" thickBot="1" x14ac:dyDescent="0.5">
      <c r="A545" s="999"/>
      <c r="B545" s="1000"/>
      <c r="C545" s="1000"/>
      <c r="D545" s="1000"/>
      <c r="E545" s="1000"/>
      <c r="F545" s="1000"/>
      <c r="G545" s="1000"/>
      <c r="H545" s="1000"/>
      <c r="I545" s="1000"/>
      <c r="J545" s="1000"/>
      <c r="K545" s="1000"/>
      <c r="L545" s="1001"/>
      <c r="M545" s="25"/>
      <c r="N545" s="101"/>
      <c r="O545" s="2"/>
    </row>
    <row r="546" spans="1:18" ht="30" customHeight="1" x14ac:dyDescent="0.45">
      <c r="A546" s="9" t="s">
        <v>4</v>
      </c>
      <c r="B546" s="10">
        <v>1463</v>
      </c>
      <c r="C546" s="1243" t="s">
        <v>437</v>
      </c>
      <c r="D546" s="1244"/>
      <c r="E546" s="13" t="s">
        <v>7</v>
      </c>
      <c r="F546" s="14" t="s">
        <v>88</v>
      </c>
      <c r="G546" s="11" t="s">
        <v>148</v>
      </c>
      <c r="H546" s="300">
        <v>1</v>
      </c>
      <c r="I546" s="13" t="s">
        <v>9</v>
      </c>
      <c r="J546" s="985" t="s">
        <v>292</v>
      </c>
      <c r="K546" s="985"/>
      <c r="L546" s="986"/>
      <c r="M546" s="25"/>
      <c r="O546" s="2"/>
    </row>
    <row r="547" spans="1:18" ht="30" customHeight="1" x14ac:dyDescent="0.45">
      <c r="A547" s="85" t="s">
        <v>277</v>
      </c>
      <c r="B547" s="987" t="s">
        <v>293</v>
      </c>
      <c r="C547" s="988"/>
      <c r="D547" s="989"/>
      <c r="E547" s="220" t="s">
        <v>13</v>
      </c>
      <c r="F547" s="220" t="s">
        <v>14</v>
      </c>
      <c r="G547" s="990" t="s">
        <v>15</v>
      </c>
      <c r="H547" s="991"/>
      <c r="I547" s="277" t="s">
        <v>278</v>
      </c>
      <c r="J547" s="277"/>
      <c r="K547" s="992" t="s">
        <v>17</v>
      </c>
      <c r="L547" s="993"/>
      <c r="M547" s="25"/>
      <c r="O547" s="2"/>
    </row>
    <row r="548" spans="1:18" ht="30" customHeight="1" x14ac:dyDescent="0.45">
      <c r="A548" s="47" t="s">
        <v>438</v>
      </c>
      <c r="B548" s="1008" t="s">
        <v>439</v>
      </c>
      <c r="C548" s="1009"/>
      <c r="D548" s="1010"/>
      <c r="E548" s="221">
        <v>34800</v>
      </c>
      <c r="F548" s="47" t="s">
        <v>88</v>
      </c>
      <c r="G548" s="42"/>
      <c r="H548" s="199">
        <v>10</v>
      </c>
      <c r="I548" s="47">
        <v>1.23</v>
      </c>
      <c r="J548" s="47"/>
      <c r="K548" s="221">
        <f>+E548*I548*H548</f>
        <v>428040</v>
      </c>
      <c r="L548" s="47" t="s">
        <v>88</v>
      </c>
      <c r="M548" s="25"/>
      <c r="N548" s="26"/>
      <c r="O548" s="2"/>
      <c r="P548" s="27"/>
      <c r="Q548" s="26"/>
      <c r="R548" s="28"/>
    </row>
    <row r="549" spans="1:18" ht="30" customHeight="1" x14ac:dyDescent="0.45">
      <c r="A549" s="47"/>
      <c r="B549" s="224"/>
      <c r="C549" s="224"/>
      <c r="D549" s="224"/>
      <c r="E549" s="221"/>
      <c r="F549" s="1011" t="s">
        <v>285</v>
      </c>
      <c r="G549" s="1013" t="s">
        <v>286</v>
      </c>
      <c r="H549" s="1013"/>
      <c r="I549" s="1013"/>
      <c r="J549" s="1013"/>
      <c r="K549" s="202">
        <v>1.08</v>
      </c>
      <c r="L549" s="47"/>
      <c r="M549" s="25"/>
      <c r="N549" s="26"/>
      <c r="O549" s="2"/>
      <c r="P549" s="27"/>
      <c r="Q549" s="26"/>
      <c r="R549" s="28"/>
    </row>
    <row r="550" spans="1:18" ht="30" customHeight="1" x14ac:dyDescent="0.45">
      <c r="A550" s="47"/>
      <c r="B550" s="224"/>
      <c r="C550" s="224"/>
      <c r="D550" s="224"/>
      <c r="E550" s="221"/>
      <c r="F550" s="1012"/>
      <c r="G550" s="1014" t="s">
        <v>298</v>
      </c>
      <c r="H550" s="1014"/>
      <c r="I550" s="1014"/>
      <c r="J550" s="1014"/>
      <c r="K550" s="202">
        <v>1.06</v>
      </c>
      <c r="L550" s="47"/>
      <c r="M550" s="25"/>
      <c r="N550" s="5"/>
      <c r="O550" s="2"/>
      <c r="P550" s="27"/>
      <c r="Q550" s="26"/>
      <c r="R550" s="28"/>
    </row>
    <row r="551" spans="1:18" ht="30" customHeight="1" x14ac:dyDescent="0.45">
      <c r="A551" s="47"/>
      <c r="B551" s="47"/>
      <c r="C551" s="58"/>
      <c r="D551" s="58"/>
      <c r="E551" s="58"/>
      <c r="F551" s="58"/>
      <c r="G551" s="58"/>
      <c r="H551" s="58"/>
      <c r="I551" s="58"/>
      <c r="J551" s="47" t="s">
        <v>39</v>
      </c>
      <c r="K551" s="216">
        <f>+K548*K549/K550</f>
        <v>436116.22641509434</v>
      </c>
      <c r="L551" s="47" t="s">
        <v>88</v>
      </c>
      <c r="M551" s="25"/>
      <c r="N551" s="186"/>
      <c r="O551" s="2"/>
      <c r="P551" s="27"/>
      <c r="Q551" s="26"/>
      <c r="R551" s="28"/>
    </row>
    <row r="552" spans="1:18" ht="30" customHeight="1" x14ac:dyDescent="0.45">
      <c r="A552" s="211"/>
      <c r="B552" s="301"/>
      <c r="C552" s="302"/>
      <c r="D552" s="302"/>
      <c r="E552" s="302"/>
      <c r="F552" s="302"/>
      <c r="G552" s="1086" t="s">
        <v>288</v>
      </c>
      <c r="H552" s="1086"/>
      <c r="I552" s="1087"/>
      <c r="J552" s="213">
        <f>VLOOKUP(B546,'[1]Mil Cost Premiums for PUCs'!$A$4:$R$278,18,FALSE)</f>
        <v>1.1199953840399997</v>
      </c>
      <c r="K552" s="304">
        <f>+K551*J552</f>
        <v>488448.16048984905</v>
      </c>
      <c r="L552" s="47" t="s">
        <v>88</v>
      </c>
      <c r="M552" s="25"/>
      <c r="N552" s="186"/>
      <c r="O552" s="2"/>
      <c r="P552" s="27"/>
      <c r="Q552" s="26"/>
      <c r="R552" s="28"/>
    </row>
    <row r="553" spans="1:18" ht="30" customHeight="1" thickBot="1" x14ac:dyDescent="0.5">
      <c r="A553" s="225"/>
      <c r="B553" s="225"/>
      <c r="C553" s="150"/>
      <c r="D553" s="150"/>
      <c r="E553" s="150"/>
      <c r="F553" s="150"/>
      <c r="G553" s="1025" t="s">
        <v>299</v>
      </c>
      <c r="H553" s="1026"/>
      <c r="I553" s="1027"/>
      <c r="J553" s="226">
        <v>1.1214</v>
      </c>
      <c r="K553" s="227">
        <f>+K552*J553</f>
        <v>547745.76717331668</v>
      </c>
      <c r="L553" s="47" t="s">
        <v>88</v>
      </c>
      <c r="M553" s="25"/>
    </row>
    <row r="554" spans="1:18" ht="30" customHeight="1" thickBot="1" x14ac:dyDescent="0.5">
      <c r="A554" s="999"/>
      <c r="B554" s="1000"/>
      <c r="C554" s="1000"/>
      <c r="D554" s="1000"/>
      <c r="E554" s="1000"/>
      <c r="F554" s="1000"/>
      <c r="G554" s="1000"/>
      <c r="H554" s="1000"/>
      <c r="I554" s="1000"/>
      <c r="J554" s="1000"/>
      <c r="K554" s="1000"/>
      <c r="L554" s="1001"/>
      <c r="M554" s="25"/>
      <c r="N554" s="186"/>
      <c r="O554" s="2"/>
      <c r="P554" s="27"/>
      <c r="Q554" s="26"/>
      <c r="R554" s="28"/>
    </row>
    <row r="555" spans="1:18" ht="30" customHeight="1" x14ac:dyDescent="0.45">
      <c r="A555" s="9" t="s">
        <v>4</v>
      </c>
      <c r="B555" s="10">
        <v>1464</v>
      </c>
      <c r="C555" s="1298" t="s">
        <v>440</v>
      </c>
      <c r="D555" s="1299"/>
      <c r="E555" s="13" t="s">
        <v>7</v>
      </c>
      <c r="F555" s="14" t="s">
        <v>88</v>
      </c>
      <c r="G555" s="161" t="s">
        <v>148</v>
      </c>
      <c r="H555" s="163">
        <v>1</v>
      </c>
      <c r="I555" s="13" t="s">
        <v>9</v>
      </c>
      <c r="J555" s="985" t="s">
        <v>76</v>
      </c>
      <c r="K555" s="985"/>
      <c r="L555" s="986"/>
      <c r="M555" s="25"/>
      <c r="O555" s="2"/>
    </row>
    <row r="556" spans="1:18" ht="30" customHeight="1" x14ac:dyDescent="0.45">
      <c r="A556" s="114" t="s">
        <v>77</v>
      </c>
      <c r="B556" s="1408" t="s">
        <v>12</v>
      </c>
      <c r="C556" s="1409"/>
      <c r="D556" s="1410"/>
      <c r="E556" s="115" t="s">
        <v>78</v>
      </c>
      <c r="F556" s="116" t="s">
        <v>79</v>
      </c>
      <c r="G556" s="117" t="s">
        <v>80</v>
      </c>
      <c r="H556" s="118" t="s">
        <v>81</v>
      </c>
      <c r="I556" s="118" t="s">
        <v>82</v>
      </c>
      <c r="J556" s="119" t="s">
        <v>15</v>
      </c>
      <c r="K556" s="114" t="s">
        <v>84</v>
      </c>
      <c r="L556" s="120" t="s">
        <v>85</v>
      </c>
      <c r="M556" s="121"/>
      <c r="N556" s="5"/>
      <c r="O556" s="2"/>
      <c r="P556" s="27"/>
      <c r="Q556" s="26"/>
      <c r="R556" s="28"/>
    </row>
    <row r="557" spans="1:18" ht="30" customHeight="1" x14ac:dyDescent="0.45">
      <c r="A557" s="122" t="s">
        <v>441</v>
      </c>
      <c r="B557" s="1291" t="s">
        <v>442</v>
      </c>
      <c r="C557" s="1292"/>
      <c r="D557" s="1293"/>
      <c r="E557" s="342">
        <v>243.6</v>
      </c>
      <c r="F557" s="343" t="s">
        <v>182</v>
      </c>
      <c r="G557" s="343">
        <v>1164794.0597657501</v>
      </c>
      <c r="H557" s="343">
        <v>1533646.4761934199</v>
      </c>
      <c r="I557" s="343">
        <v>118196.081151244</v>
      </c>
      <c r="J557" s="344">
        <v>1</v>
      </c>
      <c r="K557" s="345">
        <f>+(G557+H557+I557)/J557</f>
        <v>2816636.6171104144</v>
      </c>
      <c r="L557" s="343" t="s">
        <v>88</v>
      </c>
      <c r="M557" s="121"/>
      <c r="N557" s="5"/>
      <c r="O557" s="2"/>
      <c r="P557" s="27"/>
      <c r="Q557" s="26"/>
      <c r="R557" s="28"/>
    </row>
    <row r="558" spans="1:18" ht="30" customHeight="1" x14ac:dyDescent="0.45">
      <c r="A558" s="1294" t="s">
        <v>436</v>
      </c>
      <c r="B558" s="1303"/>
      <c r="C558" s="1303"/>
      <c r="D558" s="1303"/>
      <c r="E558" s="104"/>
      <c r="F558" s="105"/>
      <c r="G558" s="1284"/>
      <c r="H558" s="1284"/>
      <c r="I558" s="105"/>
      <c r="J558" s="58"/>
      <c r="K558" s="58"/>
      <c r="L558" s="58"/>
      <c r="M558" s="25"/>
      <c r="O558" s="2"/>
      <c r="P558" s="27"/>
      <c r="Q558" s="26"/>
      <c r="R558" s="28"/>
    </row>
    <row r="559" spans="1:18" ht="30" customHeight="1" thickBot="1" x14ac:dyDescent="0.5">
      <c r="A559" s="1411"/>
      <c r="B559" s="1411"/>
      <c r="C559" s="1411"/>
      <c r="D559" s="1411"/>
      <c r="E559" s="86"/>
      <c r="F559" s="87"/>
      <c r="G559" s="88"/>
      <c r="H559" s="88"/>
      <c r="I559" s="87"/>
      <c r="J559" s="347" t="s">
        <v>39</v>
      </c>
      <c r="K559" s="89">
        <f>+K557</f>
        <v>2816636.6171104144</v>
      </c>
      <c r="L559" s="225" t="s">
        <v>88</v>
      </c>
      <c r="M559" s="25"/>
      <c r="O559" s="2"/>
      <c r="P559" s="27"/>
      <c r="Q559" s="26"/>
      <c r="R559" s="28"/>
    </row>
    <row r="560" spans="1:18" ht="30" customHeight="1" thickBot="1" x14ac:dyDescent="0.5">
      <c r="A560" s="999"/>
      <c r="B560" s="1000"/>
      <c r="C560" s="1000"/>
      <c r="D560" s="1000"/>
      <c r="E560" s="1000"/>
      <c r="F560" s="1000"/>
      <c r="G560" s="1000"/>
      <c r="H560" s="1000"/>
      <c r="I560" s="1000"/>
      <c r="J560" s="1000"/>
      <c r="K560" s="1000"/>
      <c r="L560" s="1001"/>
      <c r="M560" s="25"/>
      <c r="N560" s="101"/>
      <c r="O560" s="2"/>
    </row>
    <row r="561" spans="1:20" ht="30" customHeight="1" x14ac:dyDescent="0.45">
      <c r="A561" s="9" t="s">
        <v>4</v>
      </c>
      <c r="B561" s="9">
        <v>1465</v>
      </c>
      <c r="C561" s="983" t="s">
        <v>443</v>
      </c>
      <c r="D561" s="984"/>
      <c r="E561" s="13" t="s">
        <v>7</v>
      </c>
      <c r="F561" s="14" t="s">
        <v>35</v>
      </c>
      <c r="G561" s="11" t="s">
        <v>6</v>
      </c>
      <c r="H561" s="163">
        <v>7747</v>
      </c>
      <c r="I561" s="13" t="s">
        <v>9</v>
      </c>
      <c r="J561" s="1155" t="s">
        <v>444</v>
      </c>
      <c r="K561" s="1155"/>
      <c r="L561" s="1141"/>
      <c r="M561" s="25"/>
      <c r="N561" s="186"/>
      <c r="O561" s="2"/>
      <c r="P561" s="27"/>
      <c r="Q561" s="26"/>
      <c r="R561" s="28"/>
    </row>
    <row r="562" spans="1:20" ht="30" customHeight="1" x14ac:dyDescent="0.45">
      <c r="A562" s="19" t="s">
        <v>11</v>
      </c>
      <c r="B562" s="1007" t="s">
        <v>445</v>
      </c>
      <c r="C562" s="1007"/>
      <c r="D562" s="1007"/>
      <c r="E562" s="19" t="s">
        <v>13</v>
      </c>
      <c r="F562" s="19" t="s">
        <v>14</v>
      </c>
      <c r="G562" s="990" t="s">
        <v>15</v>
      </c>
      <c r="H562" s="991"/>
      <c r="I562" s="19" t="s">
        <v>59</v>
      </c>
      <c r="J562" s="19" t="s">
        <v>60</v>
      </c>
      <c r="K562" s="992" t="s">
        <v>39</v>
      </c>
      <c r="L562" s="993"/>
      <c r="M562" s="25"/>
      <c r="N562" s="186"/>
      <c r="O562" s="2"/>
      <c r="P562" s="27"/>
      <c r="Q562" s="26"/>
      <c r="R562" s="28"/>
    </row>
    <row r="563" spans="1:20" ht="30" customHeight="1" x14ac:dyDescent="0.45">
      <c r="A563" s="38" t="s">
        <v>446</v>
      </c>
      <c r="B563" s="1008" t="s">
        <v>447</v>
      </c>
      <c r="C563" s="1009"/>
      <c r="D563" s="1010"/>
      <c r="E563" s="221">
        <v>4306.5</v>
      </c>
      <c r="F563" s="105" t="s">
        <v>448</v>
      </c>
      <c r="G563" s="348">
        <v>10.7639</v>
      </c>
      <c r="H563" s="349" t="s">
        <v>449</v>
      </c>
      <c r="I563" s="105">
        <v>1.17</v>
      </c>
      <c r="J563" s="308">
        <v>1.2561</v>
      </c>
      <c r="K563" s="200">
        <f>+E563/G563/I563*J563</f>
        <v>429.52965289246754</v>
      </c>
      <c r="L563" s="105" t="s">
        <v>35</v>
      </c>
      <c r="M563" s="25"/>
      <c r="N563" s="186"/>
      <c r="O563" s="2"/>
      <c r="P563" s="27"/>
      <c r="Q563" s="26"/>
      <c r="R563" s="28"/>
    </row>
    <row r="564" spans="1:20" ht="30" customHeight="1" x14ac:dyDescent="0.45">
      <c r="A564" s="38"/>
      <c r="B564" s="1065" t="s">
        <v>450</v>
      </c>
      <c r="C564" s="1065"/>
      <c r="D564" s="1065"/>
      <c r="E564" s="104"/>
      <c r="F564" s="105"/>
      <c r="G564" s="1084"/>
      <c r="H564" s="1085"/>
      <c r="I564" s="105"/>
      <c r="J564" s="106" t="s">
        <v>39</v>
      </c>
      <c r="K564" s="108">
        <f>+K563</f>
        <v>429.52965289246754</v>
      </c>
      <c r="L564" s="105" t="s">
        <v>35</v>
      </c>
      <c r="M564" s="25"/>
      <c r="N564" s="186"/>
      <c r="O564" s="2"/>
      <c r="P564" s="27"/>
      <c r="Q564" s="26"/>
      <c r="R564" s="28"/>
    </row>
    <row r="565" spans="1:20" ht="30" customHeight="1" thickBot="1" x14ac:dyDescent="0.5">
      <c r="A565" s="225"/>
      <c r="B565" s="225"/>
      <c r="C565" s="150"/>
      <c r="D565" s="150"/>
      <c r="E565" s="150"/>
      <c r="F565" s="150"/>
      <c r="G565" s="1025" t="s">
        <v>299</v>
      </c>
      <c r="H565" s="1026"/>
      <c r="I565" s="1027"/>
      <c r="J565" s="226">
        <v>1.1214</v>
      </c>
      <c r="K565" s="227">
        <f>+K564*J565</f>
        <v>481.67455275361306</v>
      </c>
      <c r="L565" s="105" t="s">
        <v>35</v>
      </c>
      <c r="M565" s="25"/>
    </row>
    <row r="566" spans="1:20" ht="30" customHeight="1" thickBot="1" x14ac:dyDescent="0.5">
      <c r="A566" s="999"/>
      <c r="B566" s="1000"/>
      <c r="C566" s="1000"/>
      <c r="D566" s="1000"/>
      <c r="E566" s="1000"/>
      <c r="F566" s="1000"/>
      <c r="G566" s="1000"/>
      <c r="H566" s="1000"/>
      <c r="I566" s="1000"/>
      <c r="J566" s="1000"/>
      <c r="K566" s="1000"/>
      <c r="L566" s="1001"/>
      <c r="M566" s="25"/>
      <c r="N566" s="186"/>
      <c r="O566" s="2"/>
      <c r="P566" s="27"/>
      <c r="Q566" s="26"/>
      <c r="R566" s="28"/>
    </row>
    <row r="567" spans="1:20" ht="30" customHeight="1" x14ac:dyDescent="0.45">
      <c r="A567" s="80" t="s">
        <v>4</v>
      </c>
      <c r="B567" s="80">
        <v>1466</v>
      </c>
      <c r="C567" s="1031" t="s">
        <v>451</v>
      </c>
      <c r="D567" s="1031"/>
      <c r="E567" s="81" t="s">
        <v>7</v>
      </c>
      <c r="F567" s="82" t="s">
        <v>35</v>
      </c>
      <c r="G567" s="83" t="s">
        <v>6</v>
      </c>
      <c r="H567" s="110">
        <v>14215</v>
      </c>
      <c r="I567" s="81" t="s">
        <v>9</v>
      </c>
      <c r="J567" s="1004" t="s">
        <v>444</v>
      </c>
      <c r="K567" s="1004"/>
      <c r="L567" s="1004"/>
      <c r="M567" s="25"/>
      <c r="S567" s="41"/>
      <c r="T567" s="41"/>
    </row>
    <row r="568" spans="1:20" s="18" customFormat="1" ht="30" customHeight="1" x14ac:dyDescent="0.45">
      <c r="A568" s="19"/>
      <c r="B568" s="1005" t="s">
        <v>12</v>
      </c>
      <c r="C568" s="1005"/>
      <c r="D568" s="1005"/>
      <c r="E568" s="19" t="s">
        <v>13</v>
      </c>
      <c r="F568" s="19" t="s">
        <v>14</v>
      </c>
      <c r="G568" s="1006" t="s">
        <v>15</v>
      </c>
      <c r="H568" s="1006"/>
      <c r="I568" s="19" t="s">
        <v>59</v>
      </c>
      <c r="J568" s="19" t="s">
        <v>60</v>
      </c>
      <c r="K568" s="1006" t="s">
        <v>17</v>
      </c>
      <c r="L568" s="1006"/>
      <c r="M568" s="121"/>
      <c r="O568" s="5"/>
    </row>
    <row r="569" spans="1:20" ht="30" customHeight="1" x14ac:dyDescent="0.45">
      <c r="A569" s="38" t="s">
        <v>446</v>
      </c>
      <c r="B569" s="1092" t="s">
        <v>452</v>
      </c>
      <c r="C569" s="1092"/>
      <c r="D569" s="1092"/>
      <c r="E569" s="104">
        <v>6943</v>
      </c>
      <c r="F569" s="105" t="s">
        <v>448</v>
      </c>
      <c r="G569" s="1284">
        <f>1/10.76391</f>
        <v>9.2903043596611279E-2</v>
      </c>
      <c r="H569" s="1284"/>
      <c r="I569" s="105">
        <v>2.35</v>
      </c>
      <c r="J569" s="346">
        <f>+'[1]2023 MILCON Inflation Table'!F13</f>
        <v>1.4090525299662979</v>
      </c>
      <c r="K569" s="108">
        <f>E569*G569/I569*J569</f>
        <v>386.75543831412864</v>
      </c>
      <c r="L569" s="105" t="s">
        <v>35</v>
      </c>
      <c r="M569" s="25"/>
      <c r="S569" s="90"/>
      <c r="T569" s="90"/>
    </row>
    <row r="570" spans="1:20" s="18" customFormat="1" ht="30" customHeight="1" x14ac:dyDescent="0.45">
      <c r="A570" s="47"/>
      <c r="B570" s="1092" t="s">
        <v>453</v>
      </c>
      <c r="C570" s="1092"/>
      <c r="D570" s="1092"/>
      <c r="E570" s="58"/>
      <c r="F570" s="58"/>
      <c r="G570" s="58"/>
      <c r="H570" s="58"/>
      <c r="I570" s="58"/>
      <c r="J570" s="47" t="s">
        <v>39</v>
      </c>
      <c r="K570" s="335">
        <f>+K569</f>
        <v>386.75543831412864</v>
      </c>
      <c r="L570" s="47" t="s">
        <v>35</v>
      </c>
      <c r="M570" s="25"/>
      <c r="O570" s="5"/>
    </row>
    <row r="571" spans="1:20" s="18" customFormat="1" ht="48.75" customHeight="1" x14ac:dyDescent="0.45">
      <c r="A571" s="1406" t="s">
        <v>454</v>
      </c>
      <c r="B571" s="1406"/>
      <c r="C571" s="1406"/>
      <c r="D571" s="1406"/>
      <c r="E571" s="1406"/>
      <c r="F571" s="1406"/>
      <c r="G571" s="1406"/>
      <c r="H571" s="1406"/>
      <c r="I571" s="1406"/>
      <c r="J571" s="305"/>
      <c r="K571" s="305"/>
      <c r="L571" s="305"/>
      <c r="M571" s="25"/>
      <c r="O571" s="5"/>
    </row>
    <row r="572" spans="1:20" ht="30" customHeight="1" thickBot="1" x14ac:dyDescent="0.5">
      <c r="A572" s="225"/>
      <c r="B572" s="225"/>
      <c r="C572" s="150"/>
      <c r="D572" s="150"/>
      <c r="E572" s="150"/>
      <c r="F572" s="150"/>
      <c r="G572" s="1407" t="s">
        <v>299</v>
      </c>
      <c r="H572" s="1407"/>
      <c r="I572" s="1407"/>
      <c r="J572" s="226">
        <v>1.1214</v>
      </c>
      <c r="K572" s="227">
        <f>+K570*J572</f>
        <v>433.70754852546384</v>
      </c>
      <c r="L572" s="87" t="s">
        <v>35</v>
      </c>
      <c r="M572" s="25"/>
    </row>
    <row r="573" spans="1:20" ht="30" customHeight="1" thickBot="1" x14ac:dyDescent="0.5">
      <c r="A573" s="999"/>
      <c r="B573" s="1000"/>
      <c r="C573" s="1000"/>
      <c r="D573" s="1000"/>
      <c r="E573" s="1000"/>
      <c r="F573" s="1000"/>
      <c r="G573" s="1000"/>
      <c r="H573" s="1000"/>
      <c r="I573" s="1000"/>
      <c r="J573" s="1000"/>
      <c r="K573" s="1000"/>
      <c r="L573" s="1001"/>
      <c r="M573" s="25"/>
    </row>
    <row r="574" spans="1:20" ht="30" customHeight="1" x14ac:dyDescent="0.45">
      <c r="A574" s="9" t="s">
        <v>4</v>
      </c>
      <c r="B574" s="9">
        <v>1467</v>
      </c>
      <c r="C574" s="1138" t="s">
        <v>455</v>
      </c>
      <c r="D574" s="1139"/>
      <c r="E574" s="13" t="s">
        <v>7</v>
      </c>
      <c r="F574" s="14" t="s">
        <v>88</v>
      </c>
      <c r="G574" s="11" t="s">
        <v>148</v>
      </c>
      <c r="H574" s="163">
        <v>1</v>
      </c>
      <c r="I574" s="13" t="s">
        <v>9</v>
      </c>
      <c r="J574" s="985" t="s">
        <v>10</v>
      </c>
      <c r="K574" s="985"/>
      <c r="L574" s="986"/>
      <c r="M574" s="25"/>
    </row>
    <row r="575" spans="1:20" ht="30" customHeight="1" x14ac:dyDescent="0.45">
      <c r="A575" s="19" t="s">
        <v>11</v>
      </c>
      <c r="B575" s="1005" t="s">
        <v>12</v>
      </c>
      <c r="C575" s="1005"/>
      <c r="D575" s="1005"/>
      <c r="E575" s="19" t="s">
        <v>13</v>
      </c>
      <c r="F575" s="19" t="s">
        <v>14</v>
      </c>
      <c r="G575" s="990" t="s">
        <v>15</v>
      </c>
      <c r="H575" s="991"/>
      <c r="I575" s="1068" t="s">
        <v>16</v>
      </c>
      <c r="J575" s="1069"/>
      <c r="K575" s="23" t="s">
        <v>456</v>
      </c>
      <c r="L575" s="19"/>
      <c r="M575" s="25"/>
      <c r="N575" s="26"/>
      <c r="O575" s="2"/>
      <c r="P575" s="27"/>
      <c r="Q575" s="26"/>
      <c r="R575" s="28"/>
    </row>
    <row r="576" spans="1:20" ht="30" customHeight="1" x14ac:dyDescent="0.45">
      <c r="A576" s="105">
        <v>81242</v>
      </c>
      <c r="B576" s="1092" t="s">
        <v>457</v>
      </c>
      <c r="C576" s="1092"/>
      <c r="D576" s="1092"/>
      <c r="E576" s="350">
        <v>132.56</v>
      </c>
      <c r="F576" s="105" t="s">
        <v>113</v>
      </c>
      <c r="G576" s="308">
        <v>98</v>
      </c>
      <c r="H576" s="351" t="s">
        <v>113</v>
      </c>
      <c r="I576" s="1084">
        <f>+'[1]2023 MILCON Inflation Table'!F22</f>
        <v>0.93771935922451721</v>
      </c>
      <c r="J576" s="1085"/>
      <c r="K576" s="104">
        <f>+E576*G576*I576</f>
        <v>12181.799669362597</v>
      </c>
      <c r="L576" s="47" t="s">
        <v>88</v>
      </c>
      <c r="M576" s="25"/>
      <c r="N576" s="26"/>
      <c r="O576" s="2"/>
      <c r="P576" s="27"/>
      <c r="Q576" s="26"/>
      <c r="R576" s="28"/>
    </row>
    <row r="577" spans="1:20" ht="30" customHeight="1" x14ac:dyDescent="0.45">
      <c r="A577" s="105">
        <v>81242</v>
      </c>
      <c r="B577" s="1092" t="s">
        <v>458</v>
      </c>
      <c r="C577" s="1092"/>
      <c r="D577" s="1092"/>
      <c r="E577" s="350">
        <v>69.19</v>
      </c>
      <c r="F577" s="105" t="s">
        <v>113</v>
      </c>
      <c r="G577" s="308">
        <v>98</v>
      </c>
      <c r="H577" s="351" t="s">
        <v>113</v>
      </c>
      <c r="I577" s="1084">
        <f>+I576</f>
        <v>0.93771935922451721</v>
      </c>
      <c r="J577" s="1085"/>
      <c r="K577" s="104">
        <f>+E577*G577*I577</f>
        <v>6358.3186415449454</v>
      </c>
      <c r="L577" s="47" t="s">
        <v>88</v>
      </c>
      <c r="M577" s="121"/>
      <c r="O577" s="2"/>
      <c r="P577" s="27"/>
      <c r="Q577" s="26"/>
      <c r="R577" s="28"/>
    </row>
    <row r="578" spans="1:20" ht="30" customHeight="1" x14ac:dyDescent="0.45">
      <c r="A578" s="47">
        <v>81242</v>
      </c>
      <c r="B578" s="1092" t="s">
        <v>459</v>
      </c>
      <c r="C578" s="1092"/>
      <c r="D578" s="1092"/>
      <c r="E578" s="313">
        <v>2294.42</v>
      </c>
      <c r="F578" s="47" t="s">
        <v>88</v>
      </c>
      <c r="G578" s="222">
        <v>7</v>
      </c>
      <c r="H578" s="352" t="s">
        <v>88</v>
      </c>
      <c r="I578" s="1084">
        <f>+I577</f>
        <v>0.93771935922451721</v>
      </c>
      <c r="J578" s="1085"/>
      <c r="K578" s="104">
        <f>+E578*G578*I578</f>
        <v>15060.654365343418</v>
      </c>
      <c r="L578" s="47" t="s">
        <v>88</v>
      </c>
      <c r="M578" s="84"/>
      <c r="O578" s="2"/>
      <c r="P578" s="27"/>
      <c r="Q578" s="26"/>
      <c r="R578" s="28"/>
    </row>
    <row r="579" spans="1:20" ht="30" customHeight="1" x14ac:dyDescent="0.45">
      <c r="A579" s="47">
        <v>81242</v>
      </c>
      <c r="B579" s="1018" t="s">
        <v>460</v>
      </c>
      <c r="C579" s="1019"/>
      <c r="D579" s="1020"/>
      <c r="E579" s="313">
        <v>12105.67</v>
      </c>
      <c r="F579" s="47" t="s">
        <v>88</v>
      </c>
      <c r="G579" s="222">
        <v>2</v>
      </c>
      <c r="H579" s="353" t="s">
        <v>88</v>
      </c>
      <c r="I579" s="1084">
        <f>+I578</f>
        <v>0.93771935922451721</v>
      </c>
      <c r="J579" s="1085"/>
      <c r="K579" s="104">
        <f>+E579*G579*I579</f>
        <v>22703.442230766923</v>
      </c>
      <c r="L579" s="47" t="s">
        <v>88</v>
      </c>
      <c r="M579" s="25"/>
      <c r="O579" s="2"/>
      <c r="P579" s="27"/>
      <c r="Q579" s="26"/>
      <c r="R579" s="28"/>
    </row>
    <row r="580" spans="1:20" ht="30" customHeight="1" x14ac:dyDescent="0.45">
      <c r="A580" s="47">
        <v>11110</v>
      </c>
      <c r="B580" s="1018" t="s">
        <v>461</v>
      </c>
      <c r="C580" s="1019"/>
      <c r="D580" s="1020"/>
      <c r="E580" s="313">
        <v>149.66</v>
      </c>
      <c r="F580" s="47" t="s">
        <v>8</v>
      </c>
      <c r="G580" s="354">
        <v>13</v>
      </c>
      <c r="H580" s="353" t="s">
        <v>8</v>
      </c>
      <c r="I580" s="1084">
        <f>+I579</f>
        <v>0.93771935922451721</v>
      </c>
      <c r="J580" s="1085"/>
      <c r="K580" s="104">
        <f>+E580*G580*I580</f>
        <v>1824.408030920036</v>
      </c>
      <c r="L580" s="47" t="s">
        <v>88</v>
      </c>
      <c r="M580" s="25"/>
      <c r="O580" s="2"/>
      <c r="P580" s="27"/>
      <c r="Q580" s="26"/>
      <c r="R580" s="28"/>
    </row>
    <row r="581" spans="1:20" ht="30" customHeight="1" x14ac:dyDescent="0.45">
      <c r="A581" s="29"/>
      <c r="B581" s="179"/>
      <c r="C581" s="179"/>
      <c r="D581" s="179"/>
      <c r="E581" s="216"/>
      <c r="F581" s="29"/>
      <c r="G581" s="13"/>
      <c r="H581" s="355"/>
      <c r="I581" s="356"/>
      <c r="J581" s="223" t="s">
        <v>38</v>
      </c>
      <c r="K581" s="185">
        <f>SUM(K576:K580)</f>
        <v>58128.622937937922</v>
      </c>
      <c r="L581" s="47" t="s">
        <v>88</v>
      </c>
      <c r="M581" s="25"/>
      <c r="O581" s="2"/>
      <c r="P581" s="27"/>
      <c r="Q581" s="26"/>
      <c r="R581" s="28"/>
    </row>
    <row r="582" spans="1:20" ht="30" customHeight="1" x14ac:dyDescent="0.45">
      <c r="A582" s="29"/>
      <c r="B582" s="179"/>
      <c r="C582" s="179"/>
      <c r="D582" s="179"/>
      <c r="E582" s="58"/>
      <c r="F582" s="29"/>
      <c r="G582" s="1404"/>
      <c r="H582" s="1405"/>
      <c r="I582" s="1405"/>
      <c r="J582" s="22" t="s">
        <v>39</v>
      </c>
      <c r="K582" s="131">
        <f>+K581</f>
        <v>58128.622937937922</v>
      </c>
      <c r="L582" s="47" t="s">
        <v>88</v>
      </c>
      <c r="M582" s="25"/>
      <c r="O582" s="2"/>
      <c r="P582" s="27"/>
      <c r="Q582" s="26"/>
      <c r="R582" s="28"/>
    </row>
    <row r="583" spans="1:20" ht="44.25" customHeight="1" thickBot="1" x14ac:dyDescent="0.5">
      <c r="A583" s="1104" t="s">
        <v>462</v>
      </c>
      <c r="B583" s="1105"/>
      <c r="C583" s="1105"/>
      <c r="D583" s="1105"/>
      <c r="E583" s="1105"/>
      <c r="F583" s="1105"/>
      <c r="G583" s="1105"/>
      <c r="H583" s="1105"/>
      <c r="I583" s="1105"/>
      <c r="J583" s="1105"/>
      <c r="K583" s="1105"/>
      <c r="L583" s="1106"/>
      <c r="M583" s="25"/>
      <c r="N583" s="26"/>
      <c r="O583" s="2"/>
      <c r="P583" s="27"/>
      <c r="Q583" s="26"/>
      <c r="R583" s="28"/>
    </row>
    <row r="584" spans="1:20" ht="30" customHeight="1" thickBot="1" x14ac:dyDescent="0.5">
      <c r="A584" s="1392"/>
      <c r="B584" s="1393"/>
      <c r="C584" s="1393"/>
      <c r="D584" s="1393"/>
      <c r="E584" s="1393"/>
      <c r="F584" s="1393"/>
      <c r="G584" s="1393"/>
      <c r="H584" s="1393"/>
      <c r="I584" s="1393"/>
      <c r="J584" s="1393"/>
      <c r="K584" s="1393"/>
      <c r="L584" s="1394"/>
      <c r="M584" s="25"/>
      <c r="N584" s="26"/>
      <c r="O584" s="2"/>
      <c r="P584" s="27"/>
      <c r="Q584" s="26"/>
      <c r="R584" s="28"/>
    </row>
    <row r="585" spans="1:20" ht="30" customHeight="1" x14ac:dyDescent="0.45">
      <c r="A585" s="80" t="s">
        <v>4</v>
      </c>
      <c r="B585" s="80">
        <v>1481</v>
      </c>
      <c r="C585" s="1403" t="s">
        <v>463</v>
      </c>
      <c r="D585" s="1403"/>
      <c r="E585" s="81" t="s">
        <v>7</v>
      </c>
      <c r="F585" s="82" t="s">
        <v>88</v>
      </c>
      <c r="G585" s="357" t="s">
        <v>464</v>
      </c>
      <c r="H585" s="358" t="s">
        <v>465</v>
      </c>
      <c r="I585" s="81" t="s">
        <v>9</v>
      </c>
      <c r="J585" s="1004" t="s">
        <v>466</v>
      </c>
      <c r="K585" s="1004"/>
      <c r="L585" s="1004"/>
      <c r="M585" s="25"/>
      <c r="N585" s="26"/>
      <c r="O585" s="2"/>
      <c r="P585" s="27"/>
      <c r="Q585" s="26"/>
      <c r="R585" s="28"/>
    </row>
    <row r="586" spans="1:20" ht="30" customHeight="1" x14ac:dyDescent="0.45">
      <c r="A586" s="19"/>
      <c r="B586" s="1007" t="s">
        <v>409</v>
      </c>
      <c r="C586" s="1007"/>
      <c r="D586" s="1007"/>
      <c r="E586" s="19" t="s">
        <v>13</v>
      </c>
      <c r="F586" s="19" t="s">
        <v>14</v>
      </c>
      <c r="G586" s="1006" t="s">
        <v>15</v>
      </c>
      <c r="H586" s="1006"/>
      <c r="I586" s="19" t="s">
        <v>59</v>
      </c>
      <c r="J586" s="19" t="s">
        <v>60</v>
      </c>
      <c r="K586" s="1006" t="s">
        <v>39</v>
      </c>
      <c r="L586" s="1006"/>
      <c r="M586" s="84"/>
      <c r="N586" s="359"/>
      <c r="O586" s="2"/>
      <c r="P586" s="27"/>
      <c r="Q586" s="26"/>
      <c r="R586" s="28"/>
    </row>
    <row r="587" spans="1:20" ht="30" customHeight="1" thickBot="1" x14ac:dyDescent="0.5">
      <c r="A587" s="65"/>
      <c r="B587" s="1388">
        <v>227063.37489937618</v>
      </c>
      <c r="C587" s="1388"/>
      <c r="D587" s="1388"/>
      <c r="E587" s="86"/>
      <c r="F587" s="87"/>
      <c r="G587" s="1025" t="s">
        <v>299</v>
      </c>
      <c r="H587" s="1026"/>
      <c r="I587" s="1027"/>
      <c r="J587" s="226">
        <v>1.1214</v>
      </c>
      <c r="K587" s="89">
        <f>B587*J587</f>
        <v>254628.86861216044</v>
      </c>
      <c r="L587" s="87" t="s">
        <v>88</v>
      </c>
      <c r="M587" s="25"/>
      <c r="N587" s="26"/>
      <c r="O587" s="2"/>
      <c r="P587" s="27"/>
      <c r="Q587" s="26"/>
      <c r="R587" s="28"/>
    </row>
    <row r="588" spans="1:20" ht="30" customHeight="1" thickBot="1" x14ac:dyDescent="0.5">
      <c r="A588" s="999"/>
      <c r="B588" s="1000"/>
      <c r="C588" s="1000"/>
      <c r="D588" s="1000"/>
      <c r="E588" s="1000"/>
      <c r="F588" s="1000"/>
      <c r="G588" s="1000"/>
      <c r="H588" s="1000"/>
      <c r="I588" s="1000"/>
      <c r="J588" s="1000"/>
      <c r="K588" s="1000"/>
      <c r="L588" s="1001"/>
      <c r="M588" s="25"/>
      <c r="S588" s="41"/>
      <c r="T588" s="41"/>
    </row>
    <row r="589" spans="1:20" ht="30" customHeight="1" x14ac:dyDescent="0.45">
      <c r="A589" s="9" t="s">
        <v>4</v>
      </c>
      <c r="B589" s="10">
        <v>1491</v>
      </c>
      <c r="C589" s="1401" t="s">
        <v>467</v>
      </c>
      <c r="D589" s="1402"/>
      <c r="E589" s="13" t="s">
        <v>7</v>
      </c>
      <c r="F589" s="14" t="s">
        <v>88</v>
      </c>
      <c r="G589" s="173" t="s">
        <v>464</v>
      </c>
      <c r="H589" s="360" t="s">
        <v>465</v>
      </c>
      <c r="I589" s="13" t="s">
        <v>9</v>
      </c>
      <c r="J589" s="985" t="s">
        <v>292</v>
      </c>
      <c r="K589" s="985"/>
      <c r="L589" s="986"/>
      <c r="M589" s="25"/>
      <c r="S589" s="90"/>
      <c r="T589" s="90"/>
    </row>
    <row r="590" spans="1:20" s="18" customFormat="1" ht="30" customHeight="1" x14ac:dyDescent="0.45">
      <c r="A590" s="85" t="s">
        <v>277</v>
      </c>
      <c r="B590" s="987" t="s">
        <v>293</v>
      </c>
      <c r="C590" s="988"/>
      <c r="D590" s="989"/>
      <c r="E590" s="220" t="s">
        <v>13</v>
      </c>
      <c r="F590" s="220" t="s">
        <v>14</v>
      </c>
      <c r="G590" s="990" t="s">
        <v>15</v>
      </c>
      <c r="H590" s="991"/>
      <c r="I590" s="277" t="s">
        <v>278</v>
      </c>
      <c r="J590" s="277"/>
      <c r="K590" s="992" t="s">
        <v>17</v>
      </c>
      <c r="L590" s="993"/>
      <c r="M590" s="25"/>
      <c r="N590" s="229"/>
      <c r="O590" s="5"/>
    </row>
    <row r="591" spans="1:20" s="18" customFormat="1" ht="30" customHeight="1" x14ac:dyDescent="0.45">
      <c r="A591" s="47" t="s">
        <v>468</v>
      </c>
      <c r="B591" s="1018" t="s">
        <v>469</v>
      </c>
      <c r="C591" s="1019"/>
      <c r="D591" s="1020"/>
      <c r="E591" s="221">
        <v>164</v>
      </c>
      <c r="F591" s="47" t="s">
        <v>35</v>
      </c>
      <c r="G591" s="361">
        <v>5000</v>
      </c>
      <c r="H591" s="199" t="s">
        <v>296</v>
      </c>
      <c r="I591" s="47">
        <v>1.1599999999999999</v>
      </c>
      <c r="J591" s="47"/>
      <c r="K591" s="221">
        <f>+E591*G591*I591</f>
        <v>951199.99999999988</v>
      </c>
      <c r="L591" s="47" t="s">
        <v>88</v>
      </c>
      <c r="M591" s="25"/>
      <c r="N591" s="229"/>
      <c r="O591" s="5"/>
    </row>
    <row r="592" spans="1:20" s="18" customFormat="1" ht="30" customHeight="1" x14ac:dyDescent="0.45">
      <c r="A592" s="47" t="s">
        <v>470</v>
      </c>
      <c r="B592" s="1008" t="s">
        <v>471</v>
      </c>
      <c r="C592" s="1009"/>
      <c r="D592" s="1010"/>
      <c r="E592" s="221">
        <v>107000</v>
      </c>
      <c r="F592" s="47" t="s">
        <v>88</v>
      </c>
      <c r="G592" s="42"/>
      <c r="H592" s="199"/>
      <c r="I592" s="47">
        <v>1.04</v>
      </c>
      <c r="J592" s="47"/>
      <c r="K592" s="221">
        <f>+E592*I592</f>
        <v>111280</v>
      </c>
      <c r="L592" s="47" t="s">
        <v>88</v>
      </c>
      <c r="M592" s="25"/>
      <c r="N592" s="229"/>
      <c r="O592" s="5"/>
    </row>
    <row r="593" spans="1:18" s="18" customFormat="1" ht="30" customHeight="1" x14ac:dyDescent="0.45">
      <c r="A593" s="47" t="s">
        <v>470</v>
      </c>
      <c r="B593" s="1018" t="s">
        <v>472</v>
      </c>
      <c r="C593" s="1019"/>
      <c r="D593" s="1020"/>
      <c r="E593" s="221">
        <f>(27.25+55)/2</f>
        <v>41.125</v>
      </c>
      <c r="F593" s="47" t="s">
        <v>113</v>
      </c>
      <c r="G593" s="42">
        <v>100</v>
      </c>
      <c r="H593" s="199" t="s">
        <v>473</v>
      </c>
      <c r="I593" s="47">
        <v>1.04</v>
      </c>
      <c r="J593" s="47"/>
      <c r="K593" s="221">
        <f>E593*G593*I593</f>
        <v>4277</v>
      </c>
      <c r="L593" s="47"/>
      <c r="M593" s="25"/>
      <c r="N593" s="229"/>
      <c r="O593" s="5"/>
    </row>
    <row r="594" spans="1:18" s="18" customFormat="1" ht="30" customHeight="1" x14ac:dyDescent="0.45">
      <c r="A594" s="47" t="s">
        <v>358</v>
      </c>
      <c r="B594" s="1008" t="s">
        <v>474</v>
      </c>
      <c r="C594" s="1009"/>
      <c r="D594" s="1010"/>
      <c r="E594" s="221">
        <v>4.9000000000000004</v>
      </c>
      <c r="F594" s="47" t="s">
        <v>35</v>
      </c>
      <c r="G594" s="362">
        <v>5000</v>
      </c>
      <c r="H594" s="199" t="s">
        <v>296</v>
      </c>
      <c r="I594" s="47">
        <v>1.1599999999999999</v>
      </c>
      <c r="J594" s="47"/>
      <c r="K594" s="221">
        <f>+E594*G594*I594</f>
        <v>28419.999999999996</v>
      </c>
      <c r="L594" s="47" t="s">
        <v>88</v>
      </c>
      <c r="M594" s="25"/>
      <c r="N594" s="5"/>
      <c r="O594" s="5"/>
    </row>
    <row r="595" spans="1:18" ht="30" customHeight="1" x14ac:dyDescent="0.45">
      <c r="A595" s="47"/>
      <c r="E595" s="221"/>
      <c r="F595" s="47"/>
      <c r="G595" s="47"/>
      <c r="H595" s="47"/>
      <c r="I595" s="47"/>
      <c r="J595" s="47" t="s">
        <v>360</v>
      </c>
      <c r="K595" s="221">
        <f>SUM(K591:K594)</f>
        <v>1095177</v>
      </c>
      <c r="L595" s="47" t="s">
        <v>88</v>
      </c>
      <c r="M595" s="25"/>
    </row>
    <row r="596" spans="1:18" ht="30" customHeight="1" x14ac:dyDescent="0.45">
      <c r="A596" s="47"/>
      <c r="B596" s="1279"/>
      <c r="C596" s="1280"/>
      <c r="D596" s="1281"/>
      <c r="E596" s="221"/>
      <c r="F596" s="1011" t="s">
        <v>285</v>
      </c>
      <c r="G596" s="1013" t="s">
        <v>286</v>
      </c>
      <c r="H596" s="1013"/>
      <c r="I596" s="1013"/>
      <c r="J596" s="1013"/>
      <c r="K596" s="202">
        <v>1.05</v>
      </c>
      <c r="L596" s="47"/>
      <c r="M596" s="25"/>
    </row>
    <row r="597" spans="1:18" ht="30" customHeight="1" x14ac:dyDescent="0.45">
      <c r="A597" s="47"/>
      <c r="B597" s="1282" t="s">
        <v>475</v>
      </c>
      <c r="C597" s="1282"/>
      <c r="D597" s="1282"/>
      <c r="E597" s="221"/>
      <c r="F597" s="1012"/>
      <c r="G597" s="1014" t="s">
        <v>298</v>
      </c>
      <c r="H597" s="1014"/>
      <c r="I597" s="1014"/>
      <c r="J597" s="1014"/>
      <c r="K597" s="278">
        <v>1.06</v>
      </c>
      <c r="L597" s="47"/>
      <c r="M597" s="25"/>
      <c r="N597" s="363"/>
      <c r="O597" s="363"/>
      <c r="P597" s="27"/>
      <c r="Q597" s="26"/>
      <c r="R597" s="28"/>
    </row>
    <row r="598" spans="1:18" ht="30" customHeight="1" x14ac:dyDescent="0.45">
      <c r="A598" s="47"/>
      <c r="B598" s="47"/>
      <c r="C598" s="58"/>
      <c r="D598" s="58"/>
      <c r="E598" s="58"/>
      <c r="F598" s="58"/>
      <c r="G598" s="58"/>
      <c r="H598" s="58"/>
      <c r="I598" s="58"/>
      <c r="J598" s="58" t="s">
        <v>39</v>
      </c>
      <c r="K598" s="216">
        <f>+K595*K596/K597</f>
        <v>1084845.141509434</v>
      </c>
      <c r="L598" s="47" t="s">
        <v>88</v>
      </c>
      <c r="M598" s="25"/>
      <c r="N598" s="364"/>
      <c r="O598" s="364"/>
      <c r="P598" s="27"/>
      <c r="Q598" s="26"/>
      <c r="R598" s="28"/>
    </row>
    <row r="599" spans="1:18" ht="30" customHeight="1" x14ac:dyDescent="0.45">
      <c r="A599" s="47"/>
      <c r="B599" s="47"/>
      <c r="C599" s="58"/>
      <c r="D599" s="58"/>
      <c r="E599" s="58"/>
      <c r="F599" s="58"/>
      <c r="G599" s="1021" t="s">
        <v>288</v>
      </c>
      <c r="H599" s="1022"/>
      <c r="I599" s="1023"/>
      <c r="J599" s="213">
        <f>VLOOKUP(B589,'[1]Mil Cost Premiums for PUCs'!$A$4:$R$278,18,FALSE)</f>
        <v>1.2281354183505979</v>
      </c>
      <c r="K599" s="216">
        <f>+K598*J599</f>
        <v>1332336.7417133022</v>
      </c>
      <c r="L599" s="47" t="s">
        <v>88</v>
      </c>
      <c r="M599" s="25"/>
      <c r="N599" s="26"/>
      <c r="O599" s="2"/>
      <c r="P599" s="27"/>
      <c r="Q599" s="26"/>
      <c r="R599" s="28"/>
    </row>
    <row r="600" spans="1:18" ht="30" customHeight="1" thickBot="1" x14ac:dyDescent="0.5">
      <c r="A600" s="225"/>
      <c r="B600" s="225"/>
      <c r="C600" s="150"/>
      <c r="D600" s="150"/>
      <c r="E600" s="150"/>
      <c r="F600" s="150"/>
      <c r="G600" s="1025" t="s">
        <v>299</v>
      </c>
      <c r="H600" s="1026"/>
      <c r="I600" s="1027"/>
      <c r="J600" s="226">
        <v>1.1214</v>
      </c>
      <c r="K600" s="227">
        <f>+K599*J600</f>
        <v>1494082.4221572971</v>
      </c>
      <c r="L600" s="47" t="s">
        <v>88</v>
      </c>
      <c r="M600" s="25"/>
    </row>
    <row r="601" spans="1:18" ht="30" customHeight="1" thickBot="1" x14ac:dyDescent="0.5">
      <c r="A601" s="999"/>
      <c r="B601" s="1000"/>
      <c r="C601" s="1000"/>
      <c r="D601" s="1000"/>
      <c r="E601" s="1000"/>
      <c r="F601" s="1000"/>
      <c r="G601" s="1000"/>
      <c r="H601" s="1000"/>
      <c r="I601" s="1000"/>
      <c r="J601" s="1000"/>
      <c r="K601" s="1000"/>
      <c r="L601" s="1001"/>
      <c r="M601" s="25"/>
      <c r="N601" s="26"/>
      <c r="O601" s="2"/>
      <c r="P601" s="27"/>
      <c r="Q601" s="26"/>
      <c r="R601" s="28"/>
    </row>
    <row r="602" spans="1:18" ht="30" customHeight="1" x14ac:dyDescent="0.45">
      <c r="A602" s="9" t="s">
        <v>4</v>
      </c>
      <c r="B602" s="10">
        <v>1493</v>
      </c>
      <c r="C602" s="983" t="s">
        <v>476</v>
      </c>
      <c r="D602" s="984"/>
      <c r="E602" s="13" t="s">
        <v>7</v>
      </c>
      <c r="F602" s="14" t="s">
        <v>88</v>
      </c>
      <c r="G602" s="173" t="s">
        <v>148</v>
      </c>
      <c r="H602" s="155">
        <v>1</v>
      </c>
      <c r="I602" s="13" t="s">
        <v>9</v>
      </c>
      <c r="J602" s="985" t="s">
        <v>292</v>
      </c>
      <c r="K602" s="985"/>
      <c r="L602" s="986"/>
      <c r="M602" s="121"/>
      <c r="N602" s="26"/>
      <c r="O602" s="2"/>
      <c r="P602" s="27"/>
      <c r="Q602" s="26"/>
      <c r="R602" s="28"/>
    </row>
    <row r="603" spans="1:18" ht="30" customHeight="1" x14ac:dyDescent="0.45">
      <c r="A603" s="85" t="s">
        <v>277</v>
      </c>
      <c r="B603" s="987" t="s">
        <v>293</v>
      </c>
      <c r="C603" s="988"/>
      <c r="D603" s="989"/>
      <c r="E603" s="220" t="s">
        <v>13</v>
      </c>
      <c r="F603" s="220" t="s">
        <v>14</v>
      </c>
      <c r="G603" s="990" t="s">
        <v>15</v>
      </c>
      <c r="H603" s="991"/>
      <c r="I603" s="277" t="s">
        <v>278</v>
      </c>
      <c r="J603" s="277"/>
      <c r="K603" s="992" t="s">
        <v>17</v>
      </c>
      <c r="L603" s="993"/>
      <c r="M603" s="25"/>
      <c r="N603" s="279"/>
      <c r="O603" s="2"/>
      <c r="P603" s="27"/>
      <c r="Q603" s="26"/>
      <c r="R603" s="28"/>
    </row>
    <row r="604" spans="1:18" ht="30" customHeight="1" x14ac:dyDescent="0.45">
      <c r="A604" s="47" t="s">
        <v>477</v>
      </c>
      <c r="B604" s="1018" t="s">
        <v>478</v>
      </c>
      <c r="C604" s="1019"/>
      <c r="D604" s="1020"/>
      <c r="E604" s="221">
        <v>23.65</v>
      </c>
      <c r="F604" s="47" t="s">
        <v>35</v>
      </c>
      <c r="G604" s="361">
        <v>1250</v>
      </c>
      <c r="H604" s="199" t="s">
        <v>479</v>
      </c>
      <c r="I604" s="365">
        <v>1.1599999999999999</v>
      </c>
      <c r="J604" s="47"/>
      <c r="K604" s="221">
        <f>+E604*I604*G604*4</f>
        <v>137170</v>
      </c>
      <c r="L604" s="47" t="s">
        <v>88</v>
      </c>
      <c r="M604" s="25"/>
      <c r="N604" s="279"/>
      <c r="O604" s="2"/>
      <c r="P604" s="27"/>
      <c r="Q604" s="26"/>
      <c r="R604" s="28"/>
    </row>
    <row r="605" spans="1:18" ht="30" customHeight="1" x14ac:dyDescent="0.45">
      <c r="A605" s="47" t="s">
        <v>480</v>
      </c>
      <c r="B605" s="1008" t="s">
        <v>481</v>
      </c>
      <c r="C605" s="1009"/>
      <c r="D605" s="1010"/>
      <c r="E605" s="221">
        <f>+(151+180)/2</f>
        <v>165.5</v>
      </c>
      <c r="F605" s="47" t="s">
        <v>113</v>
      </c>
      <c r="G605" s="361">
        <v>1000</v>
      </c>
      <c r="H605" s="199" t="s">
        <v>482</v>
      </c>
      <c r="I605" s="47">
        <v>1.23</v>
      </c>
      <c r="J605" s="47"/>
      <c r="K605" s="221">
        <f>+E605*I605*G605</f>
        <v>203565</v>
      </c>
      <c r="L605" s="47" t="s">
        <v>88</v>
      </c>
      <c r="M605" s="25"/>
      <c r="N605" s="279"/>
      <c r="O605" s="2"/>
      <c r="P605" s="27"/>
      <c r="Q605" s="26"/>
      <c r="R605" s="28"/>
    </row>
    <row r="606" spans="1:18" ht="30" customHeight="1" x14ac:dyDescent="0.45">
      <c r="A606" s="47" t="s">
        <v>480</v>
      </c>
      <c r="B606" s="1008" t="s">
        <v>483</v>
      </c>
      <c r="C606" s="1009"/>
      <c r="D606" s="1010"/>
      <c r="E606" s="221">
        <f>+(47500+58250)/2</f>
        <v>52875</v>
      </c>
      <c r="F606" s="47" t="s">
        <v>88</v>
      </c>
      <c r="G606" s="361">
        <v>2</v>
      </c>
      <c r="H606" s="199" t="s">
        <v>119</v>
      </c>
      <c r="I606" s="47">
        <v>1.23</v>
      </c>
      <c r="J606" s="47"/>
      <c r="K606" s="221">
        <f>+E606*I606*G606</f>
        <v>130072.5</v>
      </c>
      <c r="L606" s="47" t="s">
        <v>88</v>
      </c>
      <c r="M606" s="25"/>
      <c r="N606" s="26"/>
      <c r="O606" s="2"/>
      <c r="P606" s="27"/>
      <c r="Q606" s="26"/>
      <c r="R606" s="28"/>
    </row>
    <row r="607" spans="1:18" ht="30" customHeight="1" x14ac:dyDescent="0.45">
      <c r="A607" s="47" t="s">
        <v>484</v>
      </c>
      <c r="B607" s="1018" t="s">
        <v>485</v>
      </c>
      <c r="C607" s="1019"/>
      <c r="D607" s="1020"/>
      <c r="E607" s="221">
        <v>20.25</v>
      </c>
      <c r="F607" s="47" t="s">
        <v>113</v>
      </c>
      <c r="G607" s="361">
        <v>6000</v>
      </c>
      <c r="H607" s="199" t="s">
        <v>479</v>
      </c>
      <c r="I607" s="47">
        <v>1.1200000000000001</v>
      </c>
      <c r="J607" s="47"/>
      <c r="K607" s="221">
        <f>+E607*I607*G607</f>
        <v>136080.00000000003</v>
      </c>
      <c r="L607" s="47" t="s">
        <v>88</v>
      </c>
      <c r="M607" s="121"/>
      <c r="N607" s="26"/>
      <c r="O607" s="2"/>
      <c r="P607" s="27"/>
      <c r="Q607" s="26"/>
      <c r="R607" s="28"/>
    </row>
    <row r="608" spans="1:18" ht="30" customHeight="1" x14ac:dyDescent="0.45">
      <c r="A608" s="47" t="s">
        <v>486</v>
      </c>
      <c r="B608" s="1181" t="s">
        <v>487</v>
      </c>
      <c r="C608" s="1182"/>
      <c r="D608" s="1183"/>
      <c r="E608" s="221">
        <f>(5.52+7.75)/2</f>
        <v>6.6349999999999998</v>
      </c>
      <c r="F608" s="47" t="s">
        <v>29</v>
      </c>
      <c r="G608" s="361">
        <v>3216</v>
      </c>
      <c r="H608" s="199" t="s">
        <v>488</v>
      </c>
      <c r="I608" s="47">
        <v>1.1200000000000001</v>
      </c>
      <c r="J608" s="47"/>
      <c r="K608" s="221">
        <f>E608*I608*G608/9</f>
        <v>2655.4154666666668</v>
      </c>
      <c r="L608" s="47" t="s">
        <v>88</v>
      </c>
      <c r="M608" s="25"/>
      <c r="N608" s="26"/>
      <c r="O608" s="2"/>
      <c r="P608" s="27"/>
      <c r="Q608" s="26"/>
      <c r="R608" s="28"/>
    </row>
    <row r="609" spans="1:20" ht="30" customHeight="1" x14ac:dyDescent="0.45">
      <c r="A609" s="47"/>
      <c r="B609" s="366"/>
      <c r="C609" s="367"/>
      <c r="D609" s="368"/>
      <c r="E609" s="221"/>
      <c r="F609" s="47"/>
      <c r="G609" s="1018"/>
      <c r="H609" s="1020"/>
      <c r="I609" s="47"/>
      <c r="J609" s="47" t="s">
        <v>360</v>
      </c>
      <c r="K609" s="221">
        <f>SUM(K605:K608)</f>
        <v>472372.91546666669</v>
      </c>
      <c r="L609" s="47" t="s">
        <v>88</v>
      </c>
      <c r="M609" s="25"/>
      <c r="N609" s="359"/>
      <c r="O609" s="2"/>
      <c r="P609" s="27"/>
      <c r="Q609" s="26"/>
      <c r="R609" s="28"/>
    </row>
    <row r="610" spans="1:20" ht="30" customHeight="1" x14ac:dyDescent="0.45">
      <c r="A610" s="47"/>
      <c r="B610" s="1018"/>
      <c r="C610" s="1019"/>
      <c r="D610" s="1020"/>
      <c r="E610" s="221"/>
      <c r="F610" s="1011" t="s">
        <v>285</v>
      </c>
      <c r="G610" s="1013" t="s">
        <v>286</v>
      </c>
      <c r="H610" s="1013"/>
      <c r="I610" s="1013"/>
      <c r="J610" s="1013"/>
      <c r="K610" s="202">
        <v>1.03</v>
      </c>
      <c r="L610" s="47"/>
      <c r="M610" s="25"/>
      <c r="N610" s="26"/>
      <c r="O610" s="2"/>
      <c r="P610" s="27"/>
      <c r="Q610" s="26"/>
      <c r="R610" s="28"/>
    </row>
    <row r="611" spans="1:20" ht="30" customHeight="1" x14ac:dyDescent="0.45">
      <c r="A611" s="47"/>
      <c r="B611" s="224"/>
      <c r="C611" s="224"/>
      <c r="D611" s="224"/>
      <c r="E611" s="221"/>
      <c r="F611" s="1012"/>
      <c r="G611" s="1014" t="s">
        <v>298</v>
      </c>
      <c r="H611" s="1014"/>
      <c r="I611" s="1014"/>
      <c r="J611" s="1014"/>
      <c r="K611" s="278">
        <v>1.06</v>
      </c>
      <c r="L611" s="47"/>
      <c r="M611" s="25"/>
      <c r="N611" s="26"/>
      <c r="O611" s="2"/>
      <c r="P611" s="27"/>
      <c r="Q611" s="26"/>
      <c r="R611" s="28"/>
    </row>
    <row r="612" spans="1:20" ht="30" customHeight="1" x14ac:dyDescent="0.45">
      <c r="A612" s="47"/>
      <c r="B612" s="47"/>
      <c r="C612" s="58"/>
      <c r="D612" s="58"/>
      <c r="E612" s="58"/>
      <c r="F612" s="58"/>
      <c r="G612" s="58"/>
      <c r="H612" s="58"/>
      <c r="I612" s="58"/>
      <c r="J612" s="47" t="s">
        <v>39</v>
      </c>
      <c r="K612" s="216">
        <f>+K609*K610/K611</f>
        <v>459003.87068930821</v>
      </c>
      <c r="L612" s="47" t="s">
        <v>88</v>
      </c>
      <c r="M612" s="25"/>
      <c r="N612" s="5"/>
      <c r="O612" s="131"/>
      <c r="P612" s="27"/>
      <c r="Q612" s="26"/>
      <c r="R612" s="28"/>
    </row>
    <row r="613" spans="1:20" ht="30" customHeight="1" x14ac:dyDescent="0.45">
      <c r="A613" s="47"/>
      <c r="B613" s="47"/>
      <c r="C613" s="58"/>
      <c r="D613" s="58"/>
      <c r="E613" s="58"/>
      <c r="F613" s="58"/>
      <c r="G613" s="1021" t="s">
        <v>288</v>
      </c>
      <c r="H613" s="1022"/>
      <c r="I613" s="1023"/>
      <c r="J613" s="213">
        <f>VLOOKUP(B602,'[1]Mil Cost Premiums for PUCs'!$A$4:$R$278,18,FALSE)</f>
        <v>1.1199953840399997</v>
      </c>
      <c r="K613" s="216">
        <f>+K612*J613</f>
        <v>514082.21642851812</v>
      </c>
      <c r="L613" s="47" t="s">
        <v>88</v>
      </c>
      <c r="M613" s="25"/>
      <c r="N613" s="5"/>
      <c r="O613" s="2"/>
      <c r="P613" s="27"/>
      <c r="Q613" s="26"/>
      <c r="R613" s="28"/>
    </row>
    <row r="614" spans="1:20" ht="30" customHeight="1" thickBot="1" x14ac:dyDescent="0.5">
      <c r="A614" s="225"/>
      <c r="B614" s="225"/>
      <c r="C614" s="150"/>
      <c r="D614" s="150"/>
      <c r="E614" s="150"/>
      <c r="F614" s="150"/>
      <c r="G614" s="1025" t="s">
        <v>299</v>
      </c>
      <c r="H614" s="1026"/>
      <c r="I614" s="1027"/>
      <c r="J614" s="226">
        <v>1.1214</v>
      </c>
      <c r="K614" s="227">
        <f>+K613*J614</f>
        <v>576491.79750294017</v>
      </c>
      <c r="L614" s="47" t="s">
        <v>88</v>
      </c>
      <c r="M614" s="25"/>
    </row>
    <row r="615" spans="1:20" ht="30" customHeight="1" thickBot="1" x14ac:dyDescent="0.5">
      <c r="A615" s="999"/>
      <c r="B615" s="1000"/>
      <c r="C615" s="1000"/>
      <c r="D615" s="1000"/>
      <c r="E615" s="1000"/>
      <c r="F615" s="1000"/>
      <c r="G615" s="1000"/>
      <c r="H615" s="1000"/>
      <c r="I615" s="1000"/>
      <c r="J615" s="1000"/>
      <c r="K615" s="1000"/>
      <c r="L615" s="1001"/>
      <c r="M615" s="25"/>
      <c r="N615" s="26"/>
      <c r="O615" s="2"/>
      <c r="P615" s="27"/>
      <c r="Q615" s="26"/>
      <c r="R615" s="28"/>
    </row>
    <row r="616" spans="1:20" ht="30" customHeight="1" x14ac:dyDescent="0.45">
      <c r="A616" s="9" t="s">
        <v>4</v>
      </c>
      <c r="B616" s="10">
        <v>1494</v>
      </c>
      <c r="C616" s="1138" t="s">
        <v>489</v>
      </c>
      <c r="D616" s="1139"/>
      <c r="E616" s="13" t="s">
        <v>7</v>
      </c>
      <c r="F616" s="14" t="s">
        <v>88</v>
      </c>
      <c r="G616" s="173" t="s">
        <v>148</v>
      </c>
      <c r="H616" s="155">
        <v>1</v>
      </c>
      <c r="I616" s="13" t="s">
        <v>9</v>
      </c>
      <c r="J616" s="985" t="s">
        <v>10</v>
      </c>
      <c r="K616" s="985"/>
      <c r="L616" s="986"/>
      <c r="M616" s="121"/>
      <c r="N616" s="26"/>
      <c r="O616" s="2"/>
      <c r="P616" s="27"/>
      <c r="Q616" s="26"/>
      <c r="R616" s="28"/>
    </row>
    <row r="617" spans="1:20" ht="30" customHeight="1" x14ac:dyDescent="0.45">
      <c r="A617" s="19" t="s">
        <v>11</v>
      </c>
      <c r="B617" s="1005" t="s">
        <v>12</v>
      </c>
      <c r="C617" s="1005"/>
      <c r="D617" s="1005"/>
      <c r="E617" s="20" t="s">
        <v>13</v>
      </c>
      <c r="F617" s="369" t="s">
        <v>79</v>
      </c>
      <c r="G617" s="1114" t="s">
        <v>15</v>
      </c>
      <c r="H617" s="1115"/>
      <c r="I617" s="1068" t="s">
        <v>490</v>
      </c>
      <c r="J617" s="1069"/>
      <c r="K617" s="992" t="s">
        <v>17</v>
      </c>
      <c r="L617" s="993"/>
      <c r="M617" s="25"/>
      <c r="N617" s="5"/>
      <c r="O617" s="2"/>
      <c r="P617" s="27"/>
      <c r="Q617" s="26"/>
      <c r="R617" s="28"/>
    </row>
    <row r="618" spans="1:20" ht="30" customHeight="1" x14ac:dyDescent="0.45">
      <c r="A618" s="47">
        <v>93410</v>
      </c>
      <c r="B618" s="1018" t="s">
        <v>491</v>
      </c>
      <c r="C618" s="1019"/>
      <c r="D618" s="1020"/>
      <c r="E618" s="221">
        <v>11.04</v>
      </c>
      <c r="F618" s="47" t="s">
        <v>29</v>
      </c>
      <c r="G618" s="29">
        <v>3</v>
      </c>
      <c r="H618" s="29" t="s">
        <v>492</v>
      </c>
      <c r="I618" s="1084">
        <f>+'[1]2023 MILCON Inflation Table'!F22</f>
        <v>0.93771935922451721</v>
      </c>
      <c r="J618" s="1085"/>
      <c r="K618" s="335">
        <f>+E618/G618*I618</f>
        <v>3.4508072419462232</v>
      </c>
      <c r="L618" s="29" t="s">
        <v>8</v>
      </c>
      <c r="M618" s="25"/>
      <c r="N618" s="5"/>
      <c r="O618" s="2"/>
      <c r="P618" s="27"/>
      <c r="Q618" s="26"/>
      <c r="R618" s="28"/>
    </row>
    <row r="619" spans="1:20" ht="30" customHeight="1" x14ac:dyDescent="0.45">
      <c r="A619" s="47">
        <v>85110</v>
      </c>
      <c r="B619" s="1092" t="s">
        <v>493</v>
      </c>
      <c r="C619" s="1092"/>
      <c r="D619" s="1092"/>
      <c r="E619" s="221">
        <v>18.55</v>
      </c>
      <c r="F619" s="47" t="s">
        <v>8</v>
      </c>
      <c r="G619" s="177"/>
      <c r="H619" s="177"/>
      <c r="I619" s="1084">
        <f>+I618</f>
        <v>0.93771935922451721</v>
      </c>
      <c r="J619" s="1085"/>
      <c r="K619" s="335">
        <f>+E619*I619</f>
        <v>17.394694113614793</v>
      </c>
      <c r="L619" s="29" t="s">
        <v>8</v>
      </c>
      <c r="M619" s="25"/>
      <c r="N619" s="5"/>
      <c r="O619" s="2"/>
      <c r="P619" s="27"/>
      <c r="Q619" s="26"/>
      <c r="R619" s="28"/>
    </row>
    <row r="620" spans="1:20" ht="30" customHeight="1" x14ac:dyDescent="0.45">
      <c r="A620" s="47">
        <v>85110</v>
      </c>
      <c r="B620" s="1018" t="s">
        <v>494</v>
      </c>
      <c r="C620" s="1019"/>
      <c r="D620" s="1020"/>
      <c r="E620" s="221">
        <v>78.5</v>
      </c>
      <c r="F620" s="47" t="s">
        <v>8</v>
      </c>
      <c r="G620" s="177"/>
      <c r="H620" s="177"/>
      <c r="I620" s="1084">
        <f>+I618</f>
        <v>0.93771935922451721</v>
      </c>
      <c r="J620" s="1085"/>
      <c r="K620" s="335">
        <f>+E620*I620</f>
        <v>73.610969699124595</v>
      </c>
      <c r="L620" s="29" t="s">
        <v>8</v>
      </c>
      <c r="M620" s="25"/>
      <c r="N620" s="26"/>
      <c r="O620" s="2"/>
      <c r="P620" s="27"/>
      <c r="Q620" s="26"/>
      <c r="R620" s="28"/>
    </row>
    <row r="621" spans="1:20" ht="30" customHeight="1" x14ac:dyDescent="0.45">
      <c r="A621" s="47"/>
      <c r="B621" s="18"/>
      <c r="C621" s="198"/>
      <c r="D621" s="198"/>
      <c r="E621" s="353"/>
      <c r="F621" s="370"/>
      <c r="G621" s="282"/>
      <c r="H621" s="371"/>
      <c r="I621" s="372"/>
      <c r="J621" s="372" t="s">
        <v>38</v>
      </c>
      <c r="K621" s="335">
        <f>SUM(K618:K620)</f>
        <v>94.456471054685608</v>
      </c>
      <c r="L621" s="29" t="s">
        <v>8</v>
      </c>
      <c r="M621" s="25"/>
      <c r="N621" s="26"/>
      <c r="O621" s="2"/>
      <c r="P621" s="27"/>
      <c r="Q621" s="26"/>
      <c r="R621" s="28"/>
    </row>
    <row r="622" spans="1:20" ht="30" customHeight="1" x14ac:dyDescent="0.45">
      <c r="A622" s="47"/>
      <c r="B622" s="1092" t="s">
        <v>495</v>
      </c>
      <c r="C622" s="1092"/>
      <c r="D622" s="1092"/>
      <c r="E622" s="373">
        <f>(100*69)/9</f>
        <v>766.66666666666663</v>
      </c>
      <c r="F622" s="47" t="s">
        <v>8</v>
      </c>
      <c r="G622" s="282"/>
      <c r="H622" s="371"/>
      <c r="I622" s="374"/>
      <c r="J622" s="374"/>
      <c r="K622" s="335">
        <f>+K621*E622</f>
        <v>72416.627808592297</v>
      </c>
      <c r="L622" s="29" t="s">
        <v>88</v>
      </c>
      <c r="M622" s="25"/>
      <c r="N622" s="26"/>
      <c r="O622" s="2"/>
      <c r="P622" s="27"/>
      <c r="Q622" s="26"/>
      <c r="R622" s="28"/>
    </row>
    <row r="623" spans="1:20" ht="30" customHeight="1" thickBot="1" x14ac:dyDescent="0.5">
      <c r="A623" s="47"/>
      <c r="B623" s="1093" t="s">
        <v>496</v>
      </c>
      <c r="C623" s="1094"/>
      <c r="D623" s="1094"/>
      <c r="E623" s="1094"/>
      <c r="F623" s="191"/>
      <c r="G623" s="191"/>
      <c r="H623" s="192"/>
      <c r="I623" s="58"/>
      <c r="J623" s="85" t="s">
        <v>39</v>
      </c>
      <c r="K623" s="335">
        <f>+K622</f>
        <v>72416.627808592297</v>
      </c>
      <c r="L623" s="29" t="s">
        <v>88</v>
      </c>
      <c r="M623" s="25"/>
      <c r="S623" s="41"/>
      <c r="T623" s="41"/>
    </row>
    <row r="624" spans="1:20" ht="30" customHeight="1" thickBot="1" x14ac:dyDescent="0.5">
      <c r="A624" s="999"/>
      <c r="B624" s="1000"/>
      <c r="C624" s="1000"/>
      <c r="D624" s="1000"/>
      <c r="E624" s="1000"/>
      <c r="F624" s="1000"/>
      <c r="G624" s="1000"/>
      <c r="H624" s="1000"/>
      <c r="I624" s="1000"/>
      <c r="J624" s="1000"/>
      <c r="K624" s="1000"/>
      <c r="L624" s="1001"/>
      <c r="M624" s="2"/>
      <c r="S624" s="90"/>
      <c r="T624" s="90"/>
    </row>
    <row r="625" spans="1:15" s="18" customFormat="1" ht="30" customHeight="1" x14ac:dyDescent="0.45">
      <c r="A625" s="9" t="s">
        <v>4</v>
      </c>
      <c r="B625" s="10">
        <v>1495</v>
      </c>
      <c r="C625" s="983" t="s">
        <v>497</v>
      </c>
      <c r="D625" s="984"/>
      <c r="E625" s="13" t="s">
        <v>7</v>
      </c>
      <c r="F625" s="14" t="s">
        <v>88</v>
      </c>
      <c r="G625" s="161" t="s">
        <v>148</v>
      </c>
      <c r="H625" s="184">
        <v>1</v>
      </c>
      <c r="I625" s="13" t="s">
        <v>9</v>
      </c>
      <c r="J625" s="985" t="s">
        <v>292</v>
      </c>
      <c r="K625" s="985"/>
      <c r="L625" s="986"/>
      <c r="M625" s="121"/>
      <c r="N625" s="229"/>
      <c r="O625" s="5"/>
    </row>
    <row r="626" spans="1:15" ht="30" customHeight="1" x14ac:dyDescent="0.45">
      <c r="A626" s="85" t="s">
        <v>277</v>
      </c>
      <c r="B626" s="987" t="s">
        <v>293</v>
      </c>
      <c r="C626" s="988"/>
      <c r="D626" s="989"/>
      <c r="E626" s="220" t="s">
        <v>13</v>
      </c>
      <c r="F626" s="220" t="s">
        <v>14</v>
      </c>
      <c r="G626" s="990" t="s">
        <v>15</v>
      </c>
      <c r="H626" s="991"/>
      <c r="I626" s="19" t="s">
        <v>278</v>
      </c>
      <c r="J626" s="19"/>
      <c r="K626" s="992" t="s">
        <v>17</v>
      </c>
      <c r="L626" s="993"/>
      <c r="M626" s="25"/>
    </row>
    <row r="627" spans="1:15" ht="30" customHeight="1" x14ac:dyDescent="0.45">
      <c r="A627" s="47" t="s">
        <v>486</v>
      </c>
      <c r="B627" s="1018" t="s">
        <v>498</v>
      </c>
      <c r="C627" s="1019"/>
      <c r="D627" s="1020"/>
      <c r="E627" s="375">
        <v>33.5</v>
      </c>
      <c r="F627" s="56" t="s">
        <v>29</v>
      </c>
      <c r="G627" s="348">
        <v>177</v>
      </c>
      <c r="H627" s="349" t="s">
        <v>499</v>
      </c>
      <c r="I627" s="47">
        <v>1.1200000000000001</v>
      </c>
      <c r="J627" s="47"/>
      <c r="K627" s="376">
        <f>+E627*G627*I627</f>
        <v>6641.0400000000009</v>
      </c>
      <c r="L627" s="56" t="s">
        <v>88</v>
      </c>
      <c r="M627" s="25"/>
    </row>
    <row r="628" spans="1:15" s="377" customFormat="1" ht="30" customHeight="1" x14ac:dyDescent="0.45">
      <c r="A628" s="47" t="s">
        <v>486</v>
      </c>
      <c r="B628" s="1008" t="s">
        <v>500</v>
      </c>
      <c r="C628" s="1009"/>
      <c r="D628" s="1010"/>
      <c r="E628" s="375">
        <v>13.1</v>
      </c>
      <c r="F628" s="56" t="s">
        <v>29</v>
      </c>
      <c r="G628" s="348">
        <v>177</v>
      </c>
      <c r="H628" s="349" t="s">
        <v>499</v>
      </c>
      <c r="I628" s="47">
        <v>1.1200000000000001</v>
      </c>
      <c r="J628" s="47"/>
      <c r="K628" s="376">
        <f>+E628*G628*I628</f>
        <v>2596.944</v>
      </c>
      <c r="L628" s="56" t="s">
        <v>88</v>
      </c>
    </row>
    <row r="629" spans="1:15" s="18" customFormat="1" ht="30" customHeight="1" x14ac:dyDescent="0.45">
      <c r="A629" s="47" t="s">
        <v>486</v>
      </c>
      <c r="B629" s="1008" t="s">
        <v>501</v>
      </c>
      <c r="C629" s="1009"/>
      <c r="D629" s="1010"/>
      <c r="E629" s="378">
        <f>+(92+279)/2</f>
        <v>185.5</v>
      </c>
      <c r="F629" s="56" t="s">
        <v>8</v>
      </c>
      <c r="G629" s="348">
        <v>133</v>
      </c>
      <c r="H629" s="349" t="s">
        <v>502</v>
      </c>
      <c r="I629" s="47">
        <v>1.1200000000000001</v>
      </c>
      <c r="J629" s="47"/>
      <c r="K629" s="376">
        <f>+E629*G629*I629</f>
        <v>27632.080000000002</v>
      </c>
      <c r="L629" s="56" t="s">
        <v>88</v>
      </c>
      <c r="M629" s="25"/>
      <c r="N629" s="229"/>
      <c r="O629" s="5"/>
    </row>
    <row r="630" spans="1:15" s="18" customFormat="1" ht="30" customHeight="1" x14ac:dyDescent="0.45">
      <c r="A630" s="47" t="s">
        <v>486</v>
      </c>
      <c r="B630" s="58" t="s">
        <v>503</v>
      </c>
      <c r="C630" s="218"/>
      <c r="D630" s="219"/>
      <c r="E630" s="378">
        <f>+(0.69+5.12)/2</f>
        <v>2.9050000000000002</v>
      </c>
      <c r="F630" s="56" t="s">
        <v>8</v>
      </c>
      <c r="G630" s="348">
        <v>133</v>
      </c>
      <c r="H630" s="349" t="s">
        <v>502</v>
      </c>
      <c r="I630" s="47">
        <v>1.1200000000000001</v>
      </c>
      <c r="J630" s="47"/>
      <c r="K630" s="376">
        <f>+E630*G630*I630</f>
        <v>432.72880000000004</v>
      </c>
      <c r="L630" s="56" t="s">
        <v>88</v>
      </c>
      <c r="M630" s="25"/>
      <c r="N630" s="229"/>
      <c r="O630" s="5"/>
    </row>
    <row r="631" spans="1:15" s="18" customFormat="1" ht="30" customHeight="1" x14ac:dyDescent="0.45">
      <c r="A631" s="47"/>
      <c r="B631" s="1092" t="s">
        <v>504</v>
      </c>
      <c r="C631" s="1092"/>
      <c r="D631" s="1092"/>
      <c r="E631" s="379"/>
      <c r="F631" s="56"/>
      <c r="G631" s="348"/>
      <c r="H631" s="349"/>
      <c r="I631" s="47"/>
      <c r="J631" s="47"/>
      <c r="K631" s="376"/>
      <c r="L631" s="56"/>
      <c r="M631" s="121"/>
      <c r="N631" s="229"/>
      <c r="O631" s="5"/>
    </row>
    <row r="632" spans="1:15" ht="30" customHeight="1" x14ac:dyDescent="0.45">
      <c r="A632" s="58"/>
      <c r="B632" s="380"/>
      <c r="C632" s="381"/>
      <c r="D632" s="381"/>
      <c r="E632" s="382"/>
      <c r="F632" s="47"/>
      <c r="G632" s="47"/>
      <c r="H632" s="47"/>
      <c r="I632" s="47"/>
      <c r="J632" s="47" t="s">
        <v>360</v>
      </c>
      <c r="K632" s="334">
        <f>SUM(K627:K631)</f>
        <v>37302.792799999996</v>
      </c>
      <c r="L632" s="47" t="s">
        <v>88</v>
      </c>
      <c r="M632" s="25"/>
    </row>
    <row r="633" spans="1:15" ht="30" customHeight="1" x14ac:dyDescent="0.45">
      <c r="A633" s="47"/>
      <c r="B633" s="224"/>
      <c r="C633" s="224"/>
      <c r="D633" s="224"/>
      <c r="E633" s="221"/>
      <c r="F633" s="1011" t="s">
        <v>285</v>
      </c>
      <c r="G633" s="1013" t="s">
        <v>286</v>
      </c>
      <c r="H633" s="1013"/>
      <c r="I633" s="1013"/>
      <c r="J633" s="1013"/>
      <c r="K633" s="202">
        <v>1.06</v>
      </c>
      <c r="L633" s="47"/>
      <c r="M633" s="25"/>
      <c r="O633" s="2"/>
    </row>
    <row r="634" spans="1:15" ht="30" customHeight="1" x14ac:dyDescent="0.45">
      <c r="A634" s="47"/>
      <c r="B634" s="224"/>
      <c r="C634" s="224"/>
      <c r="D634" s="224"/>
      <c r="E634" s="221"/>
      <c r="F634" s="1012"/>
      <c r="G634" s="1014" t="s">
        <v>298</v>
      </c>
      <c r="H634" s="1014"/>
      <c r="I634" s="1014"/>
      <c r="J634" s="1014"/>
      <c r="K634" s="278">
        <v>1.06</v>
      </c>
      <c r="L634" s="47"/>
      <c r="M634" s="25"/>
      <c r="O634" s="2"/>
    </row>
    <row r="635" spans="1:15" ht="30" customHeight="1" x14ac:dyDescent="0.45">
      <c r="A635" s="58"/>
      <c r="B635" s="47"/>
      <c r="C635" s="58"/>
      <c r="D635" s="58"/>
      <c r="E635" s="58"/>
      <c r="F635" s="58"/>
      <c r="G635" s="58"/>
      <c r="H635" s="58"/>
      <c r="I635" s="58"/>
      <c r="J635" s="47" t="s">
        <v>39</v>
      </c>
      <c r="K635" s="383">
        <f>+K632*K633/K634</f>
        <v>37302.792799999996</v>
      </c>
      <c r="L635" s="47" t="s">
        <v>88</v>
      </c>
      <c r="M635" s="25"/>
    </row>
    <row r="636" spans="1:15" ht="30" customHeight="1" x14ac:dyDescent="0.45">
      <c r="A636" s="58"/>
      <c r="B636" s="47"/>
      <c r="C636" s="58"/>
      <c r="D636" s="58"/>
      <c r="E636" s="58"/>
      <c r="F636" s="58"/>
      <c r="G636" s="1021" t="s">
        <v>288</v>
      </c>
      <c r="H636" s="1022"/>
      <c r="I636" s="1023"/>
      <c r="J636" s="213">
        <f>VLOOKUP(B625,'[1]Mil Cost Premiums for PUCs'!$A$4:$R$278,18,FALSE)</f>
        <v>1.0209999999999999</v>
      </c>
      <c r="K636" s="383">
        <f>+K635*J636</f>
        <v>38086.151448799996</v>
      </c>
      <c r="L636" s="47" t="s">
        <v>88</v>
      </c>
      <c r="M636" s="25"/>
      <c r="O636" s="2"/>
    </row>
    <row r="637" spans="1:15" ht="30" customHeight="1" x14ac:dyDescent="0.45">
      <c r="A637" s="225"/>
      <c r="B637" s="225"/>
      <c r="C637" s="150"/>
      <c r="D637" s="150"/>
      <c r="E637" s="150"/>
      <c r="F637" s="150"/>
      <c r="G637" s="1025" t="s">
        <v>299</v>
      </c>
      <c r="H637" s="1026"/>
      <c r="I637" s="1027"/>
      <c r="J637" s="226">
        <v>1.1214</v>
      </c>
      <c r="K637" s="227">
        <f>+K636*J637</f>
        <v>42709.810234684315</v>
      </c>
      <c r="L637" s="47" t="s">
        <v>88</v>
      </c>
      <c r="M637" s="25"/>
    </row>
    <row r="638" spans="1:15" ht="60" customHeight="1" x14ac:dyDescent="0.45">
      <c r="A638" s="1018" t="s">
        <v>366</v>
      </c>
      <c r="B638" s="1019"/>
      <c r="C638" s="1019"/>
      <c r="D638" s="1019"/>
      <c r="E638" s="1019"/>
      <c r="F638" s="1019"/>
      <c r="G638" s="1019"/>
      <c r="H638" s="1019"/>
      <c r="I638" s="1019"/>
      <c r="J638" s="1019"/>
      <c r="K638" s="1019"/>
      <c r="L638" s="1020"/>
      <c r="M638" s="25"/>
      <c r="O638" s="2"/>
    </row>
    <row r="639" spans="1:15" ht="45" customHeight="1" x14ac:dyDescent="0.45">
      <c r="A639" s="1400" t="s">
        <v>367</v>
      </c>
      <c r="B639" s="1338"/>
      <c r="C639" s="1338"/>
      <c r="D639" s="1181" t="s">
        <v>505</v>
      </c>
      <c r="E639" s="1182"/>
      <c r="F639" s="1182"/>
      <c r="G639" s="1182"/>
      <c r="H639" s="1182"/>
      <c r="I639" s="1182"/>
      <c r="J639" s="1182"/>
      <c r="K639" s="1182"/>
      <c r="L639" s="1183"/>
      <c r="M639" s="25"/>
      <c r="O639" s="2"/>
    </row>
    <row r="640" spans="1:15" ht="30" customHeight="1" x14ac:dyDescent="0.45">
      <c r="A640" s="1400" t="s">
        <v>369</v>
      </c>
      <c r="B640" s="1338"/>
      <c r="C640" s="1338"/>
      <c r="D640" s="1331" t="s">
        <v>506</v>
      </c>
      <c r="E640" s="1332"/>
      <c r="F640" s="1332"/>
      <c r="G640" s="1332"/>
      <c r="H640" s="1332"/>
      <c r="I640" s="1332"/>
      <c r="J640" s="1332"/>
      <c r="K640" s="1332"/>
      <c r="L640" s="1333"/>
      <c r="M640" s="121"/>
      <c r="O640" s="2"/>
    </row>
    <row r="641" spans="1:18" ht="30" customHeight="1" x14ac:dyDescent="0.45">
      <c r="A641" s="1400" t="s">
        <v>371</v>
      </c>
      <c r="B641" s="1338"/>
      <c r="C641" s="1338"/>
      <c r="D641" s="1331" t="s">
        <v>507</v>
      </c>
      <c r="E641" s="1332"/>
      <c r="F641" s="1332"/>
      <c r="G641" s="1332"/>
      <c r="H641" s="1332"/>
      <c r="I641" s="1332"/>
      <c r="J641" s="1332"/>
      <c r="K641" s="1332"/>
      <c r="L641" s="1333"/>
      <c r="M641" s="25"/>
      <c r="O641" s="2"/>
    </row>
    <row r="642" spans="1:18" ht="30" customHeight="1" x14ac:dyDescent="0.45">
      <c r="A642" s="1400" t="s">
        <v>373</v>
      </c>
      <c r="B642" s="1338"/>
      <c r="C642" s="1338"/>
      <c r="D642" s="1331" t="s">
        <v>508</v>
      </c>
      <c r="E642" s="1332"/>
      <c r="F642" s="1332"/>
      <c r="G642" s="1332"/>
      <c r="H642" s="1332"/>
      <c r="I642" s="1332"/>
      <c r="J642" s="1332"/>
      <c r="K642" s="1332"/>
      <c r="L642" s="1333"/>
      <c r="M642" s="25"/>
      <c r="O642" s="2"/>
    </row>
    <row r="643" spans="1:18" ht="30" customHeight="1" x14ac:dyDescent="0.45">
      <c r="A643" s="1400" t="s">
        <v>375</v>
      </c>
      <c r="B643" s="1338"/>
      <c r="C643" s="1338"/>
      <c r="D643" s="1331" t="s">
        <v>509</v>
      </c>
      <c r="E643" s="1332"/>
      <c r="F643" s="1332"/>
      <c r="G643" s="1332"/>
      <c r="H643" s="1332"/>
      <c r="I643" s="1332"/>
      <c r="J643" s="1332"/>
      <c r="K643" s="1332"/>
      <c r="L643" s="1333"/>
      <c r="M643" s="25"/>
      <c r="O643" s="2"/>
    </row>
    <row r="644" spans="1:18" ht="30" customHeight="1" x14ac:dyDescent="0.45">
      <c r="A644" s="1400" t="s">
        <v>377</v>
      </c>
      <c r="B644" s="1338"/>
      <c r="C644" s="1338"/>
      <c r="D644" s="1331" t="s">
        <v>510</v>
      </c>
      <c r="E644" s="1332"/>
      <c r="F644" s="1332"/>
      <c r="G644" s="1332"/>
      <c r="H644" s="1332"/>
      <c r="I644" s="1332"/>
      <c r="J644" s="1332"/>
      <c r="K644" s="1332"/>
      <c r="L644" s="1333"/>
      <c r="M644" s="25"/>
      <c r="O644" s="2"/>
    </row>
    <row r="645" spans="1:18" ht="30" customHeight="1" x14ac:dyDescent="0.45">
      <c r="A645" s="1400" t="s">
        <v>379</v>
      </c>
      <c r="B645" s="1338"/>
      <c r="C645" s="1338"/>
      <c r="D645" s="1331" t="s">
        <v>511</v>
      </c>
      <c r="E645" s="1332"/>
      <c r="F645" s="1332"/>
      <c r="G645" s="1332"/>
      <c r="H645" s="1332"/>
      <c r="I645" s="1332"/>
      <c r="J645" s="1332"/>
      <c r="K645" s="1332"/>
      <c r="L645" s="1333"/>
      <c r="M645" s="25"/>
      <c r="O645" s="2"/>
    </row>
    <row r="646" spans="1:18" ht="75" customHeight="1" x14ac:dyDescent="0.45">
      <c r="A646" s="1400" t="s">
        <v>512</v>
      </c>
      <c r="B646" s="1338"/>
      <c r="C646" s="1338"/>
      <c r="D646" s="1328" t="s">
        <v>382</v>
      </c>
      <c r="E646" s="1329"/>
      <c r="F646" s="1329"/>
      <c r="G646" s="1329"/>
      <c r="H646" s="1329"/>
      <c r="I646" s="1329"/>
      <c r="J646" s="1329"/>
      <c r="K646" s="1329"/>
      <c r="L646" s="1330"/>
      <c r="M646" s="25"/>
      <c r="O646" s="2"/>
    </row>
    <row r="647" spans="1:18" ht="60" customHeight="1" thickBot="1" x14ac:dyDescent="0.5">
      <c r="A647" s="1331" t="s">
        <v>513</v>
      </c>
      <c r="B647" s="1332"/>
      <c r="C647" s="1333"/>
      <c r="D647" s="1187" t="s">
        <v>514</v>
      </c>
      <c r="E647" s="1188"/>
      <c r="F647" s="1188"/>
      <c r="G647" s="1188"/>
      <c r="H647" s="1188"/>
      <c r="I647" s="1188"/>
      <c r="J647" s="1188"/>
      <c r="K647" s="1188"/>
      <c r="L647" s="1189"/>
      <c r="M647" s="25"/>
      <c r="O647" s="2"/>
    </row>
    <row r="648" spans="1:18" ht="30" customHeight="1" thickBot="1" x14ac:dyDescent="0.5">
      <c r="A648" s="999"/>
      <c r="B648" s="1000"/>
      <c r="C648" s="1000"/>
      <c r="D648" s="1000"/>
      <c r="E648" s="1000"/>
      <c r="F648" s="1000"/>
      <c r="G648" s="1000"/>
      <c r="H648" s="1000"/>
      <c r="I648" s="1000"/>
      <c r="J648" s="1000"/>
      <c r="K648" s="1000"/>
      <c r="L648" s="1001"/>
      <c r="M648" s="25"/>
      <c r="O648" s="2"/>
    </row>
    <row r="649" spans="1:18" ht="30" customHeight="1" x14ac:dyDescent="0.45">
      <c r="A649" s="9" t="s">
        <v>4</v>
      </c>
      <c r="B649" s="10">
        <v>1496</v>
      </c>
      <c r="C649" s="1138" t="s">
        <v>515</v>
      </c>
      <c r="D649" s="1139"/>
      <c r="E649" s="13" t="s">
        <v>7</v>
      </c>
      <c r="F649" s="14" t="s">
        <v>35</v>
      </c>
      <c r="G649" s="11" t="s">
        <v>6</v>
      </c>
      <c r="H649" s="300">
        <v>54909</v>
      </c>
      <c r="I649" s="13" t="s">
        <v>9</v>
      </c>
      <c r="J649" s="985" t="s">
        <v>272</v>
      </c>
      <c r="K649" s="985"/>
      <c r="L649" s="986"/>
      <c r="M649" s="25"/>
      <c r="O649" s="2"/>
    </row>
    <row r="650" spans="1:18" ht="30" customHeight="1" x14ac:dyDescent="0.45">
      <c r="A650" s="19" t="s">
        <v>11</v>
      </c>
      <c r="B650" s="1005" t="s">
        <v>12</v>
      </c>
      <c r="C650" s="1005"/>
      <c r="D650" s="1005"/>
      <c r="E650" s="132" t="s">
        <v>267</v>
      </c>
      <c r="F650" s="20" t="s">
        <v>13</v>
      </c>
      <c r="G650" s="1114" t="s">
        <v>15</v>
      </c>
      <c r="H650" s="1115"/>
      <c r="I650" s="1068" t="s">
        <v>16</v>
      </c>
      <c r="J650" s="1069"/>
      <c r="K650" s="992" t="s">
        <v>17</v>
      </c>
      <c r="L650" s="993"/>
      <c r="M650" s="25"/>
      <c r="O650" s="2"/>
    </row>
    <row r="651" spans="1:18" ht="30" customHeight="1" x14ac:dyDescent="0.45">
      <c r="A651" s="47">
        <v>14962</v>
      </c>
      <c r="B651" s="1008" t="s">
        <v>516</v>
      </c>
      <c r="C651" s="1009"/>
      <c r="D651" s="1010"/>
      <c r="E651" s="384" t="s">
        <v>517</v>
      </c>
      <c r="F651" s="384">
        <v>6777000</v>
      </c>
      <c r="G651" s="385">
        <v>54909</v>
      </c>
      <c r="H651" s="386" t="s">
        <v>518</v>
      </c>
      <c r="I651" s="1084">
        <f>+'[1]2023 MILCON Inflation Table'!F15</f>
        <v>1.2839611975731238</v>
      </c>
      <c r="J651" s="1085"/>
      <c r="K651" s="335">
        <f>+F651/G651*I651</f>
        <v>158.46955937921032</v>
      </c>
      <c r="L651" s="47" t="s">
        <v>35</v>
      </c>
      <c r="M651" s="25"/>
      <c r="O651" s="2"/>
    </row>
    <row r="652" spans="1:18" ht="30" customHeight="1" thickBot="1" x14ac:dyDescent="0.5">
      <c r="A652" s="47"/>
      <c r="B652" s="1092" t="s">
        <v>519</v>
      </c>
      <c r="C652" s="1092"/>
      <c r="D652" s="1092"/>
      <c r="E652" s="293"/>
      <c r="F652" s="294"/>
      <c r="G652" s="294"/>
      <c r="H652" s="295"/>
      <c r="I652" s="58"/>
      <c r="J652" s="85" t="s">
        <v>39</v>
      </c>
      <c r="K652" s="335">
        <f>+K651</f>
        <v>158.46955937921032</v>
      </c>
      <c r="L652" s="47" t="s">
        <v>35</v>
      </c>
      <c r="M652" s="25"/>
      <c r="O652" s="2"/>
    </row>
    <row r="653" spans="1:18" ht="30" customHeight="1" thickBot="1" x14ac:dyDescent="0.5">
      <c r="A653" s="999"/>
      <c r="B653" s="1000"/>
      <c r="C653" s="1000"/>
      <c r="D653" s="1000"/>
      <c r="E653" s="1000"/>
      <c r="F653" s="1000"/>
      <c r="G653" s="1000"/>
      <c r="H653" s="1000"/>
      <c r="I653" s="1000"/>
      <c r="J653" s="1000"/>
      <c r="K653" s="1000"/>
      <c r="L653" s="1001"/>
      <c r="M653" s="25"/>
      <c r="O653" s="2"/>
    </row>
    <row r="654" spans="1:18" ht="30" customHeight="1" x14ac:dyDescent="0.45">
      <c r="A654" s="9" t="s">
        <v>4</v>
      </c>
      <c r="B654" s="10">
        <v>1498</v>
      </c>
      <c r="C654" s="1138" t="s">
        <v>520</v>
      </c>
      <c r="D654" s="1139"/>
      <c r="E654" s="13" t="s">
        <v>7</v>
      </c>
      <c r="F654" s="14" t="s">
        <v>35</v>
      </c>
      <c r="G654" s="11" t="s">
        <v>6</v>
      </c>
      <c r="H654" s="184">
        <v>370</v>
      </c>
      <c r="I654" s="13" t="s">
        <v>9</v>
      </c>
      <c r="J654" s="985" t="s">
        <v>421</v>
      </c>
      <c r="K654" s="985"/>
      <c r="L654" s="986"/>
      <c r="M654" s="25"/>
      <c r="O654" s="2"/>
    </row>
    <row r="655" spans="1:18" ht="30" customHeight="1" x14ac:dyDescent="0.45">
      <c r="A655" s="19" t="s">
        <v>11</v>
      </c>
      <c r="B655" s="1005" t="s">
        <v>12</v>
      </c>
      <c r="C655" s="1005"/>
      <c r="D655" s="1005"/>
      <c r="E655" s="20" t="s">
        <v>13</v>
      </c>
      <c r="F655" s="132" t="s">
        <v>267</v>
      </c>
      <c r="G655" s="1114" t="s">
        <v>15</v>
      </c>
      <c r="H655" s="1115"/>
      <c r="I655" s="1068" t="s">
        <v>16</v>
      </c>
      <c r="J655" s="1069"/>
      <c r="K655" s="992" t="s">
        <v>17</v>
      </c>
      <c r="L655" s="993"/>
      <c r="M655" s="25"/>
      <c r="O655" s="2"/>
    </row>
    <row r="656" spans="1:18" ht="30" customHeight="1" x14ac:dyDescent="0.45">
      <c r="A656" s="47">
        <v>14113</v>
      </c>
      <c r="B656" s="1008" t="s">
        <v>521</v>
      </c>
      <c r="C656" s="1009"/>
      <c r="D656" s="1010"/>
      <c r="E656" s="221">
        <v>544</v>
      </c>
      <c r="F656" s="47">
        <v>660</v>
      </c>
      <c r="G656" s="47"/>
      <c r="H656" s="47"/>
      <c r="I656" s="1084">
        <f>+'[1]2023 MILCON Inflation Table'!F21</f>
        <v>0.957411465768232</v>
      </c>
      <c r="J656" s="1085"/>
      <c r="K656" s="335">
        <f>+E656*I656</f>
        <v>520.83183737791819</v>
      </c>
      <c r="L656" s="47" t="s">
        <v>35</v>
      </c>
      <c r="M656" s="25"/>
      <c r="N656" s="26"/>
      <c r="O656" s="2"/>
      <c r="P656" s="27"/>
      <c r="Q656" s="26"/>
      <c r="R656" s="28"/>
    </row>
    <row r="657" spans="1:20" ht="30" customHeight="1" x14ac:dyDescent="0.45">
      <c r="A657" s="47">
        <v>14113</v>
      </c>
      <c r="B657" s="1030" t="s">
        <v>522</v>
      </c>
      <c r="C657" s="1030"/>
      <c r="D657" s="1030"/>
      <c r="E657" s="221">
        <v>766</v>
      </c>
      <c r="F657" s="47">
        <v>933</v>
      </c>
      <c r="G657" s="337"/>
      <c r="H657" s="337"/>
      <c r="I657" s="1084">
        <f>+I656</f>
        <v>0.957411465768232</v>
      </c>
      <c r="J657" s="1085"/>
      <c r="K657" s="335">
        <f>+E657*I657</f>
        <v>733.37718277846568</v>
      </c>
      <c r="L657" s="47" t="s">
        <v>35</v>
      </c>
      <c r="M657" s="25"/>
      <c r="N657" s="26"/>
      <c r="O657" s="2"/>
      <c r="P657" s="27"/>
      <c r="Q657" s="26"/>
      <c r="R657" s="28"/>
    </row>
    <row r="658" spans="1:20" ht="30" customHeight="1" x14ac:dyDescent="0.45">
      <c r="A658" s="47">
        <v>14113</v>
      </c>
      <c r="B658" s="1008" t="s">
        <v>523</v>
      </c>
      <c r="C658" s="1009"/>
      <c r="D658" s="1010"/>
      <c r="E658" s="221">
        <v>1861</v>
      </c>
      <c r="F658" s="47">
        <v>149</v>
      </c>
      <c r="G658" s="337"/>
      <c r="H658" s="337"/>
      <c r="I658" s="1084">
        <f>+I656</f>
        <v>0.957411465768232</v>
      </c>
      <c r="J658" s="1085"/>
      <c r="K658" s="335">
        <f>+E658*I658</f>
        <v>1781.7427377946797</v>
      </c>
      <c r="L658" s="47" t="s">
        <v>35</v>
      </c>
      <c r="M658" s="25"/>
      <c r="N658" s="26"/>
      <c r="O658" s="2"/>
      <c r="P658" s="27"/>
      <c r="Q658" s="26"/>
      <c r="R658" s="28"/>
    </row>
    <row r="659" spans="1:20" ht="30" customHeight="1" x14ac:dyDescent="0.45">
      <c r="A659" s="47">
        <v>14113</v>
      </c>
      <c r="B659" s="1008" t="s">
        <v>524</v>
      </c>
      <c r="C659" s="1009"/>
      <c r="D659" s="1009"/>
      <c r="E659" s="221">
        <v>427</v>
      </c>
      <c r="F659" s="387">
        <v>2960</v>
      </c>
      <c r="G659" s="337"/>
      <c r="H659" s="337"/>
      <c r="I659" s="1084">
        <f>+I656</f>
        <v>0.957411465768232</v>
      </c>
      <c r="J659" s="1085"/>
      <c r="K659" s="335">
        <f>+E659*I659</f>
        <v>408.81469588303509</v>
      </c>
      <c r="L659" s="47" t="s">
        <v>35</v>
      </c>
      <c r="M659" s="25"/>
      <c r="N659" s="26"/>
      <c r="O659" s="2"/>
      <c r="P659" s="27"/>
      <c r="Q659" s="26"/>
      <c r="R659" s="28"/>
    </row>
    <row r="660" spans="1:20" ht="30" customHeight="1" thickBot="1" x14ac:dyDescent="0.5">
      <c r="A660" s="47"/>
      <c r="B660" s="173"/>
      <c r="C660" s="161"/>
      <c r="D660" s="161"/>
      <c r="E660" s="161"/>
      <c r="F660" s="388"/>
      <c r="G660" s="161"/>
      <c r="H660" s="389" t="s">
        <v>56</v>
      </c>
      <c r="I660" s="58"/>
      <c r="J660" s="85" t="s">
        <v>39</v>
      </c>
      <c r="K660" s="185">
        <f>AVERAGE(K656:K659)</f>
        <v>861.19161345852467</v>
      </c>
      <c r="L660" s="47" t="s">
        <v>35</v>
      </c>
      <c r="M660" s="25"/>
      <c r="N660" s="26"/>
      <c r="O660" s="2"/>
      <c r="P660" s="27"/>
      <c r="Q660" s="26"/>
      <c r="R660" s="28"/>
    </row>
    <row r="661" spans="1:20" ht="30" customHeight="1" thickBot="1" x14ac:dyDescent="0.5">
      <c r="A661" s="999"/>
      <c r="B661" s="1000"/>
      <c r="C661" s="1000"/>
      <c r="D661" s="1000"/>
      <c r="E661" s="1000"/>
      <c r="F661" s="1000"/>
      <c r="G661" s="1000"/>
      <c r="H661" s="1000"/>
      <c r="I661" s="1000"/>
      <c r="J661" s="1000"/>
      <c r="K661" s="1000"/>
      <c r="L661" s="1001"/>
      <c r="M661" s="25"/>
      <c r="N661" s="26"/>
      <c r="O661" s="2"/>
      <c r="P661" s="27"/>
      <c r="Q661" s="26"/>
      <c r="R661" s="28"/>
    </row>
    <row r="662" spans="1:20" ht="30" customHeight="1" x14ac:dyDescent="0.45">
      <c r="A662" s="9" t="s">
        <v>4</v>
      </c>
      <c r="B662" s="10">
        <v>1499</v>
      </c>
      <c r="C662" s="1138" t="s">
        <v>525</v>
      </c>
      <c r="D662" s="1139"/>
      <c r="E662" s="13" t="s">
        <v>7</v>
      </c>
      <c r="F662" s="14" t="s">
        <v>88</v>
      </c>
      <c r="G662" s="161" t="s">
        <v>148</v>
      </c>
      <c r="H662" s="184">
        <v>1</v>
      </c>
      <c r="I662" s="13" t="s">
        <v>9</v>
      </c>
      <c r="J662" s="985" t="s">
        <v>526</v>
      </c>
      <c r="K662" s="985"/>
      <c r="L662" s="986"/>
      <c r="M662" s="25"/>
      <c r="S662" s="41"/>
      <c r="T662" s="41"/>
    </row>
    <row r="663" spans="1:20" ht="30" customHeight="1" x14ac:dyDescent="0.45">
      <c r="A663" s="19" t="s">
        <v>527</v>
      </c>
      <c r="B663" s="1005" t="s">
        <v>12</v>
      </c>
      <c r="C663" s="1005"/>
      <c r="D663" s="1005"/>
      <c r="E663" s="19" t="s">
        <v>13</v>
      </c>
      <c r="F663" s="19" t="s">
        <v>14</v>
      </c>
      <c r="G663" s="990" t="s">
        <v>15</v>
      </c>
      <c r="H663" s="991"/>
      <c r="I663" s="1068" t="s">
        <v>16</v>
      </c>
      <c r="J663" s="1069"/>
      <c r="K663" s="992" t="s">
        <v>17</v>
      </c>
      <c r="L663" s="993"/>
      <c r="M663" s="25"/>
      <c r="S663" s="41"/>
      <c r="T663" s="41"/>
    </row>
    <row r="664" spans="1:20" s="18" customFormat="1" ht="30" customHeight="1" x14ac:dyDescent="0.45">
      <c r="A664" s="47">
        <v>62010</v>
      </c>
      <c r="B664" s="994" t="s">
        <v>528</v>
      </c>
      <c r="C664" s="994"/>
      <c r="D664" s="994"/>
      <c r="E664" s="221">
        <v>235</v>
      </c>
      <c r="F664" s="390" t="s">
        <v>35</v>
      </c>
      <c r="G664" s="47">
        <v>230</v>
      </c>
      <c r="H664" s="391" t="s">
        <v>296</v>
      </c>
      <c r="I664" s="1090">
        <f>+'[1]2023 MILCON Inflation Table'!F8</f>
        <v>1.6732905027856291</v>
      </c>
      <c r="J664" s="1091"/>
      <c r="K664" s="393">
        <f>+E664*G664*I664</f>
        <v>90441.351675563244</v>
      </c>
      <c r="L664" s="47" t="s">
        <v>88</v>
      </c>
      <c r="M664" s="25"/>
      <c r="N664" s="229"/>
      <c r="O664" s="5"/>
    </row>
    <row r="665" spans="1:20" ht="30" customHeight="1" x14ac:dyDescent="0.45">
      <c r="A665" s="47">
        <v>17971</v>
      </c>
      <c r="B665" s="1018" t="s">
        <v>529</v>
      </c>
      <c r="C665" s="1019"/>
      <c r="D665" s="1020"/>
      <c r="E665" s="221">
        <v>279109</v>
      </c>
      <c r="F665" s="394" t="s">
        <v>88</v>
      </c>
      <c r="G665" s="47"/>
      <c r="H665" s="47"/>
      <c r="I665" s="1084">
        <f>+'[1]2023 MILCON Inflation Table'!F21</f>
        <v>0.957411465768232</v>
      </c>
      <c r="J665" s="1085"/>
      <c r="K665" s="393">
        <f>+E665*I665</f>
        <v>267222.15679910546</v>
      </c>
      <c r="L665" s="47" t="s">
        <v>88</v>
      </c>
      <c r="M665" s="25"/>
      <c r="N665" s="363"/>
    </row>
    <row r="666" spans="1:20" s="18" customFormat="1" ht="30" customHeight="1" thickBot="1" x14ac:dyDescent="0.5">
      <c r="A666" s="395"/>
      <c r="B666" s="1395"/>
      <c r="C666" s="1396"/>
      <c r="D666" s="1396"/>
      <c r="E666" s="1396"/>
      <c r="F666" s="1397"/>
      <c r="G666" s="1398"/>
      <c r="H666" s="1399"/>
      <c r="I666" s="1399"/>
      <c r="J666" s="396" t="s">
        <v>530</v>
      </c>
      <c r="K666" s="131">
        <f>((871/2361)*K664)+((1490/2361)*K665)</f>
        <v>202005.6886658546</v>
      </c>
      <c r="L666" s="225" t="s">
        <v>88</v>
      </c>
      <c r="M666" s="25"/>
      <c r="N666" s="229"/>
      <c r="O666" s="5"/>
    </row>
    <row r="667" spans="1:20" s="18" customFormat="1" ht="47.25" customHeight="1" thickBot="1" x14ac:dyDescent="0.5">
      <c r="A667" s="1392" t="s">
        <v>531</v>
      </c>
      <c r="B667" s="1393"/>
      <c r="C667" s="1393"/>
      <c r="D667" s="1393"/>
      <c r="E667" s="1393"/>
      <c r="F667" s="1393"/>
      <c r="G667" s="1393"/>
      <c r="H667" s="1393"/>
      <c r="I667" s="1393"/>
      <c r="J667" s="1393"/>
      <c r="K667" s="1393"/>
      <c r="L667" s="1394"/>
      <c r="M667" s="25"/>
      <c r="N667" s="229"/>
      <c r="O667" s="5"/>
    </row>
    <row r="668" spans="1:20" s="18" customFormat="1" ht="30" customHeight="1" thickBot="1" x14ac:dyDescent="0.5">
      <c r="A668" s="999"/>
      <c r="B668" s="1000"/>
      <c r="C668" s="1000"/>
      <c r="D668" s="1000"/>
      <c r="E668" s="1000"/>
      <c r="F668" s="1000"/>
      <c r="G668" s="1000"/>
      <c r="H668" s="1000"/>
      <c r="I668" s="1000"/>
      <c r="J668" s="1000"/>
      <c r="K668" s="1000"/>
      <c r="L668" s="1001"/>
      <c r="M668" s="25"/>
      <c r="N668" s="229"/>
      <c r="O668" s="5"/>
    </row>
    <row r="669" spans="1:20" ht="30" customHeight="1" x14ac:dyDescent="0.45">
      <c r="A669" s="9" t="s">
        <v>4</v>
      </c>
      <c r="B669" s="10">
        <v>1511</v>
      </c>
      <c r="C669" s="983" t="s">
        <v>532</v>
      </c>
      <c r="D669" s="984"/>
      <c r="E669" s="13" t="s">
        <v>7</v>
      </c>
      <c r="F669" s="14" t="s">
        <v>8</v>
      </c>
      <c r="G669" s="11" t="s">
        <v>6</v>
      </c>
      <c r="H669" s="184">
        <v>5473</v>
      </c>
      <c r="I669" s="13" t="s">
        <v>9</v>
      </c>
      <c r="J669" s="985" t="s">
        <v>533</v>
      </c>
      <c r="K669" s="985"/>
      <c r="L669" s="986"/>
      <c r="M669" s="25"/>
    </row>
    <row r="670" spans="1:20" ht="30" customHeight="1" x14ac:dyDescent="0.45">
      <c r="A670" s="19"/>
      <c r="B670" s="1005" t="s">
        <v>12</v>
      </c>
      <c r="C670" s="1005"/>
      <c r="D670" s="1005"/>
      <c r="E670" s="19" t="s">
        <v>534</v>
      </c>
      <c r="F670" s="19" t="s">
        <v>79</v>
      </c>
      <c r="G670" s="1170" t="s">
        <v>15</v>
      </c>
      <c r="H670" s="1171"/>
      <c r="I670" s="1068" t="s">
        <v>16</v>
      </c>
      <c r="J670" s="1069"/>
      <c r="K670" s="992" t="s">
        <v>17</v>
      </c>
      <c r="L670" s="993"/>
      <c r="M670" s="25"/>
    </row>
    <row r="671" spans="1:20" ht="30" customHeight="1" x14ac:dyDescent="0.45">
      <c r="A671" s="38"/>
      <c r="B671" s="994" t="s">
        <v>532</v>
      </c>
      <c r="C671" s="994"/>
      <c r="D671" s="994"/>
      <c r="E671" s="136">
        <v>2819.18</v>
      </c>
      <c r="F671" s="38" t="s">
        <v>8</v>
      </c>
      <c r="G671" s="58"/>
      <c r="H671" s="398"/>
      <c r="I671" s="1119">
        <f>+'[1]2023 MILCON Inflation Table'!F5</f>
        <v>1.5862915104315582</v>
      </c>
      <c r="J671" s="1120"/>
      <c r="K671" s="136">
        <f>+E671*I671</f>
        <v>4472.0413003784397</v>
      </c>
      <c r="L671" s="38" t="s">
        <v>8</v>
      </c>
      <c r="M671" s="25"/>
      <c r="N671" s="26"/>
      <c r="O671" s="2"/>
      <c r="P671" s="27"/>
      <c r="Q671" s="26"/>
      <c r="R671" s="28"/>
    </row>
    <row r="672" spans="1:20" ht="30" customHeight="1" x14ac:dyDescent="0.45">
      <c r="A672" s="47"/>
      <c r="B672" s="1092"/>
      <c r="C672" s="1092"/>
      <c r="D672" s="1092"/>
      <c r="E672" s="1018" t="s">
        <v>535</v>
      </c>
      <c r="F672" s="1019"/>
      <c r="G672" s="1019"/>
      <c r="H672" s="1020"/>
      <c r="I672" s="58"/>
      <c r="J672" s="85" t="s">
        <v>39</v>
      </c>
      <c r="K672" s="185">
        <f>+K671</f>
        <v>4472.0413003784397</v>
      </c>
      <c r="L672" s="47" t="s">
        <v>8</v>
      </c>
      <c r="M672" s="25"/>
      <c r="N672" s="26"/>
      <c r="O672" s="2"/>
      <c r="P672" s="27"/>
      <c r="Q672" s="26"/>
      <c r="R672" s="28"/>
    </row>
    <row r="673" spans="1:18" ht="105" customHeight="1" thickBot="1" x14ac:dyDescent="0.5">
      <c r="A673" s="1104" t="s">
        <v>536</v>
      </c>
      <c r="B673" s="1105"/>
      <c r="C673" s="1105"/>
      <c r="D673" s="1105"/>
      <c r="E673" s="1105"/>
      <c r="F673" s="1105"/>
      <c r="G673" s="1105"/>
      <c r="H673" s="1105"/>
      <c r="I673" s="1105"/>
      <c r="J673" s="1105"/>
      <c r="K673" s="1105"/>
      <c r="L673" s="1106"/>
      <c r="M673" s="25"/>
      <c r="N673" s="26"/>
      <c r="O673" s="2"/>
      <c r="P673" s="27"/>
      <c r="Q673" s="26"/>
      <c r="R673" s="28"/>
    </row>
    <row r="674" spans="1:18" ht="30" customHeight="1" thickBot="1" x14ac:dyDescent="0.5">
      <c r="A674" s="999"/>
      <c r="B674" s="1000"/>
      <c r="C674" s="1000"/>
      <c r="D674" s="1000"/>
      <c r="E674" s="1000"/>
      <c r="F674" s="1000"/>
      <c r="G674" s="1000"/>
      <c r="H674" s="1000"/>
      <c r="I674" s="1000"/>
      <c r="J674" s="1000"/>
      <c r="K674" s="1000"/>
      <c r="L674" s="1001"/>
      <c r="M674" s="25"/>
      <c r="N674" s="26"/>
      <c r="O674" s="2"/>
      <c r="P674" s="27"/>
      <c r="Q674" s="26"/>
      <c r="R674" s="28"/>
    </row>
    <row r="675" spans="1:18" ht="30" customHeight="1" x14ac:dyDescent="0.45">
      <c r="A675" s="9" t="s">
        <v>4</v>
      </c>
      <c r="B675" s="10">
        <v>1512</v>
      </c>
      <c r="C675" s="983" t="s">
        <v>537</v>
      </c>
      <c r="D675" s="984"/>
      <c r="E675" s="13" t="s">
        <v>7</v>
      </c>
      <c r="F675" s="14" t="s">
        <v>8</v>
      </c>
      <c r="G675" s="11" t="s">
        <v>6</v>
      </c>
      <c r="H675" s="184">
        <v>4983</v>
      </c>
      <c r="I675" s="13" t="s">
        <v>9</v>
      </c>
      <c r="J675" s="985" t="s">
        <v>533</v>
      </c>
      <c r="K675" s="985"/>
      <c r="L675" s="986"/>
      <c r="M675" s="25"/>
      <c r="N675" s="26"/>
      <c r="O675" s="2"/>
      <c r="P675" s="27"/>
      <c r="Q675" s="26"/>
      <c r="R675" s="28"/>
    </row>
    <row r="676" spans="1:18" ht="30" customHeight="1" x14ac:dyDescent="0.45">
      <c r="A676" s="19"/>
      <c r="B676" s="1005" t="s">
        <v>12</v>
      </c>
      <c r="C676" s="1005"/>
      <c r="D676" s="1005"/>
      <c r="E676" s="19" t="s">
        <v>534</v>
      </c>
      <c r="F676" s="19" t="s">
        <v>79</v>
      </c>
      <c r="G676" s="1170" t="s">
        <v>15</v>
      </c>
      <c r="H676" s="1171"/>
      <c r="I676" s="1068" t="s">
        <v>16</v>
      </c>
      <c r="J676" s="1069"/>
      <c r="K676" s="992" t="s">
        <v>17</v>
      </c>
      <c r="L676" s="993"/>
      <c r="M676" s="25"/>
      <c r="N676" s="26"/>
      <c r="O676" s="2"/>
      <c r="P676" s="27"/>
      <c r="Q676" s="26"/>
      <c r="R676" s="28"/>
    </row>
    <row r="677" spans="1:18" ht="30" customHeight="1" x14ac:dyDescent="0.45">
      <c r="A677" s="38"/>
      <c r="B677" s="994" t="s">
        <v>538</v>
      </c>
      <c r="C677" s="994"/>
      <c r="D677" s="994"/>
      <c r="E677" s="136">
        <v>2819.18</v>
      </c>
      <c r="F677" s="38" t="s">
        <v>8</v>
      </c>
      <c r="G677" s="58"/>
      <c r="H677" s="398"/>
      <c r="I677" s="1119">
        <f>+'[1]2023 MILCON Inflation Table'!F5</f>
        <v>1.5862915104315582</v>
      </c>
      <c r="J677" s="1120"/>
      <c r="K677" s="136">
        <f>+E677*I677</f>
        <v>4472.0413003784397</v>
      </c>
      <c r="L677" s="38" t="s">
        <v>8</v>
      </c>
      <c r="M677" s="25"/>
      <c r="N677" s="26"/>
      <c r="O677" s="2"/>
      <c r="P677" s="27"/>
      <c r="Q677" s="26"/>
      <c r="R677" s="28"/>
    </row>
    <row r="678" spans="1:18" ht="30" customHeight="1" x14ac:dyDescent="0.45">
      <c r="A678" s="47"/>
      <c r="B678" s="1092"/>
      <c r="C678" s="1092"/>
      <c r="D678" s="1092"/>
      <c r="E678" s="1018" t="s">
        <v>535</v>
      </c>
      <c r="F678" s="1019"/>
      <c r="G678" s="1019"/>
      <c r="H678" s="1020"/>
      <c r="I678" s="58"/>
      <c r="J678" s="85" t="s">
        <v>39</v>
      </c>
      <c r="K678" s="185">
        <f>+K677</f>
        <v>4472.0413003784397</v>
      </c>
      <c r="L678" s="47" t="s">
        <v>8</v>
      </c>
      <c r="M678" s="84"/>
      <c r="N678" s="26"/>
      <c r="O678" s="2"/>
      <c r="P678" s="27"/>
      <c r="Q678" s="26"/>
      <c r="R678" s="28"/>
    </row>
    <row r="679" spans="1:18" ht="30" customHeight="1" thickBot="1" x14ac:dyDescent="0.5">
      <c r="A679" s="1104" t="s">
        <v>539</v>
      </c>
      <c r="B679" s="1105"/>
      <c r="C679" s="1105"/>
      <c r="D679" s="1105"/>
      <c r="E679" s="1105"/>
      <c r="F679" s="1105"/>
      <c r="G679" s="1105"/>
      <c r="H679" s="1105"/>
      <c r="I679" s="1105"/>
      <c r="J679" s="1105"/>
      <c r="K679" s="1105"/>
      <c r="L679" s="1106"/>
      <c r="M679" s="25"/>
      <c r="N679" s="26"/>
      <c r="O679" s="2"/>
      <c r="P679" s="27"/>
      <c r="Q679" s="26"/>
      <c r="R679" s="28"/>
    </row>
    <row r="680" spans="1:18" ht="30" customHeight="1" thickBot="1" x14ac:dyDescent="0.5">
      <c r="A680" s="999"/>
      <c r="B680" s="1000"/>
      <c r="C680" s="1000"/>
      <c r="D680" s="1000"/>
      <c r="E680" s="1000"/>
      <c r="F680" s="1000"/>
      <c r="G680" s="1000"/>
      <c r="H680" s="1000"/>
      <c r="I680" s="1000"/>
      <c r="J680" s="1000"/>
      <c r="K680" s="1000"/>
      <c r="L680" s="1001"/>
      <c r="M680" s="25"/>
      <c r="N680" s="26"/>
      <c r="O680" s="2"/>
      <c r="P680" s="27"/>
      <c r="Q680" s="26"/>
      <c r="R680" s="28"/>
    </row>
    <row r="681" spans="1:18" ht="30" customHeight="1" x14ac:dyDescent="0.45">
      <c r="A681" s="9" t="s">
        <v>4</v>
      </c>
      <c r="B681" s="10">
        <v>1513</v>
      </c>
      <c r="C681" s="983" t="s">
        <v>540</v>
      </c>
      <c r="D681" s="984"/>
      <c r="E681" s="13" t="s">
        <v>7</v>
      </c>
      <c r="F681" s="14" t="s">
        <v>8</v>
      </c>
      <c r="G681" s="11" t="s">
        <v>6</v>
      </c>
      <c r="H681" s="300">
        <v>4819</v>
      </c>
      <c r="I681" s="13" t="s">
        <v>9</v>
      </c>
      <c r="J681" s="985" t="s">
        <v>292</v>
      </c>
      <c r="K681" s="985"/>
      <c r="L681" s="986"/>
      <c r="N681" s="26"/>
      <c r="O681" s="2"/>
      <c r="P681" s="27"/>
      <c r="Q681" s="26"/>
      <c r="R681" s="28"/>
    </row>
    <row r="682" spans="1:18" ht="30" customHeight="1" x14ac:dyDescent="0.45">
      <c r="A682" s="85" t="s">
        <v>277</v>
      </c>
      <c r="B682" s="987" t="s">
        <v>293</v>
      </c>
      <c r="C682" s="988"/>
      <c r="D682" s="989"/>
      <c r="E682" s="220" t="s">
        <v>13</v>
      </c>
      <c r="F682" s="220" t="s">
        <v>14</v>
      </c>
      <c r="G682" s="990" t="s">
        <v>15</v>
      </c>
      <c r="H682" s="991"/>
      <c r="I682" s="277" t="s">
        <v>278</v>
      </c>
      <c r="J682" s="277"/>
      <c r="K682" s="992" t="s">
        <v>17</v>
      </c>
      <c r="L682" s="993"/>
      <c r="M682" s="25"/>
      <c r="N682" s="26"/>
      <c r="O682" s="2"/>
      <c r="P682" s="27"/>
      <c r="Q682" s="26"/>
      <c r="R682" s="28"/>
    </row>
    <row r="683" spans="1:18" ht="30" customHeight="1" x14ac:dyDescent="0.45">
      <c r="A683" s="225" t="s">
        <v>279</v>
      </c>
      <c r="B683" s="1104" t="s">
        <v>541</v>
      </c>
      <c r="C683" s="1105"/>
      <c r="D683" s="1106"/>
      <c r="E683" s="221">
        <f>+(87+123)/2</f>
        <v>105</v>
      </c>
      <c r="F683" s="47" t="s">
        <v>35</v>
      </c>
      <c r="G683" s="42">
        <v>9</v>
      </c>
      <c r="H683" s="199" t="s">
        <v>542</v>
      </c>
      <c r="I683" s="365">
        <v>1.2</v>
      </c>
      <c r="J683" s="47"/>
      <c r="K683" s="221">
        <f>+E683*I683*G683</f>
        <v>1134</v>
      </c>
      <c r="L683" s="47" t="s">
        <v>8</v>
      </c>
      <c r="M683" s="25"/>
      <c r="N683" s="26"/>
      <c r="O683" s="2"/>
      <c r="P683" s="27"/>
      <c r="Q683" s="26"/>
      <c r="R683" s="28"/>
    </row>
    <row r="684" spans="1:18" ht="30" customHeight="1" x14ac:dyDescent="0.45">
      <c r="A684" s="47"/>
      <c r="B684" s="1199"/>
      <c r="C684" s="1200"/>
      <c r="D684" s="1201"/>
      <c r="E684" s="352"/>
      <c r="F684" s="1011" t="s">
        <v>285</v>
      </c>
      <c r="G684" s="1013" t="s">
        <v>286</v>
      </c>
      <c r="H684" s="1013"/>
      <c r="I684" s="1013"/>
      <c r="J684" s="1013"/>
      <c r="K684" s="202">
        <v>1.06</v>
      </c>
      <c r="L684" s="47"/>
      <c r="M684" s="25"/>
      <c r="N684" s="26"/>
      <c r="O684" s="2"/>
      <c r="P684" s="27"/>
      <c r="Q684" s="26"/>
      <c r="R684" s="28"/>
    </row>
    <row r="685" spans="1:18" ht="30" customHeight="1" x14ac:dyDescent="0.45">
      <c r="A685" s="47"/>
      <c r="B685" s="402"/>
      <c r="C685" s="402"/>
      <c r="D685" s="402"/>
      <c r="E685" s="352"/>
      <c r="F685" s="1012"/>
      <c r="G685" s="1014" t="s">
        <v>298</v>
      </c>
      <c r="H685" s="1014"/>
      <c r="I685" s="1014"/>
      <c r="J685" s="1014"/>
      <c r="K685" s="202">
        <v>1.06</v>
      </c>
      <c r="L685" s="47"/>
      <c r="M685" s="25"/>
      <c r="N685" s="26"/>
      <c r="O685" s="2"/>
      <c r="P685" s="27"/>
      <c r="Q685" s="26"/>
      <c r="R685" s="28"/>
    </row>
    <row r="686" spans="1:18" ht="30" customHeight="1" x14ac:dyDescent="0.45">
      <c r="A686" s="47"/>
      <c r="B686" s="402"/>
      <c r="C686" s="402"/>
      <c r="D686" s="402"/>
      <c r="E686" s="352"/>
      <c r="F686" s="47"/>
      <c r="G686" s="47"/>
      <c r="H686" s="47"/>
      <c r="I686" s="47"/>
      <c r="J686" s="58" t="s">
        <v>39</v>
      </c>
      <c r="K686" s="221">
        <f>+K683*K684/K685</f>
        <v>1134</v>
      </c>
      <c r="L686" s="47" t="s">
        <v>8</v>
      </c>
      <c r="M686" s="25"/>
      <c r="N686" s="26"/>
      <c r="O686" s="2"/>
      <c r="P686" s="27"/>
      <c r="Q686" s="26"/>
      <c r="R686" s="28"/>
    </row>
    <row r="687" spans="1:18" ht="30" customHeight="1" x14ac:dyDescent="0.45">
      <c r="A687" s="56"/>
      <c r="B687" s="403"/>
      <c r="C687" s="403"/>
      <c r="D687" s="403"/>
      <c r="E687" s="221"/>
      <c r="F687" s="47"/>
      <c r="G687" s="1021" t="s">
        <v>288</v>
      </c>
      <c r="H687" s="1022"/>
      <c r="I687" s="1023"/>
      <c r="J687" s="213">
        <f>VLOOKUP(B681,'[1]Mil Cost Premiums for PUCs'!$A$4:$R$278,18,FALSE)</f>
        <v>1.0905505199999999</v>
      </c>
      <c r="K687" s="221">
        <f>+K686*J687</f>
        <v>1236.6842896799999</v>
      </c>
      <c r="L687" s="47" t="s">
        <v>8</v>
      </c>
      <c r="M687" s="25"/>
      <c r="N687" s="26"/>
      <c r="O687" s="2"/>
      <c r="P687" s="27"/>
      <c r="Q687" s="26"/>
      <c r="R687" s="28"/>
    </row>
    <row r="688" spans="1:18" ht="30" customHeight="1" thickBot="1" x14ac:dyDescent="0.5">
      <c r="A688" s="225"/>
      <c r="B688" s="225"/>
      <c r="C688" s="150"/>
      <c r="D688" s="150"/>
      <c r="E688" s="150"/>
      <c r="F688" s="150"/>
      <c r="G688" s="1025" t="s">
        <v>299</v>
      </c>
      <c r="H688" s="1026"/>
      <c r="I688" s="1027"/>
      <c r="J688" s="226">
        <v>1.1214</v>
      </c>
      <c r="K688" s="227">
        <f>+K687*J688</f>
        <v>1386.8177624471518</v>
      </c>
      <c r="L688" s="47" t="s">
        <v>8</v>
      </c>
      <c r="M688" s="25"/>
    </row>
    <row r="689" spans="1:18" ht="30" customHeight="1" thickBot="1" x14ac:dyDescent="0.5">
      <c r="A689" s="999"/>
      <c r="B689" s="1000"/>
      <c r="C689" s="1000"/>
      <c r="D689" s="1000"/>
      <c r="E689" s="1000"/>
      <c r="F689" s="1000"/>
      <c r="G689" s="1000"/>
      <c r="H689" s="1000"/>
      <c r="I689" s="1000"/>
      <c r="J689" s="1000"/>
      <c r="K689" s="1000"/>
      <c r="L689" s="1001"/>
      <c r="M689" s="25"/>
      <c r="N689" s="26"/>
      <c r="O689" s="2"/>
      <c r="P689" s="27"/>
      <c r="Q689" s="26"/>
      <c r="R689" s="28"/>
    </row>
    <row r="690" spans="1:18" ht="30" customHeight="1" x14ac:dyDescent="0.45">
      <c r="A690" s="9" t="s">
        <v>4</v>
      </c>
      <c r="B690" s="10">
        <v>1541</v>
      </c>
      <c r="C690" s="983" t="s">
        <v>543</v>
      </c>
      <c r="D690" s="984"/>
      <c r="E690" s="13" t="s">
        <v>7</v>
      </c>
      <c r="F690" s="14" t="s">
        <v>113</v>
      </c>
      <c r="G690" s="11" t="s">
        <v>6</v>
      </c>
      <c r="H690" s="300">
        <v>1968.14047729918</v>
      </c>
      <c r="I690" s="13" t="s">
        <v>9</v>
      </c>
      <c r="J690" s="985" t="s">
        <v>276</v>
      </c>
      <c r="K690" s="985"/>
      <c r="L690" s="986"/>
      <c r="M690" s="25"/>
      <c r="N690" s="26"/>
      <c r="O690" s="2"/>
      <c r="P690" s="27"/>
      <c r="Q690" s="26"/>
      <c r="R690" s="28"/>
    </row>
    <row r="691" spans="1:18" ht="30" customHeight="1" x14ac:dyDescent="0.45">
      <c r="A691" s="85" t="s">
        <v>277</v>
      </c>
      <c r="B691" s="987" t="s">
        <v>293</v>
      </c>
      <c r="C691" s="988"/>
      <c r="D691" s="989"/>
      <c r="E691" s="220" t="s">
        <v>13</v>
      </c>
      <c r="F691" s="220" t="s">
        <v>14</v>
      </c>
      <c r="G691" s="990" t="s">
        <v>15</v>
      </c>
      <c r="H691" s="991"/>
      <c r="I691" s="277" t="s">
        <v>278</v>
      </c>
      <c r="J691" s="277"/>
      <c r="K691" s="992" t="s">
        <v>17</v>
      </c>
      <c r="L691" s="993"/>
      <c r="M691" s="25"/>
      <c r="N691" s="26"/>
      <c r="O691" s="2"/>
      <c r="P691" s="27"/>
      <c r="Q691" s="26"/>
      <c r="R691" s="28"/>
    </row>
    <row r="692" spans="1:18" ht="30" customHeight="1" x14ac:dyDescent="0.45">
      <c r="A692" s="47" t="s">
        <v>544</v>
      </c>
      <c r="B692" s="1018" t="s">
        <v>545</v>
      </c>
      <c r="C692" s="1019"/>
      <c r="D692" s="1020"/>
      <c r="E692" s="221">
        <f>+(605+1000)/2</f>
        <v>802.5</v>
      </c>
      <c r="F692" s="47" t="s">
        <v>113</v>
      </c>
      <c r="G692" s="404">
        <f>1.375*0.5</f>
        <v>0.6875</v>
      </c>
      <c r="H692" s="206" t="s">
        <v>546</v>
      </c>
      <c r="I692" s="47">
        <v>1.31</v>
      </c>
      <c r="J692" s="365"/>
      <c r="K692" s="221">
        <f>+E692*I692*G692</f>
        <v>722.75156250000009</v>
      </c>
      <c r="L692" s="47" t="s">
        <v>113</v>
      </c>
      <c r="N692" s="26"/>
      <c r="O692" s="2"/>
      <c r="P692" s="27"/>
      <c r="Q692" s="26"/>
      <c r="R692" s="28"/>
    </row>
    <row r="693" spans="1:18" ht="30" customHeight="1" x14ac:dyDescent="0.45">
      <c r="A693" s="47"/>
      <c r="B693" s="224"/>
      <c r="C693" s="224"/>
      <c r="D693" s="224"/>
      <c r="E693" s="221"/>
      <c r="F693" s="1011" t="s">
        <v>285</v>
      </c>
      <c r="G693" s="1013" t="s">
        <v>286</v>
      </c>
      <c r="H693" s="1013"/>
      <c r="I693" s="1013"/>
      <c r="J693" s="1013"/>
      <c r="K693" s="202">
        <v>1.06</v>
      </c>
      <c r="L693" s="47"/>
      <c r="M693" s="25"/>
      <c r="N693" s="26"/>
      <c r="O693" s="2"/>
      <c r="P693" s="27"/>
      <c r="Q693" s="26"/>
      <c r="R693" s="28"/>
    </row>
    <row r="694" spans="1:18" ht="30" customHeight="1" x14ac:dyDescent="0.45">
      <c r="A694" s="47"/>
      <c r="B694" s="224"/>
      <c r="C694" s="224"/>
      <c r="D694" s="224"/>
      <c r="E694" s="221"/>
      <c r="F694" s="1012"/>
      <c r="G694" s="1014" t="s">
        <v>287</v>
      </c>
      <c r="H694" s="1014"/>
      <c r="I694" s="1014"/>
      <c r="J694" s="1014"/>
      <c r="K694" s="202">
        <v>1.05</v>
      </c>
      <c r="L694" s="47"/>
      <c r="M694" s="25"/>
      <c r="N694" s="26"/>
      <c r="O694" s="2"/>
      <c r="P694" s="27"/>
      <c r="Q694" s="26"/>
      <c r="R694" s="28"/>
    </row>
    <row r="695" spans="1:18" ht="30" customHeight="1" x14ac:dyDescent="0.45">
      <c r="A695" s="47"/>
      <c r="B695" s="47"/>
      <c r="C695" s="58"/>
      <c r="D695" s="58"/>
      <c r="E695" s="58"/>
      <c r="F695" s="58"/>
      <c r="G695" s="58"/>
      <c r="H695" s="58"/>
      <c r="I695" s="58"/>
      <c r="J695" s="47" t="s">
        <v>39</v>
      </c>
      <c r="K695" s="216">
        <f>+K692*K693/K694</f>
        <v>729.63491071428575</v>
      </c>
      <c r="L695" s="47" t="s">
        <v>113</v>
      </c>
      <c r="M695" s="25"/>
      <c r="N695" s="26"/>
      <c r="O695" s="2"/>
      <c r="P695" s="27"/>
      <c r="Q695" s="26"/>
      <c r="R695" s="28"/>
    </row>
    <row r="696" spans="1:18" ht="30" customHeight="1" thickBot="1" x14ac:dyDescent="0.5">
      <c r="A696" s="47"/>
      <c r="B696" s="47"/>
      <c r="C696" s="58"/>
      <c r="D696" s="58"/>
      <c r="E696" s="58"/>
      <c r="F696" s="58"/>
      <c r="G696" s="1032" t="s">
        <v>288</v>
      </c>
      <c r="H696" s="1033"/>
      <c r="I696" s="1034"/>
      <c r="J696" s="213">
        <f>VLOOKUP(B690,'[1]Mil Cost Premiums for PUCs'!$A$4:$R$278,18,FALSE)</f>
        <v>1.0209999999999999</v>
      </c>
      <c r="K696" s="216">
        <f>+K695*J696</f>
        <v>744.95724383928564</v>
      </c>
      <c r="L696" s="47" t="s">
        <v>113</v>
      </c>
      <c r="M696" s="25"/>
      <c r="N696" s="26"/>
      <c r="O696" s="2"/>
      <c r="P696" s="27"/>
      <c r="Q696" s="26"/>
      <c r="R696" s="28"/>
    </row>
    <row r="697" spans="1:18" ht="30" customHeight="1" thickBot="1" x14ac:dyDescent="0.5">
      <c r="A697" s="999"/>
      <c r="B697" s="1000"/>
      <c r="C697" s="1000"/>
      <c r="D697" s="1000"/>
      <c r="E697" s="1000"/>
      <c r="F697" s="1000"/>
      <c r="G697" s="1000"/>
      <c r="H697" s="1000"/>
      <c r="I697" s="1000"/>
      <c r="J697" s="1000"/>
      <c r="K697" s="1000"/>
      <c r="L697" s="1001"/>
      <c r="M697" s="25"/>
      <c r="N697" s="26"/>
      <c r="O697" s="2"/>
      <c r="P697" s="27"/>
      <c r="Q697" s="26"/>
      <c r="R697" s="28"/>
    </row>
    <row r="698" spans="1:18" ht="30" customHeight="1" x14ac:dyDescent="0.45">
      <c r="A698" s="9" t="s">
        <v>4</v>
      </c>
      <c r="B698" s="10">
        <v>1551</v>
      </c>
      <c r="C698" s="983" t="s">
        <v>547</v>
      </c>
      <c r="D698" s="984"/>
      <c r="E698" s="13" t="s">
        <v>7</v>
      </c>
      <c r="F698" s="14" t="s">
        <v>548</v>
      </c>
      <c r="G698" s="11" t="s">
        <v>6</v>
      </c>
      <c r="H698" s="405">
        <v>298.49812680115201</v>
      </c>
      <c r="I698" s="13" t="s">
        <v>9</v>
      </c>
      <c r="J698" s="985" t="s">
        <v>276</v>
      </c>
      <c r="K698" s="985"/>
      <c r="L698" s="986"/>
      <c r="M698" s="84"/>
      <c r="N698" s="26"/>
      <c r="O698" s="2"/>
      <c r="P698" s="27"/>
      <c r="Q698" s="26"/>
      <c r="R698" s="28"/>
    </row>
    <row r="699" spans="1:18" ht="30" customHeight="1" x14ac:dyDescent="0.45">
      <c r="A699" s="85" t="s">
        <v>277</v>
      </c>
      <c r="B699" s="987" t="s">
        <v>293</v>
      </c>
      <c r="C699" s="988"/>
      <c r="D699" s="989"/>
      <c r="E699" s="220" t="s">
        <v>13</v>
      </c>
      <c r="F699" s="220" t="s">
        <v>14</v>
      </c>
      <c r="G699" s="990" t="s">
        <v>15</v>
      </c>
      <c r="H699" s="991"/>
      <c r="I699" s="277" t="s">
        <v>278</v>
      </c>
      <c r="J699" s="277"/>
      <c r="K699" s="992" t="s">
        <v>17</v>
      </c>
      <c r="L699" s="993"/>
      <c r="M699" s="25"/>
      <c r="N699" s="26"/>
      <c r="O699" s="2"/>
      <c r="P699" s="27"/>
      <c r="Q699" s="26"/>
      <c r="R699" s="28"/>
    </row>
    <row r="700" spans="1:18" ht="30" customHeight="1" x14ac:dyDescent="0.45">
      <c r="A700" s="47" t="s">
        <v>279</v>
      </c>
      <c r="B700" s="1018" t="s">
        <v>549</v>
      </c>
      <c r="C700" s="1019"/>
      <c r="D700" s="1020"/>
      <c r="E700" s="221">
        <f>+(67+99.5)/2</f>
        <v>83.25</v>
      </c>
      <c r="F700" s="47" t="s">
        <v>35</v>
      </c>
      <c r="G700" s="42">
        <f>((40 /2 ) + (40 /1 ))/2</f>
        <v>30</v>
      </c>
      <c r="H700" s="206" t="s">
        <v>550</v>
      </c>
      <c r="I700" s="365">
        <v>1.1100000000000001</v>
      </c>
      <c r="J700" s="47"/>
      <c r="K700" s="221">
        <f>+E700*G700*I700</f>
        <v>2772.2250000000004</v>
      </c>
      <c r="L700" s="47" t="s">
        <v>548</v>
      </c>
      <c r="M700" s="25"/>
      <c r="N700" s="26"/>
      <c r="O700" s="2"/>
      <c r="P700" s="27"/>
      <c r="Q700" s="26"/>
      <c r="R700" s="28"/>
    </row>
    <row r="701" spans="1:18" ht="30" customHeight="1" x14ac:dyDescent="0.45">
      <c r="A701" s="47"/>
      <c r="B701" s="1092" t="s">
        <v>551</v>
      </c>
      <c r="C701" s="1092"/>
      <c r="D701" s="1092"/>
      <c r="E701" s="221"/>
      <c r="F701" s="47"/>
      <c r="G701" s="406"/>
      <c r="H701" s="179"/>
      <c r="I701" s="47"/>
      <c r="J701" s="47"/>
      <c r="K701" s="221"/>
      <c r="L701" s="47"/>
      <c r="M701" s="25"/>
      <c r="N701" s="26"/>
      <c r="O701" s="2"/>
      <c r="P701" s="27"/>
      <c r="Q701" s="26"/>
      <c r="R701" s="28"/>
    </row>
    <row r="702" spans="1:18" ht="30" customHeight="1" x14ac:dyDescent="0.45">
      <c r="A702" s="47"/>
      <c r="B702" s="224"/>
      <c r="C702" s="224"/>
      <c r="D702" s="407" t="s">
        <v>552</v>
      </c>
      <c r="E702" s="221"/>
      <c r="F702" s="1011" t="s">
        <v>285</v>
      </c>
      <c r="G702" s="1013" t="s">
        <v>286</v>
      </c>
      <c r="H702" s="1013"/>
      <c r="I702" s="1013"/>
      <c r="J702" s="1013"/>
      <c r="K702" s="278">
        <v>1.06</v>
      </c>
      <c r="L702" s="47"/>
      <c r="M702" s="84"/>
      <c r="N702" s="26"/>
      <c r="O702" s="2"/>
      <c r="P702" s="27"/>
      <c r="Q702" s="26"/>
      <c r="R702" s="28"/>
    </row>
    <row r="703" spans="1:18" ht="30" customHeight="1" x14ac:dyDescent="0.45">
      <c r="A703" s="47"/>
      <c r="B703" s="224"/>
      <c r="C703" s="224"/>
      <c r="D703" s="224"/>
      <c r="E703" s="221"/>
      <c r="F703" s="1012"/>
      <c r="G703" s="1014" t="s">
        <v>287</v>
      </c>
      <c r="H703" s="1014"/>
      <c r="I703" s="1014"/>
      <c r="J703" s="1014"/>
      <c r="K703" s="278">
        <v>1.05</v>
      </c>
      <c r="L703" s="47"/>
      <c r="M703" s="25"/>
      <c r="N703" s="26"/>
      <c r="O703" s="2"/>
      <c r="P703" s="27"/>
      <c r="Q703" s="26"/>
      <c r="R703" s="28"/>
    </row>
    <row r="704" spans="1:18" ht="30" customHeight="1" x14ac:dyDescent="0.45">
      <c r="A704" s="47"/>
      <c r="B704" s="47"/>
      <c r="C704" s="58"/>
      <c r="D704" s="58"/>
      <c r="E704" s="58"/>
      <c r="F704" s="58"/>
      <c r="G704" s="58"/>
      <c r="H704" s="58"/>
      <c r="I704" s="58"/>
      <c r="J704" s="47" t="s">
        <v>39</v>
      </c>
      <c r="K704" s="216">
        <f>+K700*K702/K703</f>
        <v>2798.6271428571431</v>
      </c>
      <c r="L704" s="47" t="s">
        <v>548</v>
      </c>
      <c r="M704" s="25"/>
      <c r="N704" s="26"/>
      <c r="O704" s="2"/>
      <c r="P704" s="27"/>
      <c r="Q704" s="26"/>
      <c r="R704" s="28"/>
    </row>
    <row r="705" spans="1:20" ht="30" customHeight="1" thickBot="1" x14ac:dyDescent="0.5">
      <c r="A705" s="47"/>
      <c r="B705" s="47"/>
      <c r="C705" s="58"/>
      <c r="E705" s="58"/>
      <c r="F705" s="58"/>
      <c r="G705" s="1032" t="s">
        <v>288</v>
      </c>
      <c r="H705" s="1033"/>
      <c r="I705" s="1034"/>
      <c r="J705" s="213">
        <f>VLOOKUP(B698,'[1]Mil Cost Premiums for PUCs'!$A$4:$R$278,18,FALSE)</f>
        <v>1.0905505199999999</v>
      </c>
      <c r="K705" s="216">
        <f>+K704*J705</f>
        <v>3052.0442859289715</v>
      </c>
      <c r="L705" s="47" t="s">
        <v>548</v>
      </c>
      <c r="M705" s="25"/>
      <c r="N705" s="26"/>
      <c r="O705" s="2"/>
      <c r="P705" s="27"/>
      <c r="Q705" s="26"/>
      <c r="R705" s="28"/>
    </row>
    <row r="706" spans="1:20" ht="30" customHeight="1" thickBot="1" x14ac:dyDescent="0.5">
      <c r="A706" s="999"/>
      <c r="B706" s="1000"/>
      <c r="C706" s="1000"/>
      <c r="D706" s="1000"/>
      <c r="E706" s="1000"/>
      <c r="F706" s="1000"/>
      <c r="G706" s="1000"/>
      <c r="H706" s="1000"/>
      <c r="I706" s="1000"/>
      <c r="J706" s="1000"/>
      <c r="K706" s="1000"/>
      <c r="L706" s="1001"/>
      <c r="M706" s="25"/>
      <c r="N706" s="364"/>
      <c r="O706" s="364"/>
      <c r="P706" s="27"/>
      <c r="Q706" s="26"/>
      <c r="R706" s="28"/>
    </row>
    <row r="707" spans="1:20" ht="30" customHeight="1" x14ac:dyDescent="0.45">
      <c r="A707" s="9" t="s">
        <v>4</v>
      </c>
      <c r="B707" s="10">
        <v>1552</v>
      </c>
      <c r="C707" s="983" t="s">
        <v>553</v>
      </c>
      <c r="D707" s="984"/>
      <c r="E707" s="13" t="s">
        <v>7</v>
      </c>
      <c r="F707" s="14" t="s">
        <v>35</v>
      </c>
      <c r="G707" s="11" t="s">
        <v>6</v>
      </c>
      <c r="H707" s="300">
        <v>4162</v>
      </c>
      <c r="I707" s="13" t="s">
        <v>9</v>
      </c>
      <c r="J707" s="985" t="s">
        <v>292</v>
      </c>
      <c r="K707" s="985"/>
      <c r="L707" s="986"/>
      <c r="M707" s="25"/>
      <c r="N707" s="26"/>
      <c r="O707" s="2"/>
      <c r="P707" s="27"/>
      <c r="Q707" s="26"/>
      <c r="R707" s="28"/>
    </row>
    <row r="708" spans="1:20" ht="30" customHeight="1" x14ac:dyDescent="0.45">
      <c r="A708" s="85" t="s">
        <v>277</v>
      </c>
      <c r="B708" s="987" t="s">
        <v>293</v>
      </c>
      <c r="C708" s="988"/>
      <c r="D708" s="989"/>
      <c r="E708" s="220" t="s">
        <v>13</v>
      </c>
      <c r="F708" s="220" t="s">
        <v>14</v>
      </c>
      <c r="G708" s="990" t="s">
        <v>15</v>
      </c>
      <c r="H708" s="991"/>
      <c r="I708" s="277" t="s">
        <v>278</v>
      </c>
      <c r="J708" s="277"/>
      <c r="K708" s="992" t="s">
        <v>17</v>
      </c>
      <c r="L708" s="993"/>
      <c r="M708" s="25"/>
      <c r="N708" s="26"/>
      <c r="O708" s="2"/>
      <c r="P708" s="27"/>
      <c r="Q708" s="26"/>
      <c r="R708" s="28"/>
    </row>
    <row r="709" spans="1:20" ht="30" customHeight="1" x14ac:dyDescent="0.45">
      <c r="A709" s="47" t="s">
        <v>554</v>
      </c>
      <c r="B709" s="1018" t="s">
        <v>555</v>
      </c>
      <c r="C709" s="1019"/>
      <c r="D709" s="1020"/>
      <c r="E709" s="221">
        <v>35</v>
      </c>
      <c r="F709" s="47" t="s">
        <v>35</v>
      </c>
      <c r="G709" s="42"/>
      <c r="H709" s="206"/>
      <c r="I709" s="365">
        <v>1.1399999999999999</v>
      </c>
      <c r="J709" s="47"/>
      <c r="K709" s="221">
        <f>+E709*I709</f>
        <v>39.9</v>
      </c>
      <c r="L709" s="47" t="s">
        <v>35</v>
      </c>
      <c r="M709" s="25"/>
      <c r="N709" s="26"/>
      <c r="O709" s="2"/>
      <c r="P709" s="27"/>
      <c r="Q709" s="26"/>
      <c r="R709" s="28"/>
    </row>
    <row r="710" spans="1:20" ht="30" customHeight="1" x14ac:dyDescent="0.45">
      <c r="A710" s="47"/>
      <c r="B710" s="204"/>
      <c r="C710" s="205"/>
      <c r="D710" s="206"/>
      <c r="E710" s="221"/>
      <c r="F710" s="225"/>
      <c r="G710" s="42"/>
      <c r="H710" s="206"/>
      <c r="I710" s="47"/>
      <c r="J710" s="47"/>
      <c r="K710" s="221"/>
      <c r="L710" s="47"/>
      <c r="M710" s="25"/>
      <c r="N710" s="26"/>
      <c r="O710" s="2"/>
      <c r="P710" s="27"/>
      <c r="Q710" s="26"/>
      <c r="R710" s="28"/>
    </row>
    <row r="711" spans="1:20" ht="30" customHeight="1" x14ac:dyDescent="0.45">
      <c r="A711" s="47"/>
      <c r="B711" s="224"/>
      <c r="C711" s="224"/>
      <c r="D711" s="224"/>
      <c r="E711" s="221"/>
      <c r="F711" s="1011" t="s">
        <v>285</v>
      </c>
      <c r="G711" s="1013" t="s">
        <v>286</v>
      </c>
      <c r="H711" s="1013"/>
      <c r="I711" s="1013"/>
      <c r="J711" s="1013"/>
      <c r="K711" s="278">
        <v>1.03</v>
      </c>
      <c r="L711" s="47"/>
      <c r="M711" s="25"/>
      <c r="N711" s="26"/>
      <c r="O711" s="2"/>
      <c r="P711" s="27"/>
      <c r="Q711" s="26"/>
      <c r="R711" s="28"/>
    </row>
    <row r="712" spans="1:20" ht="30" customHeight="1" x14ac:dyDescent="0.45">
      <c r="A712" s="47"/>
      <c r="B712" s="224"/>
      <c r="C712" s="224"/>
      <c r="D712" s="224"/>
      <c r="E712" s="221"/>
      <c r="F712" s="1012"/>
      <c r="G712" s="1014" t="s">
        <v>298</v>
      </c>
      <c r="H712" s="1014"/>
      <c r="I712" s="1014"/>
      <c r="J712" s="1014"/>
      <c r="K712" s="278">
        <v>1.06</v>
      </c>
      <c r="L712" s="47"/>
      <c r="M712" s="25"/>
      <c r="N712" s="26"/>
      <c r="O712" s="2"/>
      <c r="P712" s="27"/>
      <c r="Q712" s="26"/>
      <c r="R712" s="28"/>
    </row>
    <row r="713" spans="1:20" ht="30" customHeight="1" x14ac:dyDescent="0.45">
      <c r="A713" s="47"/>
      <c r="B713" s="47"/>
      <c r="C713" s="58"/>
      <c r="D713" s="58"/>
      <c r="E713" s="58"/>
      <c r="F713" s="58"/>
      <c r="G713" s="58"/>
      <c r="H713" s="58"/>
      <c r="I713" s="58"/>
      <c r="J713" s="58" t="s">
        <v>39</v>
      </c>
      <c r="K713" s="216">
        <f>+K709*K711/K712</f>
        <v>38.770754716981131</v>
      </c>
      <c r="L713" s="47" t="s">
        <v>35</v>
      </c>
      <c r="M713" s="25"/>
      <c r="N713" s="26"/>
      <c r="O713" s="2"/>
      <c r="P713" s="27"/>
      <c r="Q713" s="26"/>
      <c r="R713" s="28"/>
    </row>
    <row r="714" spans="1:20" ht="30" customHeight="1" x14ac:dyDescent="0.45">
      <c r="A714" s="47"/>
      <c r="B714" s="47"/>
      <c r="C714" s="58"/>
      <c r="D714" s="58"/>
      <c r="E714" s="58"/>
      <c r="F714" s="58"/>
      <c r="G714" s="1021" t="s">
        <v>288</v>
      </c>
      <c r="H714" s="1022"/>
      <c r="I714" s="1023"/>
      <c r="J714" s="213">
        <f>VLOOKUP(B707,'[1]Mil Cost Premiums for PUCs'!$A$4:$R$278,18,FALSE)</f>
        <v>1.1223763993485734</v>
      </c>
      <c r="K714" s="216">
        <f>+K713*J714</f>
        <v>43.515380079271999</v>
      </c>
      <c r="L714" s="47" t="s">
        <v>35</v>
      </c>
      <c r="M714" s="25"/>
      <c r="N714" s="26"/>
      <c r="O714" s="2"/>
      <c r="P714" s="27"/>
      <c r="Q714" s="26"/>
      <c r="R714" s="28"/>
    </row>
    <row r="715" spans="1:20" ht="30" customHeight="1" thickBot="1" x14ac:dyDescent="0.5">
      <c r="A715" s="225"/>
      <c r="B715" s="225"/>
      <c r="C715" s="150"/>
      <c r="D715" s="150"/>
      <c r="E715" s="150"/>
      <c r="F715" s="150"/>
      <c r="G715" s="1025" t="s">
        <v>299</v>
      </c>
      <c r="H715" s="1026"/>
      <c r="I715" s="1027"/>
      <c r="J715" s="226">
        <v>1.1214</v>
      </c>
      <c r="K715" s="227">
        <f>+K714*J715</f>
        <v>48.798147220895615</v>
      </c>
      <c r="L715" s="47" t="s">
        <v>35</v>
      </c>
      <c r="M715" s="25"/>
    </row>
    <row r="716" spans="1:20" ht="30" customHeight="1" thickBot="1" x14ac:dyDescent="0.5">
      <c r="A716" s="999"/>
      <c r="B716" s="1000"/>
      <c r="C716" s="1000"/>
      <c r="D716" s="1000"/>
      <c r="E716" s="1000"/>
      <c r="F716" s="1000"/>
      <c r="G716" s="1000"/>
      <c r="H716" s="1000"/>
      <c r="I716" s="1000"/>
      <c r="J716" s="1000"/>
      <c r="K716" s="1000"/>
      <c r="L716" s="1001"/>
      <c r="M716" s="25"/>
      <c r="N716" s="26"/>
      <c r="O716" s="2"/>
      <c r="P716" s="27"/>
      <c r="Q716" s="26"/>
      <c r="R716" s="28"/>
    </row>
    <row r="717" spans="1:20" ht="30" customHeight="1" x14ac:dyDescent="0.45">
      <c r="A717" s="9" t="s">
        <v>4</v>
      </c>
      <c r="B717" s="10">
        <v>1592</v>
      </c>
      <c r="C717" s="983" t="s">
        <v>556</v>
      </c>
      <c r="D717" s="984"/>
      <c r="E717" s="13" t="s">
        <v>7</v>
      </c>
      <c r="F717" s="14" t="s">
        <v>88</v>
      </c>
      <c r="G717" s="11" t="s">
        <v>6</v>
      </c>
      <c r="H717" s="163">
        <v>1</v>
      </c>
      <c r="I717" s="13" t="s">
        <v>9</v>
      </c>
      <c r="J717" s="985" t="s">
        <v>557</v>
      </c>
      <c r="K717" s="985"/>
      <c r="L717" s="986"/>
      <c r="M717" s="25"/>
      <c r="S717" s="41"/>
      <c r="T717" s="41"/>
    </row>
    <row r="718" spans="1:20" ht="30" customHeight="1" x14ac:dyDescent="0.45">
      <c r="A718" s="19" t="s">
        <v>11</v>
      </c>
      <c r="B718" s="1007" t="s">
        <v>558</v>
      </c>
      <c r="C718" s="1007"/>
      <c r="D718" s="1007"/>
      <c r="E718" s="19" t="s">
        <v>13</v>
      </c>
      <c r="F718" s="19" t="s">
        <v>14</v>
      </c>
      <c r="G718" s="990" t="s">
        <v>15</v>
      </c>
      <c r="H718" s="991"/>
      <c r="I718" s="19" t="s">
        <v>59</v>
      </c>
      <c r="J718" s="19" t="s">
        <v>60</v>
      </c>
      <c r="K718" s="992" t="s">
        <v>39</v>
      </c>
      <c r="L718" s="993"/>
      <c r="M718" s="121"/>
      <c r="S718" s="41"/>
      <c r="T718" s="41"/>
    </row>
    <row r="719" spans="1:20" ht="30" customHeight="1" x14ac:dyDescent="0.45">
      <c r="A719" s="38">
        <v>15921</v>
      </c>
      <c r="B719" s="1065" t="s">
        <v>559</v>
      </c>
      <c r="C719" s="1065"/>
      <c r="D719" s="1065"/>
      <c r="E719" s="104">
        <v>1213000</v>
      </c>
      <c r="F719" s="105" t="s">
        <v>88</v>
      </c>
      <c r="G719" s="1284"/>
      <c r="H719" s="1284"/>
      <c r="I719" s="105">
        <v>0.96</v>
      </c>
      <c r="J719" s="346">
        <f>+'[1]2023 MILCON Inflation Table'!F16</f>
        <v>1.2278483487290333</v>
      </c>
      <c r="K719" s="108">
        <f>+E719/I719*J719</f>
        <v>1551437.5489669973</v>
      </c>
      <c r="L719" s="105" t="s">
        <v>88</v>
      </c>
      <c r="N719" s="26"/>
      <c r="O719" s="2"/>
      <c r="P719" s="27"/>
      <c r="Q719" s="26"/>
      <c r="R719" s="28"/>
    </row>
    <row r="720" spans="1:20" ht="30" customHeight="1" x14ac:dyDescent="0.45">
      <c r="A720" s="38">
        <v>15921</v>
      </c>
      <c r="B720" s="1065" t="s">
        <v>560</v>
      </c>
      <c r="C720" s="1065"/>
      <c r="D720" s="1065"/>
      <c r="E720" s="86">
        <v>1215943</v>
      </c>
      <c r="F720" s="105" t="s">
        <v>88</v>
      </c>
      <c r="G720" s="88"/>
      <c r="H720" s="88"/>
      <c r="I720" s="87">
        <v>1.17</v>
      </c>
      <c r="J720" s="346">
        <f>+'[1]2023 MILCON Inflation Table'!F16</f>
        <v>1.2278483487290333</v>
      </c>
      <c r="K720" s="108">
        <f>+E720/I720*J720</f>
        <v>1276062.9099988264</v>
      </c>
      <c r="L720" s="105" t="s">
        <v>88</v>
      </c>
      <c r="M720" s="25"/>
      <c r="N720" s="26"/>
      <c r="O720" s="2"/>
      <c r="P720" s="27"/>
      <c r="Q720" s="26"/>
      <c r="R720" s="28"/>
    </row>
    <row r="721" spans="1:20" ht="30" customHeight="1" x14ac:dyDescent="0.45">
      <c r="A721" s="38">
        <v>15921</v>
      </c>
      <c r="B721" s="1065" t="s">
        <v>561</v>
      </c>
      <c r="C721" s="1065"/>
      <c r="D721" s="1065"/>
      <c r="E721" s="86">
        <v>2826000</v>
      </c>
      <c r="F721" s="105" t="s">
        <v>88</v>
      </c>
      <c r="G721" s="88"/>
      <c r="H721" s="88"/>
      <c r="I721" s="87">
        <v>2.75</v>
      </c>
      <c r="J721" s="88">
        <f>+'[1]2023 MILCON Inflation Table'!F18</f>
        <v>1.1214155171577724</v>
      </c>
      <c r="K721" s="108">
        <f>+E721/I721*J721</f>
        <v>1152407.3641774054</v>
      </c>
      <c r="L721" s="105" t="s">
        <v>88</v>
      </c>
      <c r="M721" s="25"/>
      <c r="N721" s="26"/>
      <c r="O721" s="2"/>
      <c r="P721" s="27"/>
      <c r="Q721" s="26"/>
      <c r="R721" s="28"/>
    </row>
    <row r="722" spans="1:20" ht="30" customHeight="1" thickBot="1" x14ac:dyDescent="0.5">
      <c r="A722" s="1154" t="s">
        <v>562</v>
      </c>
      <c r="B722" s="1154"/>
      <c r="C722" s="1154"/>
      <c r="D722" s="1154"/>
      <c r="E722" s="1154"/>
      <c r="F722" s="1154"/>
      <c r="G722" s="88"/>
      <c r="H722" s="88"/>
      <c r="I722" s="87"/>
      <c r="J722" s="88" t="s">
        <v>563</v>
      </c>
      <c r="K722" s="89">
        <f>AVERAGE(K719:K721)</f>
        <v>1326635.9410477432</v>
      </c>
      <c r="L722" s="87" t="s">
        <v>88</v>
      </c>
      <c r="M722" s="25"/>
      <c r="N722" s="26"/>
      <c r="O722" s="2"/>
      <c r="P722" s="27"/>
      <c r="Q722" s="26"/>
      <c r="R722" s="28"/>
    </row>
    <row r="723" spans="1:20" ht="30" customHeight="1" thickBot="1" x14ac:dyDescent="0.5">
      <c r="A723" s="1389"/>
      <c r="B723" s="1390"/>
      <c r="C723" s="1390"/>
      <c r="D723" s="1390"/>
      <c r="E723" s="1390"/>
      <c r="F723" s="1390"/>
      <c r="G723" s="1390"/>
      <c r="H723" s="1390"/>
      <c r="I723" s="1390"/>
      <c r="J723" s="1390"/>
      <c r="K723" s="1390"/>
      <c r="L723" s="1391"/>
      <c r="M723" s="25"/>
      <c r="N723" s="26"/>
      <c r="O723" s="2"/>
      <c r="P723" s="27"/>
      <c r="Q723" s="26"/>
      <c r="R723" s="28"/>
    </row>
    <row r="724" spans="1:20" ht="30" customHeight="1" x14ac:dyDescent="0.45">
      <c r="A724" s="93" t="s">
        <v>4</v>
      </c>
      <c r="B724" s="76">
        <v>1593</v>
      </c>
      <c r="C724" s="1073" t="s">
        <v>564</v>
      </c>
      <c r="D724" s="1074"/>
      <c r="E724" s="94" t="s">
        <v>7</v>
      </c>
      <c r="F724" s="95" t="s">
        <v>8</v>
      </c>
      <c r="G724" s="408" t="s">
        <v>148</v>
      </c>
      <c r="H724" s="96">
        <v>900</v>
      </c>
      <c r="I724" s="94" t="s">
        <v>9</v>
      </c>
      <c r="J724" s="985" t="s">
        <v>276</v>
      </c>
      <c r="K724" s="985"/>
      <c r="L724" s="986"/>
      <c r="M724" s="25"/>
      <c r="N724" s="26"/>
      <c r="O724" s="2"/>
      <c r="P724" s="27"/>
      <c r="Q724" s="26"/>
      <c r="R724" s="28"/>
    </row>
    <row r="725" spans="1:20" ht="30" customHeight="1" x14ac:dyDescent="0.45">
      <c r="A725" s="85" t="s">
        <v>277</v>
      </c>
      <c r="B725" s="987" t="s">
        <v>293</v>
      </c>
      <c r="C725" s="988"/>
      <c r="D725" s="989"/>
      <c r="E725" s="220" t="s">
        <v>13</v>
      </c>
      <c r="F725" s="220" t="s">
        <v>14</v>
      </c>
      <c r="G725" s="990" t="s">
        <v>15</v>
      </c>
      <c r="H725" s="991"/>
      <c r="I725" s="19" t="s">
        <v>278</v>
      </c>
      <c r="J725" s="19"/>
      <c r="K725" s="992" t="s">
        <v>17</v>
      </c>
      <c r="L725" s="993"/>
      <c r="M725" s="25"/>
      <c r="N725" s="26"/>
      <c r="O725" s="2"/>
      <c r="P725" s="27"/>
      <c r="Q725" s="26"/>
      <c r="R725" s="28"/>
    </row>
    <row r="726" spans="1:20" ht="30" customHeight="1" x14ac:dyDescent="0.45">
      <c r="A726" s="47" t="s">
        <v>484</v>
      </c>
      <c r="B726" s="1008" t="s">
        <v>565</v>
      </c>
      <c r="C726" s="1009"/>
      <c r="D726" s="1010"/>
      <c r="E726" s="375">
        <f>+(7.96+9.3)/2</f>
        <v>8.6300000000000008</v>
      </c>
      <c r="F726" s="56" t="s">
        <v>35</v>
      </c>
      <c r="G726" s="409">
        <v>9</v>
      </c>
      <c r="H726" s="349" t="s">
        <v>542</v>
      </c>
      <c r="I726" s="410">
        <v>1.28</v>
      </c>
      <c r="J726" s="47"/>
      <c r="K726" s="375">
        <f>+E726*G726*I726</f>
        <v>99.417600000000007</v>
      </c>
      <c r="L726" s="56" t="s">
        <v>8</v>
      </c>
      <c r="M726" s="121"/>
      <c r="N726" s="26"/>
      <c r="O726" s="2"/>
      <c r="P726" s="27"/>
      <c r="Q726" s="26"/>
      <c r="R726" s="28"/>
    </row>
    <row r="727" spans="1:20" ht="30" customHeight="1" x14ac:dyDescent="0.45">
      <c r="A727" s="47" t="s">
        <v>484</v>
      </c>
      <c r="B727" s="1008" t="s">
        <v>566</v>
      </c>
      <c r="C727" s="1009"/>
      <c r="D727" s="1010"/>
      <c r="E727" s="378">
        <f>(0.77+0.92)/2</f>
        <v>0.84499999999999997</v>
      </c>
      <c r="F727" s="56" t="s">
        <v>35</v>
      </c>
      <c r="G727" s="409">
        <v>9</v>
      </c>
      <c r="H727" s="349" t="s">
        <v>542</v>
      </c>
      <c r="I727" s="410">
        <v>1.28</v>
      </c>
      <c r="J727" s="47"/>
      <c r="K727" s="375">
        <f>+E727*G727*I727</f>
        <v>9.7343999999999991</v>
      </c>
      <c r="L727" s="56" t="s">
        <v>8</v>
      </c>
      <c r="M727" s="25"/>
      <c r="N727" s="26"/>
      <c r="O727" s="2"/>
      <c r="P727" s="27"/>
      <c r="Q727" s="26"/>
      <c r="R727" s="28"/>
    </row>
    <row r="728" spans="1:20" ht="30" customHeight="1" x14ac:dyDescent="0.45">
      <c r="A728" s="47" t="s">
        <v>544</v>
      </c>
      <c r="B728" s="1018" t="s">
        <v>567</v>
      </c>
      <c r="C728" s="1019"/>
      <c r="D728" s="1020"/>
      <c r="E728" s="221">
        <f>(57*8*12)+(16100)/8</f>
        <v>7484.5</v>
      </c>
      <c r="F728" s="47" t="s">
        <v>88</v>
      </c>
      <c r="G728" s="411">
        <f>8/H724</f>
        <v>8.8888888888888889E-3</v>
      </c>
      <c r="H728" s="351" t="s">
        <v>568</v>
      </c>
      <c r="I728" s="410">
        <v>1.31</v>
      </c>
      <c r="J728" s="47"/>
      <c r="K728" s="375">
        <f>+E728*G728*I728</f>
        <v>87.15284444444444</v>
      </c>
      <c r="L728" s="56" t="s">
        <v>8</v>
      </c>
      <c r="M728" s="25"/>
      <c r="N728" s="26"/>
      <c r="O728" s="2"/>
      <c r="P728" s="27"/>
      <c r="Q728" s="26"/>
      <c r="R728" s="28"/>
    </row>
    <row r="729" spans="1:20" ht="30" customHeight="1" x14ac:dyDescent="0.45">
      <c r="A729" s="47" t="s">
        <v>544</v>
      </c>
      <c r="B729" s="1018" t="s">
        <v>569</v>
      </c>
      <c r="C729" s="1019"/>
      <c r="D729" s="1020"/>
      <c r="E729" s="221">
        <f>+(33.75+47.25)/2</f>
        <v>40.5</v>
      </c>
      <c r="F729" s="47" t="s">
        <v>35</v>
      </c>
      <c r="G729" s="411">
        <f>200/H724</f>
        <v>0.22222222222222221</v>
      </c>
      <c r="H729" s="351" t="s">
        <v>542</v>
      </c>
      <c r="I729" s="410">
        <v>1.31</v>
      </c>
      <c r="J729" s="47"/>
      <c r="K729" s="375">
        <f>+E729*G729*I729</f>
        <v>11.790000000000001</v>
      </c>
      <c r="L729" s="56" t="s">
        <v>8</v>
      </c>
      <c r="M729" s="25"/>
      <c r="N729" s="26"/>
      <c r="O729" s="2"/>
      <c r="P729" s="27"/>
      <c r="Q729" s="26"/>
      <c r="R729" s="28"/>
    </row>
    <row r="730" spans="1:20" s="18" customFormat="1" ht="30" customHeight="1" x14ac:dyDescent="0.45">
      <c r="A730" s="58"/>
      <c r="B730" s="1030"/>
      <c r="C730" s="1030"/>
      <c r="D730" s="1030"/>
      <c r="E730" s="221"/>
      <c r="F730" s="47"/>
      <c r="G730" s="47"/>
      <c r="H730" s="47"/>
      <c r="I730" s="47"/>
      <c r="J730" s="47" t="s">
        <v>360</v>
      </c>
      <c r="K730" s="221">
        <f>SUM(K726:K729)</f>
        <v>208.09484444444442</v>
      </c>
      <c r="L730" s="56" t="s">
        <v>8</v>
      </c>
      <c r="M730" s="121"/>
      <c r="N730" s="229"/>
      <c r="O730" s="5"/>
    </row>
    <row r="731" spans="1:20" ht="30" customHeight="1" x14ac:dyDescent="0.45">
      <c r="A731" s="47"/>
      <c r="B731" s="224"/>
      <c r="C731" s="224"/>
      <c r="D731" s="224"/>
      <c r="E731" s="221"/>
      <c r="F731" s="1011" t="s">
        <v>285</v>
      </c>
      <c r="G731" s="1013" t="s">
        <v>286</v>
      </c>
      <c r="H731" s="1013"/>
      <c r="I731" s="1013"/>
      <c r="J731" s="1013"/>
      <c r="K731" s="278">
        <v>1.06</v>
      </c>
      <c r="L731" s="47"/>
      <c r="M731" s="25"/>
    </row>
    <row r="732" spans="1:20" ht="30" customHeight="1" x14ac:dyDescent="0.45">
      <c r="A732" s="47"/>
      <c r="B732" s="224"/>
      <c r="C732" s="224"/>
      <c r="D732" s="224"/>
      <c r="E732" s="221"/>
      <c r="F732" s="1012"/>
      <c r="G732" s="1014" t="s">
        <v>287</v>
      </c>
      <c r="H732" s="1014"/>
      <c r="I732" s="1014"/>
      <c r="J732" s="1014"/>
      <c r="K732" s="278">
        <v>1.05</v>
      </c>
      <c r="L732" s="47"/>
      <c r="M732" s="25"/>
      <c r="N732" s="3"/>
    </row>
    <row r="733" spans="1:20" ht="30" customHeight="1" x14ac:dyDescent="0.45">
      <c r="A733" s="58"/>
      <c r="B733" s="47"/>
      <c r="C733" s="58"/>
      <c r="D733" s="58"/>
      <c r="E733" s="58"/>
      <c r="F733" s="58"/>
      <c r="G733" s="58"/>
      <c r="H733" s="58"/>
      <c r="I733" s="58"/>
      <c r="J733" s="58" t="s">
        <v>39</v>
      </c>
      <c r="K733" s="216">
        <f>+K730*K731/K732</f>
        <v>210.07670010582007</v>
      </c>
      <c r="L733" s="56" t="s">
        <v>8</v>
      </c>
      <c r="M733" s="25"/>
      <c r="S733" s="41"/>
      <c r="T733" s="41"/>
    </row>
    <row r="734" spans="1:20" ht="30" customHeight="1" thickBot="1" x14ac:dyDescent="0.5">
      <c r="A734" s="58"/>
      <c r="B734" s="47"/>
      <c r="C734" s="58"/>
      <c r="D734" s="58"/>
      <c r="E734" s="58"/>
      <c r="F734" s="58"/>
      <c r="G734" s="1032" t="s">
        <v>288</v>
      </c>
      <c r="H734" s="1033"/>
      <c r="I734" s="1034"/>
      <c r="J734" s="213">
        <f>VLOOKUP(B724,'[1]Mil Cost Premiums for PUCs'!$A$4:$R$278,18,FALSE)</f>
        <v>1.0209999999999999</v>
      </c>
      <c r="K734" s="216">
        <f>+K733*J734</f>
        <v>214.48831080804226</v>
      </c>
      <c r="L734" s="56" t="s">
        <v>8</v>
      </c>
      <c r="M734" s="25"/>
      <c r="S734" s="41"/>
      <c r="T734" s="41"/>
    </row>
    <row r="735" spans="1:20" ht="30" customHeight="1" thickBot="1" x14ac:dyDescent="0.5">
      <c r="A735" s="999"/>
      <c r="B735" s="1000"/>
      <c r="C735" s="1000"/>
      <c r="D735" s="1000"/>
      <c r="E735" s="1000"/>
      <c r="F735" s="1000"/>
      <c r="G735" s="1000"/>
      <c r="H735" s="1000"/>
      <c r="I735" s="1000"/>
      <c r="J735" s="1000"/>
      <c r="K735" s="1000"/>
      <c r="L735" s="1001"/>
      <c r="M735" s="25"/>
    </row>
    <row r="736" spans="1:20" ht="30" customHeight="1" x14ac:dyDescent="0.45">
      <c r="A736" s="9" t="s">
        <v>4</v>
      </c>
      <c r="B736" s="10">
        <v>1611</v>
      </c>
      <c r="C736" s="983" t="s">
        <v>570</v>
      </c>
      <c r="D736" s="984"/>
      <c r="E736" s="13" t="s">
        <v>7</v>
      </c>
      <c r="F736" s="14" t="s">
        <v>88</v>
      </c>
      <c r="G736" s="11" t="s">
        <v>6</v>
      </c>
      <c r="H736" s="163">
        <v>1</v>
      </c>
      <c r="I736" s="13" t="s">
        <v>9</v>
      </c>
      <c r="J736" s="985" t="s">
        <v>571</v>
      </c>
      <c r="K736" s="985"/>
      <c r="L736" s="986"/>
      <c r="M736" s="121"/>
    </row>
    <row r="737" spans="1:20" ht="30" customHeight="1" x14ac:dyDescent="0.45">
      <c r="A737" s="19"/>
      <c r="B737" s="1007" t="s">
        <v>409</v>
      </c>
      <c r="C737" s="1007"/>
      <c r="D737" s="1007"/>
      <c r="E737" s="19" t="s">
        <v>13</v>
      </c>
      <c r="F737" s="19" t="s">
        <v>14</v>
      </c>
      <c r="G737" s="990" t="s">
        <v>15</v>
      </c>
      <c r="H737" s="991"/>
      <c r="I737" s="19" t="s">
        <v>59</v>
      </c>
      <c r="J737" s="19" t="s">
        <v>60</v>
      </c>
      <c r="K737" s="992" t="s">
        <v>39</v>
      </c>
      <c r="L737" s="993"/>
      <c r="N737" s="26"/>
      <c r="O737" s="2"/>
      <c r="P737" s="27"/>
      <c r="Q737" s="26"/>
      <c r="R737" s="28"/>
    </row>
    <row r="738" spans="1:20" ht="30" customHeight="1" thickBot="1" x14ac:dyDescent="0.5">
      <c r="A738" s="65"/>
      <c r="B738" s="1388">
        <v>797624.68228598498</v>
      </c>
      <c r="C738" s="1388"/>
      <c r="D738" s="1388"/>
      <c r="E738" s="86"/>
      <c r="F738" s="87"/>
      <c r="G738" s="1071"/>
      <c r="H738" s="1072"/>
      <c r="I738" s="87"/>
      <c r="J738" s="100">
        <f>+'[1]2023 MILCON Inflation Table'!F18</f>
        <v>1.1214155171577724</v>
      </c>
      <c r="K738" s="89">
        <f>B738*J738</f>
        <v>894468.69558354176</v>
      </c>
      <c r="L738" s="87" t="s">
        <v>88</v>
      </c>
      <c r="M738" s="25"/>
      <c r="S738" s="41"/>
      <c r="T738" s="41"/>
    </row>
    <row r="739" spans="1:20" ht="30" customHeight="1" thickBot="1" x14ac:dyDescent="0.5">
      <c r="A739" s="1389"/>
      <c r="B739" s="1390"/>
      <c r="C739" s="1390"/>
      <c r="D739" s="1390"/>
      <c r="E739" s="1390"/>
      <c r="F739" s="1390"/>
      <c r="G739" s="1390"/>
      <c r="H739" s="1390"/>
      <c r="I739" s="1390"/>
      <c r="J739" s="1390"/>
      <c r="K739" s="1390"/>
      <c r="L739" s="1391"/>
      <c r="M739" s="25"/>
      <c r="S739" s="41"/>
      <c r="T739" s="41"/>
    </row>
    <row r="740" spans="1:20" s="18" customFormat="1" ht="30" customHeight="1" x14ac:dyDescent="0.45">
      <c r="A740" s="93" t="s">
        <v>4</v>
      </c>
      <c r="B740" s="76">
        <v>1631</v>
      </c>
      <c r="C740" s="1073" t="s">
        <v>572</v>
      </c>
      <c r="D740" s="1074"/>
      <c r="E740" s="94" t="s">
        <v>7</v>
      </c>
      <c r="F740" s="95" t="s">
        <v>88</v>
      </c>
      <c r="G740" s="102" t="s">
        <v>6</v>
      </c>
      <c r="H740" s="96">
        <v>5</v>
      </c>
      <c r="I740" s="94" t="s">
        <v>9</v>
      </c>
      <c r="J740" s="1088" t="s">
        <v>573</v>
      </c>
      <c r="K740" s="1088"/>
      <c r="L740" s="1089"/>
      <c r="M740" s="25"/>
      <c r="N740" s="229"/>
      <c r="O740" s="5"/>
    </row>
    <row r="741" spans="1:20" ht="30" customHeight="1" x14ac:dyDescent="0.45">
      <c r="A741" s="19"/>
      <c r="B741" s="1007" t="s">
        <v>409</v>
      </c>
      <c r="C741" s="1007"/>
      <c r="D741" s="1007"/>
      <c r="E741" s="19" t="s">
        <v>13</v>
      </c>
      <c r="F741" s="19" t="s">
        <v>14</v>
      </c>
      <c r="G741" s="990" t="s">
        <v>15</v>
      </c>
      <c r="H741" s="991"/>
      <c r="I741" s="19" t="s">
        <v>59</v>
      </c>
      <c r="J741" s="19" t="s">
        <v>60</v>
      </c>
      <c r="K741" s="992" t="s">
        <v>39</v>
      </c>
      <c r="L741" s="993"/>
      <c r="M741" s="25"/>
    </row>
    <row r="742" spans="1:20" ht="30" customHeight="1" thickBot="1" x14ac:dyDescent="0.5">
      <c r="A742" s="65"/>
      <c r="B742" s="1388">
        <v>16980.315871021401</v>
      </c>
      <c r="C742" s="1388"/>
      <c r="D742" s="1388"/>
      <c r="E742" s="86"/>
      <c r="F742" s="87"/>
      <c r="G742" s="1071"/>
      <c r="H742" s="1072"/>
      <c r="I742" s="87"/>
      <c r="J742" s="100">
        <v>1.1214</v>
      </c>
      <c r="K742" s="89">
        <f>B742*J742</f>
        <v>19041.7262177634</v>
      </c>
      <c r="L742" s="87" t="s">
        <v>88</v>
      </c>
      <c r="M742" s="25"/>
    </row>
    <row r="743" spans="1:20" ht="30" customHeight="1" thickBot="1" x14ac:dyDescent="0.5">
      <c r="A743" s="1389"/>
      <c r="B743" s="1390"/>
      <c r="C743" s="1390"/>
      <c r="D743" s="1390"/>
      <c r="E743" s="1390"/>
      <c r="F743" s="1390"/>
      <c r="G743" s="1390"/>
      <c r="H743" s="1390"/>
      <c r="I743" s="1390"/>
      <c r="J743" s="1390"/>
      <c r="K743" s="1390"/>
      <c r="L743" s="1391"/>
      <c r="M743" s="25"/>
    </row>
    <row r="744" spans="1:20" ht="30" customHeight="1" x14ac:dyDescent="0.45">
      <c r="A744" s="93" t="s">
        <v>4</v>
      </c>
      <c r="B744" s="76">
        <v>1641</v>
      </c>
      <c r="C744" s="1073" t="s">
        <v>574</v>
      </c>
      <c r="D744" s="1074"/>
      <c r="E744" s="94" t="s">
        <v>7</v>
      </c>
      <c r="F744" s="95" t="s">
        <v>113</v>
      </c>
      <c r="G744" s="102" t="s">
        <v>6</v>
      </c>
      <c r="H744" s="413">
        <v>1685</v>
      </c>
      <c r="I744" s="94" t="s">
        <v>9</v>
      </c>
      <c r="J744" s="1088" t="s">
        <v>575</v>
      </c>
      <c r="K744" s="1088"/>
      <c r="L744" s="1089"/>
      <c r="M744" s="25"/>
      <c r="N744" s="186"/>
    </row>
    <row r="745" spans="1:20" ht="30" customHeight="1" x14ac:dyDescent="0.45">
      <c r="A745" s="85" t="s">
        <v>277</v>
      </c>
      <c r="B745" s="987" t="s">
        <v>293</v>
      </c>
      <c r="C745" s="988"/>
      <c r="D745" s="989"/>
      <c r="E745" s="220" t="s">
        <v>13</v>
      </c>
      <c r="F745" s="220" t="s">
        <v>14</v>
      </c>
      <c r="G745" s="990" t="s">
        <v>15</v>
      </c>
      <c r="H745" s="991"/>
      <c r="I745" s="277" t="s">
        <v>278</v>
      </c>
      <c r="J745" s="277"/>
      <c r="K745" s="992" t="s">
        <v>17</v>
      </c>
      <c r="L745" s="993"/>
      <c r="M745" s="25"/>
      <c r="N745" s="186"/>
      <c r="S745" s="41"/>
      <c r="T745" s="41"/>
    </row>
    <row r="746" spans="1:20" ht="30" customHeight="1" x14ac:dyDescent="0.45">
      <c r="A746" s="47" t="s">
        <v>544</v>
      </c>
      <c r="B746" s="1018" t="s">
        <v>576</v>
      </c>
      <c r="C746" s="1019"/>
      <c r="D746" s="1020"/>
      <c r="E746" s="221">
        <f>+(570+940)/2</f>
        <v>755</v>
      </c>
      <c r="F746" s="47" t="s">
        <v>113</v>
      </c>
      <c r="G746" s="414">
        <v>0.5</v>
      </c>
      <c r="H746" s="206" t="s">
        <v>577</v>
      </c>
      <c r="I746" s="47">
        <v>1.04</v>
      </c>
      <c r="J746" s="365"/>
      <c r="K746" s="221">
        <f>+E746*I746*G746</f>
        <v>392.6</v>
      </c>
      <c r="L746" s="47" t="s">
        <v>113</v>
      </c>
      <c r="M746" s="25"/>
      <c r="S746" s="41"/>
      <c r="T746" s="41"/>
    </row>
    <row r="747" spans="1:20" s="18" customFormat="1" ht="30" customHeight="1" x14ac:dyDescent="0.45">
      <c r="A747" s="47" t="s">
        <v>486</v>
      </c>
      <c r="B747" s="1018" t="s">
        <v>578</v>
      </c>
      <c r="C747" s="1019"/>
      <c r="D747" s="1020"/>
      <c r="E747" s="221">
        <f>(83.5+118)/2</f>
        <v>100.75</v>
      </c>
      <c r="F747" s="47" t="s">
        <v>8</v>
      </c>
      <c r="G747" s="47">
        <v>1.78</v>
      </c>
      <c r="H747" s="47" t="s">
        <v>579</v>
      </c>
      <c r="I747" s="47">
        <v>1.05</v>
      </c>
      <c r="J747" s="365"/>
      <c r="K747" s="221">
        <f>+E747*G747*I747</f>
        <v>188.30175000000003</v>
      </c>
      <c r="L747" s="47" t="s">
        <v>113</v>
      </c>
      <c r="M747" s="25"/>
      <c r="N747" s="229"/>
      <c r="O747" s="5"/>
    </row>
    <row r="748" spans="1:20" ht="30" customHeight="1" x14ac:dyDescent="0.45">
      <c r="A748" s="47"/>
      <c r="B748" s="47"/>
      <c r="C748" s="58"/>
      <c r="D748" s="58"/>
      <c r="E748" s="58"/>
      <c r="F748" s="58"/>
      <c r="G748" s="58"/>
      <c r="H748" s="58"/>
      <c r="I748" s="58"/>
      <c r="J748" s="47" t="s">
        <v>56</v>
      </c>
      <c r="K748" s="216">
        <f>AVERAGE(K746:K747)</f>
        <v>290.450875</v>
      </c>
      <c r="L748" s="47" t="s">
        <v>113</v>
      </c>
      <c r="M748" s="25"/>
    </row>
    <row r="749" spans="1:20" ht="30" customHeight="1" x14ac:dyDescent="0.45">
      <c r="A749" s="47"/>
      <c r="B749" s="224"/>
      <c r="C749" s="224"/>
      <c r="D749" s="224"/>
      <c r="E749" s="221"/>
      <c r="F749" s="1011" t="s">
        <v>285</v>
      </c>
      <c r="G749" s="1013" t="s">
        <v>286</v>
      </c>
      <c r="H749" s="1013"/>
      <c r="I749" s="1013"/>
      <c r="J749" s="1013"/>
      <c r="K749" s="278">
        <v>1.07</v>
      </c>
      <c r="L749" s="47"/>
      <c r="M749" s="25"/>
      <c r="N749" s="3"/>
    </row>
    <row r="750" spans="1:20" ht="30" customHeight="1" x14ac:dyDescent="0.45">
      <c r="A750" s="47"/>
      <c r="B750" s="224"/>
      <c r="C750" s="224"/>
      <c r="D750" s="224"/>
      <c r="E750" s="221"/>
      <c r="F750" s="1012"/>
      <c r="G750" s="1014" t="s">
        <v>580</v>
      </c>
      <c r="H750" s="1014"/>
      <c r="I750" s="1014"/>
      <c r="J750" s="1014"/>
      <c r="K750" s="278">
        <v>1.08</v>
      </c>
      <c r="L750" s="47"/>
      <c r="M750" s="25"/>
      <c r="S750" s="41"/>
      <c r="T750" s="41"/>
    </row>
    <row r="751" spans="1:20" ht="30" customHeight="1" x14ac:dyDescent="0.45">
      <c r="A751" s="47"/>
      <c r="B751" s="47"/>
      <c r="C751" s="58"/>
      <c r="D751" s="58"/>
      <c r="E751" s="58"/>
      <c r="F751" s="58"/>
      <c r="G751" s="1021" t="s">
        <v>288</v>
      </c>
      <c r="H751" s="1022"/>
      <c r="I751" s="1023"/>
      <c r="J751" s="213">
        <f>VLOOKUP(B744,'[1]Mil Cost Premiums for PUCs'!$A$4:$R$278,18,FALSE)</f>
        <v>1.0209999999999999</v>
      </c>
      <c r="K751" s="216">
        <f>+K748*K749/K750</f>
        <v>287.76151504629627</v>
      </c>
      <c r="L751" s="47" t="s">
        <v>113</v>
      </c>
      <c r="M751" s="25"/>
      <c r="S751" s="41"/>
      <c r="T751" s="41"/>
    </row>
    <row r="752" spans="1:20" ht="30" customHeight="1" x14ac:dyDescent="0.45">
      <c r="A752" s="47"/>
      <c r="B752" s="47"/>
      <c r="C752" s="58"/>
      <c r="D752" s="58"/>
      <c r="E752" s="58"/>
      <c r="F752" s="58"/>
      <c r="G752" s="1175" t="s">
        <v>581</v>
      </c>
      <c r="H752" s="1086"/>
      <c r="I752" s="1087"/>
      <c r="J752" s="213">
        <f>+'[1]2023 MILCON Inflation Table'!F17</f>
        <v>1.2152790130673263</v>
      </c>
      <c r="K752" s="216">
        <f>K751*J752</f>
        <v>349.71053000422148</v>
      </c>
      <c r="L752" s="47" t="s">
        <v>113</v>
      </c>
      <c r="M752" s="25"/>
      <c r="S752" s="41"/>
      <c r="T752" s="41"/>
    </row>
    <row r="753" spans="1:20" ht="30" customHeight="1" thickBot="1" x14ac:dyDescent="0.5">
      <c r="A753" s="225"/>
      <c r="B753" s="225"/>
      <c r="C753" s="150"/>
      <c r="D753" s="150"/>
      <c r="E753" s="150"/>
      <c r="F753" s="150"/>
      <c r="G753" s="1025" t="s">
        <v>299</v>
      </c>
      <c r="H753" s="1026"/>
      <c r="I753" s="1027"/>
      <c r="J753" s="226">
        <v>1.1214</v>
      </c>
      <c r="K753" s="227">
        <f>+K752*J753</f>
        <v>392.16538834673395</v>
      </c>
      <c r="L753" s="47" t="s">
        <v>113</v>
      </c>
      <c r="M753" s="25"/>
    </row>
    <row r="754" spans="1:20" ht="30" customHeight="1" thickBot="1" x14ac:dyDescent="0.5">
      <c r="A754" s="999"/>
      <c r="B754" s="1000"/>
      <c r="C754" s="1000"/>
      <c r="D754" s="1000"/>
      <c r="E754" s="1000"/>
      <c r="F754" s="1000"/>
      <c r="G754" s="1000"/>
      <c r="H754" s="1000"/>
      <c r="I754" s="1000"/>
      <c r="J754" s="1000"/>
      <c r="K754" s="1000"/>
      <c r="L754" s="1001"/>
      <c r="M754" s="25"/>
    </row>
    <row r="755" spans="1:20" ht="30" customHeight="1" x14ac:dyDescent="0.45">
      <c r="A755" s="9" t="s">
        <v>4</v>
      </c>
      <c r="B755" s="10">
        <v>1711</v>
      </c>
      <c r="C755" s="1138" t="s">
        <v>582</v>
      </c>
      <c r="D755" s="1139"/>
      <c r="E755" s="13" t="s">
        <v>7</v>
      </c>
      <c r="F755" s="14" t="s">
        <v>35</v>
      </c>
      <c r="G755" s="11" t="s">
        <v>6</v>
      </c>
      <c r="H755" s="273">
        <v>87312.278242659493</v>
      </c>
      <c r="I755" s="13" t="s">
        <v>9</v>
      </c>
      <c r="J755" s="985" t="s">
        <v>266</v>
      </c>
      <c r="K755" s="985"/>
      <c r="L755" s="986"/>
      <c r="M755" s="25"/>
    </row>
    <row r="756" spans="1:20" ht="30" customHeight="1" x14ac:dyDescent="0.45">
      <c r="A756" s="19" t="s">
        <v>11</v>
      </c>
      <c r="B756" s="1005" t="s">
        <v>12</v>
      </c>
      <c r="C756" s="1005"/>
      <c r="D756" s="1005"/>
      <c r="E756" s="132" t="s">
        <v>267</v>
      </c>
      <c r="F756" s="20" t="s">
        <v>13</v>
      </c>
      <c r="G756" s="19"/>
      <c r="H756" s="19"/>
      <c r="I756" s="1068" t="s">
        <v>16</v>
      </c>
      <c r="J756" s="1069"/>
      <c r="K756" s="992" t="s">
        <v>17</v>
      </c>
      <c r="L756" s="993"/>
      <c r="M756" s="25"/>
      <c r="N756" s="186"/>
      <c r="S756" s="41"/>
      <c r="T756" s="41"/>
    </row>
    <row r="757" spans="1:20" ht="30" customHeight="1" x14ac:dyDescent="0.45">
      <c r="A757" s="29" t="s">
        <v>268</v>
      </c>
      <c r="B757" s="994" t="s">
        <v>583</v>
      </c>
      <c r="C757" s="994"/>
      <c r="D757" s="994"/>
      <c r="E757" s="176">
        <v>22000</v>
      </c>
      <c r="F757" s="145">
        <v>548</v>
      </c>
      <c r="G757" s="177"/>
      <c r="H757" s="178"/>
      <c r="I757" s="1119" t="s">
        <v>270</v>
      </c>
      <c r="J757" s="1120"/>
      <c r="K757" s="145">
        <f>+F757</f>
        <v>548</v>
      </c>
      <c r="L757" s="29" t="s">
        <v>35</v>
      </c>
      <c r="M757" s="121"/>
      <c r="N757" s="186"/>
      <c r="S757" s="41"/>
      <c r="T757" s="41"/>
    </row>
    <row r="758" spans="1:20" s="18" customFormat="1" ht="30" customHeight="1" thickBot="1" x14ac:dyDescent="0.5">
      <c r="A758" s="47"/>
      <c r="B758" s="1092"/>
      <c r="C758" s="1092"/>
      <c r="D758" s="1092"/>
      <c r="E758" s="180"/>
      <c r="F758" s="181"/>
      <c r="G758" s="181"/>
      <c r="H758" s="182"/>
      <c r="I758" s="58"/>
      <c r="J758" s="85" t="s">
        <v>39</v>
      </c>
      <c r="K758" s="216">
        <f>+K757</f>
        <v>548</v>
      </c>
      <c r="L758" s="47" t="s">
        <v>35</v>
      </c>
      <c r="M758" s="25"/>
      <c r="N758" s="229"/>
      <c r="O758" s="5"/>
    </row>
    <row r="759" spans="1:20" ht="30" customHeight="1" thickBot="1" x14ac:dyDescent="0.5">
      <c r="A759" s="999"/>
      <c r="B759" s="1000"/>
      <c r="C759" s="1000"/>
      <c r="D759" s="1000"/>
      <c r="E759" s="1000"/>
      <c r="F759" s="1000"/>
      <c r="G759" s="1000"/>
      <c r="H759" s="1000"/>
      <c r="I759" s="1000"/>
      <c r="J759" s="1000"/>
      <c r="K759" s="1000"/>
      <c r="L759" s="1001"/>
      <c r="M759" s="25"/>
    </row>
    <row r="760" spans="1:20" ht="30" customHeight="1" x14ac:dyDescent="0.45">
      <c r="A760" s="9" t="s">
        <v>4</v>
      </c>
      <c r="B760" s="10">
        <v>1712</v>
      </c>
      <c r="C760" s="1138" t="s">
        <v>584</v>
      </c>
      <c r="D760" s="1139"/>
      <c r="E760" s="13" t="s">
        <v>7</v>
      </c>
      <c r="F760" s="14" t="s">
        <v>35</v>
      </c>
      <c r="G760" s="11" t="s">
        <v>6</v>
      </c>
      <c r="H760" s="273">
        <v>17822.158293814398</v>
      </c>
      <c r="I760" s="13" t="s">
        <v>9</v>
      </c>
      <c r="J760" s="985" t="s">
        <v>266</v>
      </c>
      <c r="K760" s="985"/>
      <c r="L760" s="986"/>
      <c r="M760" s="25"/>
      <c r="S760" s="41"/>
      <c r="T760" s="41"/>
    </row>
    <row r="761" spans="1:20" ht="30" customHeight="1" x14ac:dyDescent="0.45">
      <c r="A761" s="19" t="s">
        <v>11</v>
      </c>
      <c r="B761" s="1005" t="s">
        <v>12</v>
      </c>
      <c r="C761" s="1005"/>
      <c r="D761" s="1005"/>
      <c r="E761" s="132" t="s">
        <v>267</v>
      </c>
      <c r="F761" s="20" t="s">
        <v>13</v>
      </c>
      <c r="G761" s="19"/>
      <c r="H761" s="19"/>
      <c r="I761" s="1068" t="s">
        <v>16</v>
      </c>
      <c r="J761" s="1069"/>
      <c r="K761" s="992" t="s">
        <v>17</v>
      </c>
      <c r="L761" s="993"/>
      <c r="M761" s="25"/>
      <c r="S761" s="41"/>
      <c r="T761" s="41"/>
    </row>
    <row r="762" spans="1:20" s="18" customFormat="1" ht="30" customHeight="1" x14ac:dyDescent="0.45">
      <c r="A762" s="29" t="s">
        <v>268</v>
      </c>
      <c r="B762" s="994" t="s">
        <v>585</v>
      </c>
      <c r="C762" s="994"/>
      <c r="D762" s="994"/>
      <c r="E762" s="176">
        <v>25000</v>
      </c>
      <c r="F762" s="145">
        <v>433</v>
      </c>
      <c r="G762" s="177"/>
      <c r="H762" s="178"/>
      <c r="I762" s="1119" t="s">
        <v>270</v>
      </c>
      <c r="J762" s="1120"/>
      <c r="K762" s="145">
        <f>+F762</f>
        <v>433</v>
      </c>
      <c r="L762" s="29" t="s">
        <v>35</v>
      </c>
      <c r="M762" s="25"/>
      <c r="N762" s="229"/>
      <c r="O762" s="5"/>
    </row>
    <row r="763" spans="1:20" ht="30" customHeight="1" thickBot="1" x14ac:dyDescent="0.5">
      <c r="A763" s="47"/>
      <c r="B763" s="1092"/>
      <c r="C763" s="1092"/>
      <c r="D763" s="1092"/>
      <c r="E763" s="180"/>
      <c r="F763" s="181"/>
      <c r="G763" s="181"/>
      <c r="H763" s="182"/>
      <c r="I763" s="58"/>
      <c r="J763" s="85" t="s">
        <v>39</v>
      </c>
      <c r="K763" s="216">
        <f>+K762</f>
        <v>433</v>
      </c>
      <c r="L763" s="47" t="s">
        <v>35</v>
      </c>
      <c r="M763" s="121"/>
    </row>
    <row r="764" spans="1:20" ht="30" customHeight="1" thickBot="1" x14ac:dyDescent="0.5">
      <c r="A764" s="999"/>
      <c r="B764" s="1000"/>
      <c r="C764" s="1000"/>
      <c r="D764" s="1000"/>
      <c r="E764" s="1000"/>
      <c r="F764" s="1000"/>
      <c r="G764" s="1000"/>
      <c r="H764" s="1000"/>
      <c r="I764" s="1000"/>
      <c r="J764" s="1000"/>
      <c r="K764" s="1000"/>
      <c r="L764" s="1001"/>
      <c r="M764" s="25"/>
    </row>
    <row r="765" spans="1:20" ht="30" customHeight="1" x14ac:dyDescent="0.45">
      <c r="A765" s="9" t="s">
        <v>4</v>
      </c>
      <c r="B765" s="10">
        <v>1713</v>
      </c>
      <c r="C765" s="1138" t="s">
        <v>586</v>
      </c>
      <c r="D765" s="1139"/>
      <c r="E765" s="13" t="s">
        <v>7</v>
      </c>
      <c r="F765" s="14" t="s">
        <v>35</v>
      </c>
      <c r="G765" s="11" t="s">
        <v>6</v>
      </c>
      <c r="H765" s="169">
        <v>10771.373146067401</v>
      </c>
      <c r="I765" s="13" t="s">
        <v>9</v>
      </c>
      <c r="J765" s="985" t="s">
        <v>266</v>
      </c>
      <c r="K765" s="985"/>
      <c r="L765" s="986"/>
      <c r="M765" s="25"/>
      <c r="S765" s="41"/>
      <c r="T765" s="41"/>
    </row>
    <row r="766" spans="1:20" ht="30" customHeight="1" x14ac:dyDescent="0.45">
      <c r="A766" s="19" t="s">
        <v>11</v>
      </c>
      <c r="B766" s="1005" t="s">
        <v>12</v>
      </c>
      <c r="C766" s="1005"/>
      <c r="D766" s="1005"/>
      <c r="E766" s="19" t="s">
        <v>267</v>
      </c>
      <c r="F766" s="20" t="s">
        <v>13</v>
      </c>
      <c r="G766" s="1114" t="s">
        <v>15</v>
      </c>
      <c r="H766" s="1115"/>
      <c r="I766" s="1068" t="s">
        <v>16</v>
      </c>
      <c r="J766" s="1069"/>
      <c r="K766" s="992" t="s">
        <v>17</v>
      </c>
      <c r="L766" s="993"/>
      <c r="S766" s="41"/>
      <c r="T766" s="41"/>
    </row>
    <row r="767" spans="1:20" s="18" customFormat="1" ht="30" customHeight="1" x14ac:dyDescent="0.45">
      <c r="A767" s="47">
        <v>14129</v>
      </c>
      <c r="B767" s="1018" t="s">
        <v>587</v>
      </c>
      <c r="C767" s="1019"/>
      <c r="D767" s="1020"/>
      <c r="E767" s="394">
        <v>140000</v>
      </c>
      <c r="F767" s="221">
        <v>437</v>
      </c>
      <c r="G767" s="177"/>
      <c r="H767" s="177"/>
      <c r="I767" s="1119" t="str">
        <f>$I$762</f>
        <v>NA;  GUCs are as of October 2022</v>
      </c>
      <c r="J767" s="1120"/>
      <c r="K767" s="313">
        <f>+F767</f>
        <v>437</v>
      </c>
      <c r="L767" s="29" t="s">
        <v>35</v>
      </c>
      <c r="N767" s="229"/>
      <c r="O767" s="5"/>
    </row>
    <row r="768" spans="1:20" ht="30" customHeight="1" thickBot="1" x14ac:dyDescent="0.5">
      <c r="A768" s="47"/>
      <c r="B768" s="173"/>
      <c r="C768" s="161"/>
      <c r="D768" s="161"/>
      <c r="E768" s="161"/>
      <c r="F768" s="415"/>
      <c r="G768" s="161"/>
      <c r="H768" s="389"/>
      <c r="I768" s="58"/>
      <c r="J768" s="85" t="s">
        <v>39</v>
      </c>
      <c r="K768" s="185">
        <f>+K767</f>
        <v>437</v>
      </c>
      <c r="L768" s="47" t="s">
        <v>35</v>
      </c>
      <c r="M768" s="25"/>
    </row>
    <row r="769" spans="1:20" ht="30" customHeight="1" thickBot="1" x14ac:dyDescent="0.5">
      <c r="A769" s="999"/>
      <c r="B769" s="1000"/>
      <c r="C769" s="1000"/>
      <c r="D769" s="1000"/>
      <c r="E769" s="1000"/>
      <c r="F769" s="1000"/>
      <c r="G769" s="1000"/>
      <c r="H769" s="1000"/>
      <c r="I769" s="1000"/>
      <c r="J769" s="1000"/>
      <c r="K769" s="1000"/>
      <c r="L769" s="1001"/>
      <c r="M769" s="25"/>
      <c r="N769" s="3"/>
    </row>
    <row r="770" spans="1:20" ht="30" customHeight="1" x14ac:dyDescent="0.45">
      <c r="A770" s="9" t="s">
        <v>4</v>
      </c>
      <c r="B770" s="10">
        <v>1714</v>
      </c>
      <c r="C770" s="1138" t="s">
        <v>588</v>
      </c>
      <c r="D770" s="1139"/>
      <c r="E770" s="13" t="s">
        <v>7</v>
      </c>
      <c r="F770" s="14" t="s">
        <v>35</v>
      </c>
      <c r="G770" s="11" t="s">
        <v>6</v>
      </c>
      <c r="H770" s="273">
        <v>25878.860705016901</v>
      </c>
      <c r="I770" s="13" t="s">
        <v>9</v>
      </c>
      <c r="J770" s="985" t="s">
        <v>266</v>
      </c>
      <c r="K770" s="985"/>
      <c r="L770" s="986"/>
      <c r="M770" s="25"/>
      <c r="S770" s="41"/>
      <c r="T770" s="41"/>
    </row>
    <row r="771" spans="1:20" ht="30" customHeight="1" x14ac:dyDescent="0.45">
      <c r="A771" s="19" t="s">
        <v>11</v>
      </c>
      <c r="B771" s="1005" t="s">
        <v>12</v>
      </c>
      <c r="C771" s="1005"/>
      <c r="D771" s="1005"/>
      <c r="E771" s="132" t="s">
        <v>267</v>
      </c>
      <c r="F771" s="20" t="s">
        <v>13</v>
      </c>
      <c r="G771" s="19"/>
      <c r="H771" s="19"/>
      <c r="I771" s="1068" t="s">
        <v>16</v>
      </c>
      <c r="J771" s="1069"/>
      <c r="K771" s="992" t="s">
        <v>17</v>
      </c>
      <c r="L771" s="993"/>
      <c r="M771" s="25"/>
      <c r="S771" s="41"/>
      <c r="T771" s="41"/>
    </row>
    <row r="772" spans="1:20" s="18" customFormat="1" ht="30" customHeight="1" x14ac:dyDescent="0.45">
      <c r="A772" s="29" t="s">
        <v>268</v>
      </c>
      <c r="B772" s="994" t="s">
        <v>589</v>
      </c>
      <c r="C772" s="994"/>
      <c r="D772" s="994"/>
      <c r="E772" s="176">
        <v>49000</v>
      </c>
      <c r="F772" s="145">
        <v>459</v>
      </c>
      <c r="G772" s="177"/>
      <c r="H772" s="178"/>
      <c r="I772" s="1119" t="str">
        <f>$I$762</f>
        <v>NA;  GUCs are as of October 2022</v>
      </c>
      <c r="J772" s="1120"/>
      <c r="K772" s="145">
        <f>+F772</f>
        <v>459</v>
      </c>
      <c r="L772" s="29" t="s">
        <v>35</v>
      </c>
      <c r="M772" s="25"/>
      <c r="N772" s="229"/>
      <c r="O772" s="5"/>
    </row>
    <row r="773" spans="1:20" ht="30" customHeight="1" thickBot="1" x14ac:dyDescent="0.5">
      <c r="A773" s="47"/>
      <c r="B773" s="1092"/>
      <c r="C773" s="1092"/>
      <c r="D773" s="1092"/>
      <c r="E773" s="180"/>
      <c r="F773" s="181"/>
      <c r="G773" s="181"/>
      <c r="H773" s="182"/>
      <c r="I773" s="58"/>
      <c r="J773" s="85" t="s">
        <v>39</v>
      </c>
      <c r="K773" s="216">
        <f>+K772</f>
        <v>459</v>
      </c>
      <c r="L773" s="222" t="s">
        <v>35</v>
      </c>
      <c r="M773" s="90"/>
    </row>
    <row r="774" spans="1:20" ht="30" customHeight="1" thickBot="1" x14ac:dyDescent="0.5">
      <c r="A774" s="999"/>
      <c r="B774" s="1000"/>
      <c r="C774" s="1000"/>
      <c r="D774" s="1000"/>
      <c r="E774" s="1000"/>
      <c r="F774" s="1000"/>
      <c r="G774" s="1000"/>
      <c r="H774" s="1000"/>
      <c r="I774" s="1000"/>
      <c r="J774" s="1000"/>
      <c r="K774" s="1000"/>
      <c r="L774" s="1000"/>
      <c r="M774" s="416"/>
      <c r="N774" s="3"/>
    </row>
    <row r="775" spans="1:20" ht="30" customHeight="1" x14ac:dyDescent="0.45">
      <c r="A775" s="9" t="s">
        <v>4</v>
      </c>
      <c r="B775" s="175">
        <v>1715</v>
      </c>
      <c r="C775" s="1138" t="s">
        <v>590</v>
      </c>
      <c r="D775" s="1139"/>
      <c r="E775" s="13" t="s">
        <v>7</v>
      </c>
      <c r="F775" s="14" t="s">
        <v>35</v>
      </c>
      <c r="G775" s="11" t="s">
        <v>6</v>
      </c>
      <c r="H775" s="163">
        <v>37534.418947368402</v>
      </c>
      <c r="I775" s="13" t="s">
        <v>9</v>
      </c>
      <c r="J775" s="985" t="s">
        <v>266</v>
      </c>
      <c r="K775" s="985"/>
      <c r="L775" s="985"/>
      <c r="M775" s="417"/>
      <c r="S775" s="41"/>
      <c r="T775" s="41"/>
    </row>
    <row r="776" spans="1:20" ht="30" customHeight="1" x14ac:dyDescent="0.45">
      <c r="A776" s="19" t="s">
        <v>11</v>
      </c>
      <c r="B776" s="1005" t="s">
        <v>12</v>
      </c>
      <c r="C776" s="1005"/>
      <c r="D776" s="1005"/>
      <c r="E776" s="19" t="s">
        <v>267</v>
      </c>
      <c r="F776" s="20" t="s">
        <v>13</v>
      </c>
      <c r="G776" s="1114" t="s">
        <v>15</v>
      </c>
      <c r="H776" s="1115"/>
      <c r="I776" s="1068" t="s">
        <v>16</v>
      </c>
      <c r="J776" s="1069"/>
      <c r="K776" s="992" t="s">
        <v>17</v>
      </c>
      <c r="L776" s="1387"/>
      <c r="M776" s="90"/>
      <c r="S776" s="41"/>
      <c r="T776" s="41"/>
    </row>
    <row r="777" spans="1:20" s="18" customFormat="1" ht="30" customHeight="1" x14ac:dyDescent="0.45">
      <c r="A777" s="29" t="s">
        <v>268</v>
      </c>
      <c r="B777" s="994" t="s">
        <v>591</v>
      </c>
      <c r="C777" s="994"/>
      <c r="D777" s="994"/>
      <c r="E777" s="418">
        <v>64000</v>
      </c>
      <c r="F777" s="31">
        <v>422</v>
      </c>
      <c r="G777" s="29"/>
      <c r="H777" s="29"/>
      <c r="I777" s="1119" t="str">
        <f>$I$762</f>
        <v>NA;  GUCs are as of October 2022</v>
      </c>
      <c r="J777" s="1120"/>
      <c r="K777" s="419">
        <f>+F777</f>
        <v>422</v>
      </c>
      <c r="L777" s="38" t="s">
        <v>35</v>
      </c>
      <c r="M777" s="25"/>
      <c r="N777" s="229"/>
      <c r="O777" s="5"/>
    </row>
    <row r="778" spans="1:20" ht="30" customHeight="1" thickBot="1" x14ac:dyDescent="0.5">
      <c r="A778" s="47"/>
      <c r="B778" s="1092"/>
      <c r="C778" s="1092"/>
      <c r="D778" s="1092"/>
      <c r="E778" s="180"/>
      <c r="F778" s="181"/>
      <c r="G778" s="181"/>
      <c r="H778" s="182"/>
      <c r="I778" s="58"/>
      <c r="J778" s="85" t="s">
        <v>39</v>
      </c>
      <c r="K778" s="185">
        <f>+K777</f>
        <v>422</v>
      </c>
      <c r="L778" s="47" t="s">
        <v>35</v>
      </c>
      <c r="M778" s="25"/>
      <c r="N778" s="363"/>
    </row>
    <row r="779" spans="1:20" ht="30" customHeight="1" thickBot="1" x14ac:dyDescent="0.5">
      <c r="A779" s="999"/>
      <c r="B779" s="1000"/>
      <c r="C779" s="1000"/>
      <c r="D779" s="1000"/>
      <c r="E779" s="1000"/>
      <c r="F779" s="1000"/>
      <c r="G779" s="1000"/>
      <c r="H779" s="1000"/>
      <c r="I779" s="1000"/>
      <c r="J779" s="1000"/>
      <c r="K779" s="1000"/>
      <c r="L779" s="1001"/>
      <c r="M779" s="25"/>
    </row>
    <row r="780" spans="1:20" ht="30" customHeight="1" x14ac:dyDescent="0.45">
      <c r="A780" s="9" t="s">
        <v>4</v>
      </c>
      <c r="B780" s="10">
        <v>1717</v>
      </c>
      <c r="C780" s="1138" t="s">
        <v>592</v>
      </c>
      <c r="D780" s="1139"/>
      <c r="E780" s="13" t="s">
        <v>7</v>
      </c>
      <c r="F780" s="14" t="s">
        <v>35</v>
      </c>
      <c r="G780" s="11" t="s">
        <v>6</v>
      </c>
      <c r="H780" s="273">
        <v>7827.16644230769</v>
      </c>
      <c r="I780" s="13" t="s">
        <v>9</v>
      </c>
      <c r="J780" s="985" t="s">
        <v>266</v>
      </c>
      <c r="K780" s="985"/>
      <c r="L780" s="986"/>
      <c r="M780" s="25"/>
      <c r="N780" s="3"/>
    </row>
    <row r="781" spans="1:20" ht="30" customHeight="1" x14ac:dyDescent="0.45">
      <c r="A781" s="19" t="s">
        <v>11</v>
      </c>
      <c r="B781" s="1005" t="s">
        <v>12</v>
      </c>
      <c r="C781" s="1005"/>
      <c r="D781" s="1005"/>
      <c r="E781" s="132" t="s">
        <v>267</v>
      </c>
      <c r="F781" s="20" t="s">
        <v>13</v>
      </c>
      <c r="G781" s="19"/>
      <c r="H781" s="19"/>
      <c r="I781" s="1068" t="s">
        <v>16</v>
      </c>
      <c r="J781" s="1069"/>
      <c r="K781" s="992" t="s">
        <v>17</v>
      </c>
      <c r="L781" s="993"/>
      <c r="M781" s="25"/>
      <c r="S781" s="41"/>
      <c r="T781" s="41"/>
    </row>
    <row r="782" spans="1:20" ht="30" customHeight="1" x14ac:dyDescent="0.45">
      <c r="A782" s="29" t="s">
        <v>268</v>
      </c>
      <c r="B782" s="994" t="s">
        <v>593</v>
      </c>
      <c r="C782" s="994"/>
      <c r="D782" s="994"/>
      <c r="E782" s="176">
        <v>22000</v>
      </c>
      <c r="F782" s="145">
        <v>548</v>
      </c>
      <c r="G782" s="177"/>
      <c r="H782" s="178"/>
      <c r="I782" s="1119" t="str">
        <f>$I$762</f>
        <v>NA;  GUCs are as of October 2022</v>
      </c>
      <c r="J782" s="1120"/>
      <c r="K782" s="145">
        <f>+F782</f>
        <v>548</v>
      </c>
      <c r="L782" s="29" t="s">
        <v>35</v>
      </c>
      <c r="M782" s="25"/>
      <c r="S782" s="41"/>
      <c r="T782" s="41"/>
    </row>
    <row r="783" spans="1:20" s="18" customFormat="1" ht="30" customHeight="1" thickBot="1" x14ac:dyDescent="0.5">
      <c r="A783" s="47"/>
      <c r="B783" s="1092"/>
      <c r="C783" s="1092"/>
      <c r="D783" s="1092"/>
      <c r="E783" s="180"/>
      <c r="F783" s="181"/>
      <c r="G783" s="181"/>
      <c r="H783" s="182"/>
      <c r="I783" s="58"/>
      <c r="J783" s="85" t="s">
        <v>39</v>
      </c>
      <c r="K783" s="216">
        <f>+K782</f>
        <v>548</v>
      </c>
      <c r="L783" s="47" t="s">
        <v>35</v>
      </c>
      <c r="M783" s="25"/>
      <c r="N783" s="229"/>
      <c r="O783" s="5"/>
    </row>
    <row r="784" spans="1:20" ht="30" customHeight="1" thickBot="1" x14ac:dyDescent="0.5">
      <c r="A784" s="999"/>
      <c r="B784" s="1000"/>
      <c r="C784" s="1000"/>
      <c r="D784" s="1000"/>
      <c r="E784" s="1000"/>
      <c r="F784" s="1000"/>
      <c r="G784" s="1000"/>
      <c r="H784" s="1000"/>
      <c r="I784" s="1000"/>
      <c r="J784" s="1000"/>
      <c r="K784" s="1000"/>
      <c r="L784" s="1001"/>
      <c r="M784" s="25"/>
    </row>
    <row r="785" spans="1:20" ht="30" customHeight="1" x14ac:dyDescent="0.45">
      <c r="A785" s="9" t="s">
        <v>4</v>
      </c>
      <c r="B785" s="10">
        <v>1718</v>
      </c>
      <c r="C785" s="1138" t="s">
        <v>594</v>
      </c>
      <c r="D785" s="1139"/>
      <c r="E785" s="13" t="s">
        <v>7</v>
      </c>
      <c r="F785" s="14" t="s">
        <v>35</v>
      </c>
      <c r="G785" s="11" t="s">
        <v>6</v>
      </c>
      <c r="H785" s="273">
        <v>10797.329912023401</v>
      </c>
      <c r="I785" s="13" t="s">
        <v>9</v>
      </c>
      <c r="J785" s="985" t="s">
        <v>266</v>
      </c>
      <c r="K785" s="985"/>
      <c r="L785" s="986"/>
      <c r="M785" s="25"/>
      <c r="N785" s="3"/>
    </row>
    <row r="786" spans="1:20" ht="30" customHeight="1" x14ac:dyDescent="0.45">
      <c r="A786" s="19" t="s">
        <v>11</v>
      </c>
      <c r="B786" s="1005" t="s">
        <v>12</v>
      </c>
      <c r="C786" s="1005"/>
      <c r="D786" s="1005"/>
      <c r="E786" s="132" t="s">
        <v>267</v>
      </c>
      <c r="F786" s="20" t="s">
        <v>13</v>
      </c>
      <c r="G786" s="19"/>
      <c r="H786" s="19"/>
      <c r="I786" s="1068" t="s">
        <v>16</v>
      </c>
      <c r="J786" s="1069"/>
      <c r="K786" s="992" t="s">
        <v>17</v>
      </c>
      <c r="L786" s="993"/>
      <c r="M786" s="25"/>
      <c r="S786" s="41"/>
      <c r="T786" s="41"/>
    </row>
    <row r="787" spans="1:20" ht="30" customHeight="1" x14ac:dyDescent="0.45">
      <c r="A787" s="29" t="s">
        <v>268</v>
      </c>
      <c r="B787" s="994" t="s">
        <v>595</v>
      </c>
      <c r="C787" s="994"/>
      <c r="D787" s="994"/>
      <c r="E787" s="176">
        <v>41000</v>
      </c>
      <c r="F787" s="145">
        <v>464</v>
      </c>
      <c r="G787" s="177"/>
      <c r="H787" s="178"/>
      <c r="I787" s="1119" t="str">
        <f>$I$762</f>
        <v>NA;  GUCs are as of October 2022</v>
      </c>
      <c r="J787" s="1120"/>
      <c r="K787" s="145">
        <f>+F787</f>
        <v>464</v>
      </c>
      <c r="L787" s="29" t="s">
        <v>35</v>
      </c>
      <c r="M787" s="25"/>
      <c r="S787" s="41"/>
      <c r="T787" s="41"/>
    </row>
    <row r="788" spans="1:20" ht="30" customHeight="1" thickBot="1" x14ac:dyDescent="0.5">
      <c r="A788" s="47"/>
      <c r="B788" s="1092"/>
      <c r="C788" s="1092"/>
      <c r="D788" s="1092"/>
      <c r="E788" s="180"/>
      <c r="F788" s="181"/>
      <c r="G788" s="181"/>
      <c r="H788" s="182"/>
      <c r="I788" s="58"/>
      <c r="J788" s="85" t="s">
        <v>39</v>
      </c>
      <c r="K788" s="216">
        <f>+K787</f>
        <v>464</v>
      </c>
      <c r="L788" s="47" t="s">
        <v>35</v>
      </c>
      <c r="M788" s="25"/>
      <c r="N788" s="26"/>
      <c r="O788" s="2"/>
      <c r="P788" s="27"/>
      <c r="Q788" s="26"/>
      <c r="R788" s="28"/>
    </row>
    <row r="789" spans="1:20" ht="30" customHeight="1" thickBot="1" x14ac:dyDescent="0.5">
      <c r="A789" s="999"/>
      <c r="B789" s="1000"/>
      <c r="C789" s="1000"/>
      <c r="D789" s="1000"/>
      <c r="E789" s="1000"/>
      <c r="F789" s="1000"/>
      <c r="G789" s="1000"/>
      <c r="H789" s="1000"/>
      <c r="I789" s="1000"/>
      <c r="J789" s="1000"/>
      <c r="K789" s="1000"/>
      <c r="L789" s="1001"/>
      <c r="M789" s="25"/>
      <c r="N789" s="26"/>
      <c r="O789" s="2"/>
      <c r="P789" s="27"/>
      <c r="Q789" s="26"/>
      <c r="R789" s="28"/>
    </row>
    <row r="790" spans="1:20" ht="30" customHeight="1" x14ac:dyDescent="0.45">
      <c r="A790" s="9" t="s">
        <v>4</v>
      </c>
      <c r="B790" s="10">
        <v>1721</v>
      </c>
      <c r="C790" s="1138" t="s">
        <v>596</v>
      </c>
      <c r="D790" s="1139"/>
      <c r="E790" s="13" t="s">
        <v>7</v>
      </c>
      <c r="F790" s="14" t="s">
        <v>35</v>
      </c>
      <c r="G790" s="11" t="s">
        <v>6</v>
      </c>
      <c r="H790" s="273">
        <v>13472.0954738562</v>
      </c>
      <c r="I790" s="13" t="s">
        <v>9</v>
      </c>
      <c r="J790" s="985" t="s">
        <v>266</v>
      </c>
      <c r="K790" s="985"/>
      <c r="L790" s="986"/>
      <c r="M790" s="25"/>
      <c r="N790" s="26"/>
      <c r="O790" s="2"/>
      <c r="P790" s="27"/>
      <c r="Q790" s="26"/>
      <c r="R790" s="28"/>
    </row>
    <row r="791" spans="1:20" ht="30" customHeight="1" x14ac:dyDescent="0.45">
      <c r="A791" s="19" t="s">
        <v>11</v>
      </c>
      <c r="B791" s="1005" t="s">
        <v>12</v>
      </c>
      <c r="C791" s="1005"/>
      <c r="D791" s="1005"/>
      <c r="E791" s="132" t="s">
        <v>267</v>
      </c>
      <c r="F791" s="20" t="s">
        <v>13</v>
      </c>
      <c r="G791" s="19"/>
      <c r="H791" s="19"/>
      <c r="I791" s="1068" t="s">
        <v>16</v>
      </c>
      <c r="J791" s="1069"/>
      <c r="K791" s="992" t="s">
        <v>17</v>
      </c>
      <c r="L791" s="993"/>
      <c r="M791" s="121"/>
      <c r="N791" s="26"/>
      <c r="O791" s="2"/>
      <c r="P791" s="27"/>
      <c r="Q791" s="26"/>
      <c r="R791" s="28"/>
    </row>
    <row r="792" spans="1:20" ht="30" customHeight="1" x14ac:dyDescent="0.45">
      <c r="A792" s="29" t="s">
        <v>268</v>
      </c>
      <c r="B792" s="994" t="s">
        <v>597</v>
      </c>
      <c r="C792" s="994"/>
      <c r="D792" s="994"/>
      <c r="E792" s="176">
        <v>7100</v>
      </c>
      <c r="F792" s="145">
        <v>713</v>
      </c>
      <c r="G792" s="177"/>
      <c r="H792" s="178"/>
      <c r="I792" s="1119" t="str">
        <f>$I$762</f>
        <v>NA;  GUCs are as of October 2022</v>
      </c>
      <c r="J792" s="1120"/>
      <c r="K792" s="145">
        <f>F792</f>
        <v>713</v>
      </c>
      <c r="L792" s="29" t="s">
        <v>35</v>
      </c>
      <c r="M792" s="25"/>
      <c r="N792" s="26"/>
      <c r="O792" s="2"/>
      <c r="P792" s="27"/>
      <c r="Q792" s="26"/>
      <c r="R792" s="28"/>
    </row>
    <row r="793" spans="1:20" ht="30" customHeight="1" thickBot="1" x14ac:dyDescent="0.5">
      <c r="A793" s="47"/>
      <c r="B793" s="1092"/>
      <c r="C793" s="1092"/>
      <c r="D793" s="1092"/>
      <c r="E793" s="180"/>
      <c r="F793" s="181"/>
      <c r="G793" s="181"/>
      <c r="H793" s="182"/>
      <c r="I793" s="58"/>
      <c r="J793" s="85" t="s">
        <v>39</v>
      </c>
      <c r="K793" s="145">
        <f>K792</f>
        <v>713</v>
      </c>
      <c r="L793" s="47" t="s">
        <v>35</v>
      </c>
      <c r="M793" s="25"/>
      <c r="N793" s="26"/>
      <c r="O793" s="2"/>
      <c r="P793" s="27"/>
      <c r="Q793" s="26"/>
      <c r="R793" s="28"/>
    </row>
    <row r="794" spans="1:20" ht="30" customHeight="1" thickBot="1" x14ac:dyDescent="0.5">
      <c r="A794" s="999"/>
      <c r="B794" s="1000"/>
      <c r="C794" s="1000"/>
      <c r="D794" s="1000"/>
      <c r="E794" s="1000"/>
      <c r="F794" s="1000"/>
      <c r="G794" s="1000"/>
      <c r="H794" s="1000"/>
      <c r="I794" s="1000"/>
      <c r="J794" s="1000"/>
      <c r="K794" s="1000"/>
      <c r="L794" s="1001"/>
      <c r="M794" s="25"/>
      <c r="N794" s="26"/>
      <c r="O794" s="2"/>
      <c r="P794" s="27"/>
      <c r="Q794" s="26"/>
      <c r="R794" s="28"/>
    </row>
    <row r="795" spans="1:20" ht="30" customHeight="1" x14ac:dyDescent="0.45">
      <c r="A795" s="9" t="s">
        <v>4</v>
      </c>
      <c r="B795" s="175">
        <v>1722</v>
      </c>
      <c r="C795" s="1138" t="s">
        <v>598</v>
      </c>
      <c r="D795" s="1139"/>
      <c r="E795" s="13" t="s">
        <v>7</v>
      </c>
      <c r="F795" s="14" t="s">
        <v>35</v>
      </c>
      <c r="G795" s="11" t="s">
        <v>6</v>
      </c>
      <c r="H795" s="169">
        <v>6510.8181818181802</v>
      </c>
      <c r="I795" s="13" t="s">
        <v>9</v>
      </c>
      <c r="J795" s="985" t="s">
        <v>266</v>
      </c>
      <c r="K795" s="985"/>
      <c r="L795" s="986"/>
      <c r="M795" s="25"/>
      <c r="N795" s="26"/>
      <c r="O795" s="2"/>
      <c r="P795" s="27"/>
      <c r="Q795" s="26"/>
      <c r="R795" s="28"/>
    </row>
    <row r="796" spans="1:20" ht="30" customHeight="1" x14ac:dyDescent="0.45">
      <c r="A796" s="19" t="s">
        <v>11</v>
      </c>
      <c r="B796" s="1005" t="s">
        <v>12</v>
      </c>
      <c r="C796" s="1005"/>
      <c r="D796" s="1005"/>
      <c r="E796" s="132" t="s">
        <v>267</v>
      </c>
      <c r="F796" s="20" t="s">
        <v>13</v>
      </c>
      <c r="G796" s="19"/>
      <c r="H796" s="19"/>
      <c r="I796" s="1068" t="s">
        <v>16</v>
      </c>
      <c r="J796" s="1069"/>
      <c r="K796" s="992" t="s">
        <v>17</v>
      </c>
      <c r="L796" s="993"/>
      <c r="M796" s="25"/>
      <c r="N796" s="420"/>
      <c r="O796" s="2"/>
      <c r="P796" s="27"/>
      <c r="Q796" s="26"/>
      <c r="R796" s="28"/>
    </row>
    <row r="797" spans="1:20" ht="30" customHeight="1" x14ac:dyDescent="0.45">
      <c r="A797" s="29" t="s">
        <v>268</v>
      </c>
      <c r="B797" s="994" t="s">
        <v>599</v>
      </c>
      <c r="C797" s="994"/>
      <c r="D797" s="994"/>
      <c r="E797" s="176">
        <v>7100</v>
      </c>
      <c r="F797" s="145">
        <v>713</v>
      </c>
      <c r="G797" s="177"/>
      <c r="H797" s="178"/>
      <c r="I797" s="1119" t="str">
        <f>$I$762</f>
        <v>NA;  GUCs are as of October 2022</v>
      </c>
      <c r="J797" s="1120"/>
      <c r="K797" s="145">
        <f>+F797</f>
        <v>713</v>
      </c>
      <c r="L797" s="29" t="s">
        <v>35</v>
      </c>
      <c r="M797" s="25"/>
      <c r="N797" s="3"/>
      <c r="O797" s="2"/>
      <c r="P797" s="27"/>
      <c r="Q797" s="26"/>
      <c r="R797" s="28"/>
    </row>
    <row r="798" spans="1:20" ht="30" customHeight="1" thickBot="1" x14ac:dyDescent="0.5">
      <c r="A798" s="47"/>
      <c r="B798" s="1092"/>
      <c r="C798" s="1092"/>
      <c r="D798" s="1092"/>
      <c r="E798" s="180"/>
      <c r="F798" s="181"/>
      <c r="G798" s="181"/>
      <c r="H798" s="182"/>
      <c r="I798" s="58"/>
      <c r="J798" s="85" t="s">
        <v>39</v>
      </c>
      <c r="K798" s="216">
        <f>+K797</f>
        <v>713</v>
      </c>
      <c r="L798" s="47" t="s">
        <v>35</v>
      </c>
      <c r="M798" s="121"/>
      <c r="N798" s="26"/>
      <c r="O798" s="2"/>
      <c r="P798" s="27"/>
      <c r="Q798" s="26"/>
      <c r="R798" s="28"/>
    </row>
    <row r="799" spans="1:20" s="18" customFormat="1" ht="30" customHeight="1" thickBot="1" x14ac:dyDescent="0.5">
      <c r="A799" s="999"/>
      <c r="B799" s="1000"/>
      <c r="C799" s="1000"/>
      <c r="D799" s="1000"/>
      <c r="E799" s="1000"/>
      <c r="F799" s="1000"/>
      <c r="G799" s="1000"/>
      <c r="H799" s="1000"/>
      <c r="I799" s="1000"/>
      <c r="J799" s="1000"/>
      <c r="K799" s="1000"/>
      <c r="L799" s="1001"/>
      <c r="M799" s="25"/>
      <c r="N799" s="229"/>
      <c r="O799" s="5"/>
    </row>
    <row r="800" spans="1:20" ht="30" customHeight="1" x14ac:dyDescent="0.45">
      <c r="A800" s="9" t="s">
        <v>4</v>
      </c>
      <c r="B800" s="10">
        <v>1723</v>
      </c>
      <c r="C800" s="1138" t="s">
        <v>600</v>
      </c>
      <c r="D800" s="1139"/>
      <c r="E800" s="13" t="s">
        <v>7</v>
      </c>
      <c r="F800" s="14" t="s">
        <v>35</v>
      </c>
      <c r="G800" s="11" t="s">
        <v>6</v>
      </c>
      <c r="H800" s="184">
        <v>850.2</v>
      </c>
      <c r="I800" s="13" t="s">
        <v>9</v>
      </c>
      <c r="J800" s="985" t="s">
        <v>526</v>
      </c>
      <c r="K800" s="985"/>
      <c r="L800" s="986"/>
      <c r="M800" s="121"/>
      <c r="N800" s="363"/>
    </row>
    <row r="801" spans="1:20" s="18" customFormat="1" ht="30" customHeight="1" x14ac:dyDescent="0.45">
      <c r="A801" s="19" t="s">
        <v>11</v>
      </c>
      <c r="B801" s="1005" t="s">
        <v>12</v>
      </c>
      <c r="C801" s="1005"/>
      <c r="D801" s="1005"/>
      <c r="E801" s="19" t="s">
        <v>267</v>
      </c>
      <c r="F801" s="20" t="s">
        <v>13</v>
      </c>
      <c r="G801" s="58"/>
      <c r="H801" s="22"/>
      <c r="I801" s="1068" t="s">
        <v>16</v>
      </c>
      <c r="J801" s="1069"/>
      <c r="K801" s="992" t="s">
        <v>17</v>
      </c>
      <c r="L801" s="993"/>
      <c r="M801" s="25"/>
      <c r="N801" s="5"/>
      <c r="O801" s="5"/>
    </row>
    <row r="802" spans="1:20" s="18" customFormat="1" ht="30" customHeight="1" x14ac:dyDescent="0.45">
      <c r="A802" s="47">
        <v>17123</v>
      </c>
      <c r="B802" s="1018" t="s">
        <v>601</v>
      </c>
      <c r="C802" s="1019"/>
      <c r="D802" s="1020"/>
      <c r="E802" s="176">
        <v>800</v>
      </c>
      <c r="F802" s="421">
        <v>481</v>
      </c>
      <c r="G802" s="58"/>
      <c r="H802" s="283"/>
      <c r="I802" s="1119">
        <f>+'[1]2023 MILCON Inflation Table'!F22</f>
        <v>0.93771935922451721</v>
      </c>
      <c r="J802" s="1120"/>
      <c r="K802" s="36">
        <f>+F802*I802</f>
        <v>451.04301178699279</v>
      </c>
      <c r="L802" s="29" t="s">
        <v>35</v>
      </c>
      <c r="M802" s="25"/>
      <c r="N802" s="5"/>
      <c r="O802" s="5"/>
    </row>
    <row r="803" spans="1:20" s="18" customFormat="1" ht="30" customHeight="1" x14ac:dyDescent="0.45">
      <c r="A803" s="47">
        <v>17123</v>
      </c>
      <c r="B803" s="1018" t="s">
        <v>602</v>
      </c>
      <c r="C803" s="1019"/>
      <c r="D803" s="1020"/>
      <c r="E803" s="176">
        <v>3090</v>
      </c>
      <c r="F803" s="421">
        <v>286</v>
      </c>
      <c r="G803" s="58"/>
      <c r="H803" s="283"/>
      <c r="I803" s="1119">
        <f>+'[1]2023 MILCON Inflation Table'!F19</f>
        <v>1</v>
      </c>
      <c r="J803" s="1120"/>
      <c r="K803" s="36">
        <f>+F803*I803</f>
        <v>286</v>
      </c>
      <c r="L803" s="29" t="s">
        <v>35</v>
      </c>
      <c r="M803" s="25"/>
    </row>
    <row r="804" spans="1:20" s="18" customFormat="1" ht="30" customHeight="1" x14ac:dyDescent="0.45">
      <c r="A804" s="1157"/>
      <c r="B804" s="1190"/>
      <c r="C804" s="1190"/>
      <c r="D804" s="1190"/>
      <c r="E804" s="1190"/>
      <c r="F804" s="1190"/>
      <c r="G804" s="1190"/>
      <c r="H804" s="1191"/>
      <c r="I804" s="34"/>
      <c r="J804" s="35" t="s">
        <v>56</v>
      </c>
      <c r="K804" s="185">
        <f>AVERAGE(K802:K803)</f>
        <v>368.5215058934964</v>
      </c>
      <c r="L804" s="29" t="s">
        <v>35</v>
      </c>
      <c r="M804" s="25"/>
    </row>
    <row r="805" spans="1:20" ht="30" customHeight="1" thickBot="1" x14ac:dyDescent="0.5">
      <c r="A805" s="47"/>
      <c r="B805" s="1092"/>
      <c r="C805" s="1092"/>
      <c r="D805" s="1092"/>
      <c r="E805" s="293"/>
      <c r="F805" s="290"/>
      <c r="G805" s="58"/>
      <c r="H805" s="295" t="s">
        <v>56</v>
      </c>
      <c r="I805" s="58"/>
      <c r="J805" s="85" t="s">
        <v>39</v>
      </c>
      <c r="K805" s="185">
        <f>AVERAGE(K802:K803)</f>
        <v>368.5215058934964</v>
      </c>
      <c r="L805" s="47" t="s">
        <v>35</v>
      </c>
      <c r="M805" s="121"/>
      <c r="N805" s="186"/>
    </row>
    <row r="806" spans="1:20" ht="30" customHeight="1" thickBot="1" x14ac:dyDescent="0.5">
      <c r="A806" s="999"/>
      <c r="B806" s="1000"/>
      <c r="C806" s="1000"/>
      <c r="D806" s="1000"/>
      <c r="E806" s="1000"/>
      <c r="F806" s="1000"/>
      <c r="G806" s="1000"/>
      <c r="H806" s="1000"/>
      <c r="I806" s="1000"/>
      <c r="J806" s="1000"/>
      <c r="K806" s="1000"/>
      <c r="L806" s="1001"/>
      <c r="M806" s="25"/>
      <c r="N806" s="186"/>
    </row>
    <row r="807" spans="1:20" ht="30" customHeight="1" x14ac:dyDescent="0.45">
      <c r="A807" s="9" t="s">
        <v>4</v>
      </c>
      <c r="B807" s="10">
        <v>1724</v>
      </c>
      <c r="C807" s="1002" t="s">
        <v>603</v>
      </c>
      <c r="D807" s="1003"/>
      <c r="E807" s="13" t="s">
        <v>7</v>
      </c>
      <c r="F807" s="14" t="s">
        <v>35</v>
      </c>
      <c r="G807" s="11" t="s">
        <v>6</v>
      </c>
      <c r="H807" s="169">
        <v>10249.9</v>
      </c>
      <c r="I807" s="13" t="s">
        <v>9</v>
      </c>
      <c r="J807" s="985" t="s">
        <v>266</v>
      </c>
      <c r="K807" s="985"/>
      <c r="L807" s="986"/>
      <c r="N807" s="26"/>
      <c r="O807" s="2"/>
      <c r="P807" s="27"/>
      <c r="Q807" s="26"/>
      <c r="R807" s="28"/>
    </row>
    <row r="808" spans="1:20" ht="30" customHeight="1" x14ac:dyDescent="0.45">
      <c r="A808" s="19" t="s">
        <v>11</v>
      </c>
      <c r="B808" s="1005" t="s">
        <v>12</v>
      </c>
      <c r="C808" s="1005"/>
      <c r="D808" s="1005"/>
      <c r="E808" s="132" t="s">
        <v>267</v>
      </c>
      <c r="F808" s="20" t="s">
        <v>13</v>
      </c>
      <c r="G808" s="19"/>
      <c r="H808" s="19" t="s">
        <v>604</v>
      </c>
      <c r="I808" s="1068" t="s">
        <v>16</v>
      </c>
      <c r="J808" s="1069"/>
      <c r="K808" s="992" t="s">
        <v>17</v>
      </c>
      <c r="L808" s="993"/>
      <c r="M808" s="121"/>
      <c r="N808" s="186"/>
      <c r="S808" s="41"/>
      <c r="T808" s="41"/>
    </row>
    <row r="809" spans="1:20" ht="30" customHeight="1" x14ac:dyDescent="0.45">
      <c r="A809" s="29" t="s">
        <v>268</v>
      </c>
      <c r="B809" s="994" t="s">
        <v>599</v>
      </c>
      <c r="C809" s="994"/>
      <c r="D809" s="994"/>
      <c r="E809" s="176">
        <v>7100</v>
      </c>
      <c r="F809" s="145">
        <v>713</v>
      </c>
      <c r="G809" s="177"/>
      <c r="H809" s="178"/>
      <c r="I809" s="1119" t="str">
        <f>$I$797</f>
        <v>NA;  GUCs are as of October 2022</v>
      </c>
      <c r="J809" s="1120"/>
      <c r="K809" s="145">
        <f>+F809</f>
        <v>713</v>
      </c>
      <c r="L809" s="29" t="s">
        <v>35</v>
      </c>
      <c r="M809" s="25"/>
      <c r="N809" s="186"/>
      <c r="S809" s="41"/>
      <c r="T809" s="41"/>
    </row>
    <row r="810" spans="1:20" s="18" customFormat="1" ht="30" customHeight="1" thickBot="1" x14ac:dyDescent="0.5">
      <c r="A810" s="47"/>
      <c r="B810" s="1092"/>
      <c r="C810" s="1092"/>
      <c r="D810" s="1092"/>
      <c r="E810" s="180"/>
      <c r="F810" s="181"/>
      <c r="G810" s="181"/>
      <c r="H810" s="182"/>
      <c r="I810" s="58"/>
      <c r="J810" s="85" t="s">
        <v>39</v>
      </c>
      <c r="K810" s="216">
        <f>+K809</f>
        <v>713</v>
      </c>
      <c r="L810" s="47" t="s">
        <v>35</v>
      </c>
      <c r="M810" s="25"/>
      <c r="N810" s="229"/>
      <c r="O810" s="5"/>
    </row>
    <row r="811" spans="1:20" ht="30" customHeight="1" thickBot="1" x14ac:dyDescent="0.5">
      <c r="A811" s="999"/>
      <c r="B811" s="1000"/>
      <c r="C811" s="1000"/>
      <c r="D811" s="1000"/>
      <c r="E811" s="1000"/>
      <c r="F811" s="1000"/>
      <c r="G811" s="1000"/>
      <c r="H811" s="1000"/>
      <c r="I811" s="1000"/>
      <c r="J811" s="1000"/>
      <c r="K811" s="1000"/>
      <c r="L811" s="1001"/>
      <c r="M811" s="25"/>
    </row>
    <row r="812" spans="1:20" ht="30" customHeight="1" x14ac:dyDescent="0.45">
      <c r="A812" s="9" t="s">
        <v>4</v>
      </c>
      <c r="B812" s="10">
        <v>1725</v>
      </c>
      <c r="C812" s="91" t="s">
        <v>605</v>
      </c>
      <c r="D812" s="92"/>
      <c r="E812" s="13" t="s">
        <v>7</v>
      </c>
      <c r="F812" s="14" t="s">
        <v>88</v>
      </c>
      <c r="G812" s="161" t="s">
        <v>148</v>
      </c>
      <c r="H812" s="163">
        <v>1</v>
      </c>
      <c r="I812" s="13" t="s">
        <v>9</v>
      </c>
      <c r="J812" s="985" t="s">
        <v>276</v>
      </c>
      <c r="K812" s="985"/>
      <c r="L812" s="986"/>
      <c r="M812" s="121"/>
      <c r="N812" s="186"/>
    </row>
    <row r="813" spans="1:20" ht="30" customHeight="1" x14ac:dyDescent="0.45">
      <c r="A813" s="85" t="s">
        <v>277</v>
      </c>
      <c r="B813" s="987" t="s">
        <v>293</v>
      </c>
      <c r="C813" s="988"/>
      <c r="D813" s="989"/>
      <c r="E813" s="220" t="s">
        <v>13</v>
      </c>
      <c r="F813" s="220" t="s">
        <v>14</v>
      </c>
      <c r="G813" s="990" t="s">
        <v>15</v>
      </c>
      <c r="H813" s="991"/>
      <c r="I813" s="19" t="s">
        <v>278</v>
      </c>
      <c r="J813" s="19"/>
      <c r="K813" s="992" t="s">
        <v>17</v>
      </c>
      <c r="L813" s="993"/>
      <c r="M813" s="121"/>
      <c r="N813" s="186"/>
      <c r="S813" s="41"/>
      <c r="T813" s="41"/>
    </row>
    <row r="814" spans="1:20" ht="30" customHeight="1" x14ac:dyDescent="0.45">
      <c r="A814" s="47" t="s">
        <v>606</v>
      </c>
      <c r="B814" s="1018" t="s">
        <v>607</v>
      </c>
      <c r="C814" s="1019"/>
      <c r="D814" s="1020"/>
      <c r="E814" s="422">
        <f>+(62.5+71.5)/2</f>
        <v>67</v>
      </c>
      <c r="F814" s="56" t="s">
        <v>35</v>
      </c>
      <c r="G814" s="348">
        <v>13455</v>
      </c>
      <c r="H814" s="349" t="s">
        <v>518</v>
      </c>
      <c r="I814" s="47">
        <v>1.1100000000000001</v>
      </c>
      <c r="J814" s="58"/>
      <c r="K814" s="423">
        <f>+E814*G814*I814</f>
        <v>1000648.3500000001</v>
      </c>
      <c r="L814" s="56" t="s">
        <v>88</v>
      </c>
      <c r="M814" s="25"/>
      <c r="S814" s="41"/>
      <c r="T814" s="41"/>
    </row>
    <row r="815" spans="1:20" s="18" customFormat="1" ht="30" customHeight="1" x14ac:dyDescent="0.45">
      <c r="A815" s="47" t="s">
        <v>606</v>
      </c>
      <c r="B815" s="1008" t="s">
        <v>608</v>
      </c>
      <c r="C815" s="1009"/>
      <c r="D815" s="1010"/>
      <c r="E815" s="422">
        <f>+(166+2360)/2</f>
        <v>1263</v>
      </c>
      <c r="F815" s="56" t="s">
        <v>88</v>
      </c>
      <c r="G815" s="424"/>
      <c r="H815" s="223"/>
      <c r="I815" s="47">
        <v>1.1100000000000001</v>
      </c>
      <c r="J815" s="47"/>
      <c r="K815" s="423">
        <f>+E815*I815</f>
        <v>1401.93</v>
      </c>
      <c r="L815" s="56" t="s">
        <v>88</v>
      </c>
      <c r="M815" s="25"/>
      <c r="N815" s="425"/>
      <c r="O815" s="5"/>
    </row>
    <row r="816" spans="1:20" ht="30" customHeight="1" x14ac:dyDescent="0.45">
      <c r="A816" s="426"/>
      <c r="B816" s="1030"/>
      <c r="C816" s="1030"/>
      <c r="D816" s="1030"/>
      <c r="E816" s="221"/>
      <c r="F816" s="47"/>
      <c r="G816" s="56"/>
      <c r="H816" s="56"/>
      <c r="I816" s="47"/>
      <c r="J816" s="47" t="s">
        <v>360</v>
      </c>
      <c r="K816" s="311">
        <f>SUM(K814:K815)</f>
        <v>1002050.2800000001</v>
      </c>
      <c r="L816" s="47" t="s">
        <v>88</v>
      </c>
      <c r="M816" s="25"/>
      <c r="N816" s="186"/>
    </row>
    <row r="817" spans="1:20" ht="30" customHeight="1" x14ac:dyDescent="0.45">
      <c r="A817" s="47"/>
      <c r="B817" s="224"/>
      <c r="C817" s="224"/>
      <c r="D817" s="407" t="s">
        <v>609</v>
      </c>
      <c r="E817" s="221"/>
      <c r="F817" s="1011" t="s">
        <v>285</v>
      </c>
      <c r="G817" s="1013" t="s">
        <v>286</v>
      </c>
      <c r="H817" s="1013"/>
      <c r="I817" s="1013"/>
      <c r="J817" s="1013"/>
      <c r="K817" s="278">
        <v>1.06</v>
      </c>
      <c r="L817" s="47"/>
      <c r="M817" s="25"/>
    </row>
    <row r="818" spans="1:20" ht="30" customHeight="1" x14ac:dyDescent="0.45">
      <c r="A818" s="47"/>
      <c r="B818" s="224"/>
      <c r="C818" s="224"/>
      <c r="D818" s="224"/>
      <c r="E818" s="221"/>
      <c r="F818" s="1012"/>
      <c r="G818" s="1014" t="s">
        <v>287</v>
      </c>
      <c r="H818" s="1014"/>
      <c r="I818" s="1014"/>
      <c r="J818" s="1014"/>
      <c r="K818" s="278">
        <v>1.05</v>
      </c>
      <c r="L818" s="47"/>
      <c r="M818" s="121"/>
      <c r="S818" s="41"/>
      <c r="T818" s="41"/>
    </row>
    <row r="819" spans="1:20" ht="30" customHeight="1" x14ac:dyDescent="0.45">
      <c r="A819" s="47"/>
      <c r="B819" s="47"/>
      <c r="C819" s="58"/>
      <c r="E819" s="58"/>
      <c r="F819" s="58"/>
      <c r="G819" s="58"/>
      <c r="H819" s="58"/>
      <c r="I819" s="58"/>
      <c r="J819" s="47" t="s">
        <v>39</v>
      </c>
      <c r="K819" s="383">
        <f>+K816*K817/K818</f>
        <v>1011593.616</v>
      </c>
      <c r="L819" s="47" t="s">
        <v>88</v>
      </c>
      <c r="N819" s="26"/>
      <c r="O819" s="2"/>
      <c r="P819" s="27"/>
      <c r="Q819" s="26"/>
      <c r="R819" s="28"/>
    </row>
    <row r="820" spans="1:20" ht="30" customHeight="1" thickBot="1" x14ac:dyDescent="0.5">
      <c r="A820" s="47"/>
      <c r="B820" s="47"/>
      <c r="C820" s="58"/>
      <c r="D820" s="58"/>
      <c r="E820" s="58"/>
      <c r="F820" s="58"/>
      <c r="G820" s="1032" t="s">
        <v>288</v>
      </c>
      <c r="H820" s="1033"/>
      <c r="I820" s="1034"/>
      <c r="J820" s="213">
        <f>VLOOKUP(B812,'[1]Mil Cost Premiums for PUCs'!$A$4:$R$278,18,FALSE)</f>
        <v>1.1379589900046172</v>
      </c>
      <c r="K820" s="216">
        <f>+K819*J820</f>
        <v>1151152.0495584786</v>
      </c>
      <c r="L820" s="47" t="s">
        <v>88</v>
      </c>
      <c r="M820" s="25"/>
      <c r="S820" s="41"/>
      <c r="T820" s="41"/>
    </row>
    <row r="821" spans="1:20" ht="30" customHeight="1" thickBot="1" x14ac:dyDescent="0.5">
      <c r="A821" s="999"/>
      <c r="B821" s="1000"/>
      <c r="C821" s="1000"/>
      <c r="D821" s="1000"/>
      <c r="E821" s="1000"/>
      <c r="F821" s="1000"/>
      <c r="G821" s="1000"/>
      <c r="H821" s="1000"/>
      <c r="I821" s="1000"/>
      <c r="J821" s="1000"/>
      <c r="K821" s="1000"/>
      <c r="L821" s="1001"/>
      <c r="M821" s="121"/>
      <c r="N821" s="425"/>
    </row>
    <row r="822" spans="1:20" ht="30" customHeight="1" x14ac:dyDescent="0.45">
      <c r="A822" s="9" t="s">
        <v>4</v>
      </c>
      <c r="B822" s="10">
        <v>1726</v>
      </c>
      <c r="C822" s="1002" t="s">
        <v>610</v>
      </c>
      <c r="D822" s="1003"/>
      <c r="E822" s="13" t="s">
        <v>7</v>
      </c>
      <c r="F822" s="14" t="s">
        <v>35</v>
      </c>
      <c r="G822" s="173" t="s">
        <v>148</v>
      </c>
      <c r="H822" s="163">
        <v>11000</v>
      </c>
      <c r="I822" s="13" t="s">
        <v>9</v>
      </c>
      <c r="J822" s="985" t="s">
        <v>276</v>
      </c>
      <c r="K822" s="985"/>
      <c r="L822" s="986"/>
      <c r="M822" s="25"/>
      <c r="N822" s="427"/>
    </row>
    <row r="823" spans="1:20" ht="30" customHeight="1" x14ac:dyDescent="0.45">
      <c r="A823" s="85" t="s">
        <v>277</v>
      </c>
      <c r="B823" s="987" t="s">
        <v>293</v>
      </c>
      <c r="C823" s="988"/>
      <c r="D823" s="989"/>
      <c r="E823" s="220" t="s">
        <v>13</v>
      </c>
      <c r="F823" s="220" t="s">
        <v>14</v>
      </c>
      <c r="G823" s="990" t="s">
        <v>15</v>
      </c>
      <c r="H823" s="991"/>
      <c r="I823" s="1068" t="s">
        <v>278</v>
      </c>
      <c r="J823" s="1069"/>
      <c r="K823" s="992" t="s">
        <v>17</v>
      </c>
      <c r="L823" s="993"/>
      <c r="M823" s="25"/>
      <c r="N823" s="26"/>
      <c r="O823" s="2"/>
      <c r="P823" s="27"/>
      <c r="Q823" s="26"/>
      <c r="R823" s="28"/>
    </row>
    <row r="824" spans="1:20" ht="30" customHeight="1" x14ac:dyDescent="0.45">
      <c r="A824" s="47" t="s">
        <v>611</v>
      </c>
      <c r="B824" s="1018" t="s">
        <v>612</v>
      </c>
      <c r="C824" s="1019"/>
      <c r="D824" s="1020"/>
      <c r="E824" s="216">
        <f>((13.45+22.65)/2)*1.45</f>
        <v>26.172499999999996</v>
      </c>
      <c r="F824" s="222" t="s">
        <v>488</v>
      </c>
      <c r="G824" s="428">
        <f>+(E824*10)</f>
        <v>261.72499999999997</v>
      </c>
      <c r="H824" s="105" t="s">
        <v>613</v>
      </c>
      <c r="I824" s="1157">
        <v>1.1200000000000001</v>
      </c>
      <c r="J824" s="1191"/>
      <c r="K824" s="221">
        <f>+G824*I824</f>
        <v>293.13200000000001</v>
      </c>
      <c r="L824" s="47" t="s">
        <v>35</v>
      </c>
      <c r="M824" s="429"/>
      <c r="N824" s="26"/>
      <c r="O824" s="2"/>
      <c r="P824" s="27"/>
      <c r="Q824" s="26"/>
      <c r="R824" s="28"/>
    </row>
    <row r="825" spans="1:20" ht="30" customHeight="1" x14ac:dyDescent="0.45">
      <c r="A825" s="47" t="s">
        <v>614</v>
      </c>
      <c r="B825" s="1018" t="s">
        <v>615</v>
      </c>
      <c r="C825" s="1019"/>
      <c r="D825" s="1020"/>
      <c r="E825" s="41">
        <f>+(1.63+3.28)/2</f>
        <v>2.4550000000000001</v>
      </c>
      <c r="F825" s="47" t="s">
        <v>163</v>
      </c>
      <c r="G825" s="430">
        <f>+E825*5000/H822</f>
        <v>1.115909090909091</v>
      </c>
      <c r="H825" s="105" t="s">
        <v>616</v>
      </c>
      <c r="I825" s="1157">
        <v>1.1100000000000001</v>
      </c>
      <c r="J825" s="1191"/>
      <c r="K825" s="221">
        <f>+E825*G825*I825</f>
        <v>3.0409080681818184</v>
      </c>
      <c r="L825" s="47" t="s">
        <v>35</v>
      </c>
      <c r="M825" s="25"/>
      <c r="N825" s="26"/>
      <c r="O825" s="2"/>
      <c r="P825" s="27"/>
      <c r="Q825" s="26"/>
      <c r="R825" s="28"/>
    </row>
    <row r="826" spans="1:20" ht="30" customHeight="1" x14ac:dyDescent="0.45">
      <c r="A826" s="47" t="s">
        <v>617</v>
      </c>
      <c r="B826" s="1018" t="s">
        <v>618</v>
      </c>
      <c r="C826" s="1019"/>
      <c r="D826" s="1020"/>
      <c r="E826" s="216">
        <f>+(19.7+25)/2</f>
        <v>22.35</v>
      </c>
      <c r="F826" s="47" t="s">
        <v>35</v>
      </c>
      <c r="G826" s="431">
        <f>+E826*3000/H822</f>
        <v>6.0954545454545457</v>
      </c>
      <c r="H826" s="105" t="s">
        <v>619</v>
      </c>
      <c r="I826" s="1157">
        <v>1.1100000000000001</v>
      </c>
      <c r="J826" s="1191"/>
      <c r="K826" s="221">
        <f>+G826*I826</f>
        <v>6.7659545454545462</v>
      </c>
      <c r="L826" s="47" t="s">
        <v>35</v>
      </c>
      <c r="M826" s="121"/>
      <c r="N826" s="26"/>
      <c r="O826" s="2"/>
      <c r="P826" s="27"/>
      <c r="Q826" s="26"/>
      <c r="R826" s="28"/>
    </row>
    <row r="827" spans="1:20" ht="30" customHeight="1" x14ac:dyDescent="0.45">
      <c r="A827" s="47" t="s">
        <v>350</v>
      </c>
      <c r="B827" s="1018" t="s">
        <v>620</v>
      </c>
      <c r="C827" s="1019"/>
      <c r="D827" s="1020"/>
      <c r="E827" s="216">
        <v>85750</v>
      </c>
      <c r="F827" s="47" t="s">
        <v>88</v>
      </c>
      <c r="G827" s="432">
        <f>4/H822</f>
        <v>3.6363636363636361E-4</v>
      </c>
      <c r="H827" s="105" t="s">
        <v>621</v>
      </c>
      <c r="I827" s="1157">
        <v>1.36</v>
      </c>
      <c r="J827" s="1191"/>
      <c r="K827" s="221">
        <f>+E827*G827*I827</f>
        <v>42.407272727272726</v>
      </c>
      <c r="L827" s="47" t="s">
        <v>35</v>
      </c>
      <c r="M827" s="25"/>
      <c r="N827" s="26"/>
      <c r="O827" s="2"/>
      <c r="P827" s="27"/>
      <c r="Q827" s="26"/>
      <c r="R827" s="28"/>
    </row>
    <row r="828" spans="1:20" ht="30" customHeight="1" x14ac:dyDescent="0.45">
      <c r="A828" s="47" t="s">
        <v>622</v>
      </c>
      <c r="B828" s="1018" t="s">
        <v>623</v>
      </c>
      <c r="C828" s="1019"/>
      <c r="D828" s="1020"/>
      <c r="E828" s="216">
        <v>5400</v>
      </c>
      <c r="F828" s="47" t="s">
        <v>88</v>
      </c>
      <c r="G828" s="432">
        <f>4/H822</f>
        <v>3.6363636363636361E-4</v>
      </c>
      <c r="H828" s="105" t="s">
        <v>621</v>
      </c>
      <c r="I828" s="1157">
        <v>1.0900000000000001</v>
      </c>
      <c r="J828" s="1191"/>
      <c r="K828" s="221">
        <f>+E828*G828*I828</f>
        <v>2.1403636363636367</v>
      </c>
      <c r="L828" s="47" t="s">
        <v>35</v>
      </c>
      <c r="M828" s="429"/>
      <c r="N828" s="26"/>
      <c r="O828" s="2"/>
      <c r="P828" s="27"/>
      <c r="Q828" s="26"/>
      <c r="R828" s="28"/>
    </row>
    <row r="829" spans="1:20" ht="30" customHeight="1" x14ac:dyDescent="0.45">
      <c r="A829" s="47" t="s">
        <v>624</v>
      </c>
      <c r="B829" s="1018" t="s">
        <v>625</v>
      </c>
      <c r="C829" s="1019"/>
      <c r="D829" s="1020"/>
      <c r="E829" s="216">
        <f>((30.5+45.25)/2)</f>
        <v>37.875</v>
      </c>
      <c r="F829" s="47" t="s">
        <v>113</v>
      </c>
      <c r="G829" s="432">
        <f>1800/H822</f>
        <v>0.16363636363636364</v>
      </c>
      <c r="H829" s="105" t="s">
        <v>626</v>
      </c>
      <c r="I829" s="1157">
        <v>1.0900000000000001</v>
      </c>
      <c r="J829" s="1191"/>
      <c r="K829" s="221">
        <f>+E829*G829*I829</f>
        <v>6.7555227272727274</v>
      </c>
      <c r="L829" s="47" t="s">
        <v>35</v>
      </c>
      <c r="M829" s="25"/>
      <c r="N829" s="26"/>
      <c r="O829" s="2"/>
      <c r="P829" s="27"/>
      <c r="Q829" s="26"/>
      <c r="R829" s="28"/>
    </row>
    <row r="830" spans="1:20" ht="30" customHeight="1" x14ac:dyDescent="0.45">
      <c r="A830" s="47"/>
      <c r="B830" s="1092"/>
      <c r="C830" s="1092"/>
      <c r="D830" s="1092"/>
      <c r="E830" s="394"/>
      <c r="F830" s="47"/>
      <c r="G830" s="406"/>
      <c r="H830" s="179"/>
      <c r="I830" s="47"/>
      <c r="J830" s="47" t="s">
        <v>360</v>
      </c>
      <c r="K830" s="221">
        <f>SUM(K824:K829)</f>
        <v>354.24202170454544</v>
      </c>
      <c r="L830" s="47" t="s">
        <v>35</v>
      </c>
      <c r="M830" s="25"/>
      <c r="N830" s="41"/>
      <c r="O830" s="2"/>
      <c r="P830" s="27"/>
      <c r="Q830" s="26"/>
      <c r="R830" s="28"/>
    </row>
    <row r="831" spans="1:20" ht="30" customHeight="1" x14ac:dyDescent="0.45">
      <c r="A831" s="47"/>
      <c r="B831" s="179"/>
      <c r="C831" s="179"/>
      <c r="D831" s="179"/>
      <c r="E831" s="394"/>
      <c r="F831" s="1011" t="s">
        <v>285</v>
      </c>
      <c r="G831" s="1013" t="s">
        <v>286</v>
      </c>
      <c r="H831" s="1013"/>
      <c r="I831" s="1013"/>
      <c r="J831" s="1013"/>
      <c r="K831" s="278">
        <v>1.06</v>
      </c>
      <c r="L831" s="47"/>
      <c r="M831" s="25"/>
      <c r="N831" s="41"/>
      <c r="O831" s="2"/>
      <c r="P831" s="27"/>
      <c r="Q831" s="26"/>
      <c r="R831" s="28"/>
    </row>
    <row r="832" spans="1:20" ht="30" customHeight="1" x14ac:dyDescent="0.45">
      <c r="A832" s="47"/>
      <c r="B832" s="179"/>
      <c r="C832" s="179"/>
      <c r="D832" s="179"/>
      <c r="E832" s="394"/>
      <c r="F832" s="1012"/>
      <c r="G832" s="1014" t="s">
        <v>287</v>
      </c>
      <c r="H832" s="1014"/>
      <c r="I832" s="1014"/>
      <c r="J832" s="1014"/>
      <c r="K832" s="278">
        <v>1.05</v>
      </c>
      <c r="L832" s="47"/>
      <c r="M832" s="25"/>
      <c r="N832" s="41"/>
      <c r="O832" s="2"/>
      <c r="P832" s="27"/>
      <c r="Q832" s="26"/>
      <c r="R832" s="28"/>
    </row>
    <row r="833" spans="1:22" ht="30" customHeight="1" x14ac:dyDescent="0.45">
      <c r="A833" s="47"/>
      <c r="B833" s="47"/>
      <c r="C833" s="58"/>
      <c r="D833" s="58"/>
      <c r="E833" s="58"/>
      <c r="F833" s="58"/>
      <c r="G833" s="58"/>
      <c r="H833" s="58"/>
      <c r="I833" s="58"/>
      <c r="J833" s="47" t="s">
        <v>39</v>
      </c>
      <c r="K833" s="383">
        <f>+K830*K831/K832</f>
        <v>357.61575524458874</v>
      </c>
      <c r="L833" s="47" t="s">
        <v>35</v>
      </c>
      <c r="M833" s="25"/>
      <c r="N833" s="26"/>
      <c r="O833" s="2"/>
      <c r="P833" s="27"/>
      <c r="Q833" s="26"/>
      <c r="R833" s="28"/>
    </row>
    <row r="834" spans="1:22" ht="30" customHeight="1" thickBot="1" x14ac:dyDescent="0.5">
      <c r="A834" s="47"/>
      <c r="B834" s="47"/>
      <c r="C834" s="58"/>
      <c r="D834" s="58"/>
      <c r="E834" s="58"/>
      <c r="F834" s="58"/>
      <c r="G834" s="1032" t="s">
        <v>288</v>
      </c>
      <c r="H834" s="1033"/>
      <c r="I834" s="1034"/>
      <c r="J834" s="213">
        <f>VLOOKUP(B822,'[1]Mil Cost Premiums for PUCs'!$A$4:$R$278,18,FALSE)</f>
        <v>1.0821211439999998</v>
      </c>
      <c r="K834" s="216">
        <f>+K833*J834</f>
        <v>386.98357017769831</v>
      </c>
      <c r="L834" s="47" t="s">
        <v>35</v>
      </c>
      <c r="M834" s="25"/>
      <c r="N834" s="41"/>
      <c r="O834" s="2"/>
      <c r="P834" s="27"/>
      <c r="Q834" s="26"/>
      <c r="R834" s="28"/>
    </row>
    <row r="835" spans="1:22" ht="30" customHeight="1" thickBot="1" x14ac:dyDescent="0.5">
      <c r="A835" s="999"/>
      <c r="B835" s="1000"/>
      <c r="C835" s="1000"/>
      <c r="D835" s="1000"/>
      <c r="E835" s="1000"/>
      <c r="F835" s="1000"/>
      <c r="G835" s="1000"/>
      <c r="H835" s="1000"/>
      <c r="I835" s="1000"/>
      <c r="J835" s="1000"/>
      <c r="K835" s="1000"/>
      <c r="L835" s="1001"/>
      <c r="M835" s="433"/>
      <c r="N835" s="41"/>
      <c r="O835" s="2"/>
      <c r="P835" s="27"/>
      <c r="Q835" s="26"/>
      <c r="R835" s="28"/>
    </row>
    <row r="836" spans="1:22" ht="30" customHeight="1" x14ac:dyDescent="0.45">
      <c r="A836" s="9" t="s">
        <v>4</v>
      </c>
      <c r="B836" s="10">
        <v>1731</v>
      </c>
      <c r="C836" s="1138" t="s">
        <v>627</v>
      </c>
      <c r="D836" s="1139"/>
      <c r="E836" s="13" t="s">
        <v>7</v>
      </c>
      <c r="F836" s="14" t="s">
        <v>35</v>
      </c>
      <c r="G836" s="11" t="s">
        <v>6</v>
      </c>
      <c r="H836" s="169">
        <v>1550.3941669609501</v>
      </c>
      <c r="I836" s="13" t="s">
        <v>9</v>
      </c>
      <c r="J836" s="985" t="s">
        <v>628</v>
      </c>
      <c r="K836" s="985"/>
      <c r="L836" s="986"/>
      <c r="M836" s="433"/>
      <c r="N836" s="26"/>
      <c r="O836" s="2"/>
      <c r="P836" s="27"/>
      <c r="Q836" s="26"/>
      <c r="R836" s="28"/>
    </row>
    <row r="837" spans="1:22" ht="30" customHeight="1" x14ac:dyDescent="0.45">
      <c r="A837" s="19" t="s">
        <v>11</v>
      </c>
      <c r="B837" s="1005" t="s">
        <v>12</v>
      </c>
      <c r="C837" s="1005"/>
      <c r="D837" s="1005"/>
      <c r="E837" s="20" t="s">
        <v>13</v>
      </c>
      <c r="F837" s="19" t="s">
        <v>267</v>
      </c>
      <c r="G837" s="1114" t="s">
        <v>15</v>
      </c>
      <c r="H837" s="1115"/>
      <c r="I837" s="1068" t="s">
        <v>16</v>
      </c>
      <c r="J837" s="1069"/>
      <c r="K837" s="992" t="s">
        <v>17</v>
      </c>
      <c r="L837" s="993"/>
      <c r="M837" s="429"/>
      <c r="N837" s="41"/>
      <c r="O837" s="2"/>
      <c r="P837" s="27"/>
      <c r="Q837" s="26"/>
      <c r="R837" s="28"/>
    </row>
    <row r="838" spans="1:22" ht="30" customHeight="1" x14ac:dyDescent="0.45">
      <c r="A838" s="47">
        <v>17122</v>
      </c>
      <c r="B838" s="1008" t="s">
        <v>629</v>
      </c>
      <c r="C838" s="1009"/>
      <c r="D838" s="1010"/>
      <c r="E838" s="221">
        <v>1022</v>
      </c>
      <c r="F838" s="394">
        <v>185</v>
      </c>
      <c r="G838" s="29"/>
      <c r="H838" s="29"/>
      <c r="I838" s="1084">
        <f>+'[1]2023 MILCON Inflation Table'!F21</f>
        <v>0.957411465768232</v>
      </c>
      <c r="J838" s="1085"/>
      <c r="K838" s="335">
        <f>+E838*I838</f>
        <v>978.47451801513307</v>
      </c>
      <c r="L838" s="29" t="s">
        <v>35</v>
      </c>
      <c r="M838" s="25"/>
      <c r="N838" s="26"/>
      <c r="O838" s="2"/>
      <c r="P838" s="27"/>
      <c r="Q838" s="26"/>
      <c r="R838" s="28"/>
    </row>
    <row r="839" spans="1:22" ht="30" customHeight="1" x14ac:dyDescent="0.45">
      <c r="A839" s="47">
        <v>17122</v>
      </c>
      <c r="B839" s="1008" t="s">
        <v>630</v>
      </c>
      <c r="C839" s="1009"/>
      <c r="D839" s="1010"/>
      <c r="E839" s="221">
        <v>532</v>
      </c>
      <c r="F839" s="394">
        <v>800</v>
      </c>
      <c r="G839" s="29"/>
      <c r="H839" s="29"/>
      <c r="I839" s="1084">
        <f>+'[1]2023 MILCON Inflation Table'!F22</f>
        <v>0.93771935922451721</v>
      </c>
      <c r="J839" s="1085"/>
      <c r="K839" s="335">
        <f>+E839*I839</f>
        <v>498.86669910744314</v>
      </c>
      <c r="L839" s="29" t="s">
        <v>35</v>
      </c>
      <c r="M839" s="25"/>
      <c r="N839" s="26"/>
      <c r="O839" s="2"/>
      <c r="P839" s="27"/>
      <c r="Q839" s="26"/>
      <c r="R839" s="28"/>
    </row>
    <row r="840" spans="1:22" ht="30" customHeight="1" thickBot="1" x14ac:dyDescent="0.5">
      <c r="A840" s="47">
        <v>17123</v>
      </c>
      <c r="B840" s="1018" t="s">
        <v>631</v>
      </c>
      <c r="C840" s="1019"/>
      <c r="D840" s="1020"/>
      <c r="E840" s="221">
        <v>302</v>
      </c>
      <c r="F840" s="394">
        <v>800</v>
      </c>
      <c r="G840" s="29"/>
      <c r="H840" s="29"/>
      <c r="I840" s="1084">
        <f>+I838</f>
        <v>0.957411465768232</v>
      </c>
      <c r="J840" s="1085"/>
      <c r="K840" s="335">
        <f>+E840*I840</f>
        <v>289.13826266200607</v>
      </c>
      <c r="L840" s="29" t="s">
        <v>35</v>
      </c>
      <c r="M840" s="25"/>
      <c r="N840" s="26"/>
      <c r="O840" s="2"/>
      <c r="P840" s="27"/>
      <c r="Q840" s="26"/>
      <c r="R840" s="28"/>
    </row>
    <row r="841" spans="1:22" ht="30" customHeight="1" x14ac:dyDescent="0.45">
      <c r="A841" s="47">
        <v>17139</v>
      </c>
      <c r="B841" s="1018" t="s">
        <v>632</v>
      </c>
      <c r="C841" s="1019"/>
      <c r="D841" s="1020"/>
      <c r="E841" s="221">
        <v>487</v>
      </c>
      <c r="F841" s="394">
        <v>800</v>
      </c>
      <c r="G841" s="177"/>
      <c r="H841" s="177"/>
      <c r="I841" s="1084">
        <f>+I839</f>
        <v>0.93771935922451721</v>
      </c>
      <c r="J841" s="1085"/>
      <c r="K841" s="335">
        <f>+E841*I841</f>
        <v>456.66932794233986</v>
      </c>
      <c r="L841" s="29" t="s">
        <v>35</v>
      </c>
      <c r="M841" s="25"/>
      <c r="N841" s="1368" t="s">
        <v>633</v>
      </c>
      <c r="O841" s="1369"/>
      <c r="P841" s="1369"/>
      <c r="Q841" s="1369"/>
      <c r="R841" s="1369"/>
      <c r="S841" s="1370"/>
      <c r="T841" s="28"/>
    </row>
    <row r="842" spans="1:22" ht="30" customHeight="1" x14ac:dyDescent="0.45">
      <c r="A842" s="47"/>
      <c r="B842" s="204"/>
      <c r="C842" s="205"/>
      <c r="D842" s="205"/>
      <c r="E842" s="353"/>
      <c r="F842" s="434"/>
      <c r="G842" s="282"/>
      <c r="H842" s="371"/>
      <c r="I842" s="106"/>
      <c r="J842" s="107" t="s">
        <v>328</v>
      </c>
      <c r="K842" s="335">
        <f>AVERAGE(K838:K841)</f>
        <v>555.78720193173058</v>
      </c>
      <c r="L842" s="29" t="s">
        <v>35</v>
      </c>
      <c r="M842" s="25"/>
      <c r="N842" s="1371"/>
      <c r="O842" s="1372"/>
      <c r="P842" s="1372"/>
      <c r="Q842" s="1372"/>
      <c r="R842" s="1372"/>
      <c r="S842" s="1373"/>
      <c r="T842" s="28"/>
    </row>
    <row r="843" spans="1:22" ht="30" customHeight="1" thickBot="1" x14ac:dyDescent="0.5">
      <c r="A843" s="47"/>
      <c r="B843" s="173"/>
      <c r="C843" s="161"/>
      <c r="D843" s="161"/>
      <c r="E843" s="161"/>
      <c r="F843" s="415"/>
      <c r="G843" s="161"/>
      <c r="H843" s="389"/>
      <c r="I843" s="58"/>
      <c r="J843" s="85" t="s">
        <v>39</v>
      </c>
      <c r="K843" s="185">
        <f>+K842</f>
        <v>555.78720193173058</v>
      </c>
      <c r="L843" s="47" t="s">
        <v>35</v>
      </c>
      <c r="M843" s="25"/>
      <c r="N843" s="1374"/>
      <c r="O843" s="1375"/>
      <c r="P843" s="1375"/>
      <c r="Q843" s="1375"/>
      <c r="R843" s="1375"/>
      <c r="S843" s="1376"/>
      <c r="T843" s="435"/>
      <c r="U843" s="435"/>
    </row>
    <row r="844" spans="1:22" ht="30" customHeight="1" thickBot="1" x14ac:dyDescent="0.5">
      <c r="A844" s="999"/>
      <c r="B844" s="1000"/>
      <c r="C844" s="1000"/>
      <c r="D844" s="1000"/>
      <c r="E844" s="1000"/>
      <c r="F844" s="1000"/>
      <c r="G844" s="1000"/>
      <c r="H844" s="1000"/>
      <c r="I844" s="1000"/>
      <c r="J844" s="1000"/>
      <c r="K844" s="1000"/>
      <c r="L844" s="1001"/>
      <c r="M844" s="25"/>
      <c r="N844" s="1377" t="s">
        <v>634</v>
      </c>
      <c r="O844" s="1379" t="s">
        <v>635</v>
      </c>
      <c r="P844" s="1381" t="s">
        <v>636</v>
      </c>
      <c r="Q844" s="1379" t="s">
        <v>14</v>
      </c>
      <c r="R844" s="1383" t="s">
        <v>278</v>
      </c>
      <c r="S844" s="1385" t="s">
        <v>637</v>
      </c>
      <c r="T844" s="435"/>
      <c r="U844" s="435"/>
    </row>
    <row r="845" spans="1:22" ht="30" customHeight="1" x14ac:dyDescent="0.45">
      <c r="A845" s="9" t="s">
        <v>4</v>
      </c>
      <c r="B845" s="10">
        <v>1732</v>
      </c>
      <c r="C845" s="1138" t="s">
        <v>638</v>
      </c>
      <c r="D845" s="1139"/>
      <c r="E845" s="13" t="s">
        <v>7</v>
      </c>
      <c r="F845" s="14" t="s">
        <v>35</v>
      </c>
      <c r="G845" s="11" t="s">
        <v>6</v>
      </c>
      <c r="H845" s="169">
        <v>10569.8206609808</v>
      </c>
      <c r="I845" s="13" t="s">
        <v>9</v>
      </c>
      <c r="J845" s="985" t="s">
        <v>639</v>
      </c>
      <c r="K845" s="985"/>
      <c r="L845" s="986"/>
      <c r="M845" s="25"/>
      <c r="N845" s="1378"/>
      <c r="O845" s="1380"/>
      <c r="P845" s="1382"/>
      <c r="Q845" s="1380"/>
      <c r="R845" s="1384"/>
      <c r="S845" s="1386"/>
      <c r="T845" s="437"/>
      <c r="U845" s="437"/>
      <c r="V845" s="437"/>
    </row>
    <row r="846" spans="1:22" ht="30" customHeight="1" x14ac:dyDescent="0.45">
      <c r="A846" s="19" t="s">
        <v>11</v>
      </c>
      <c r="B846" s="1005" t="s">
        <v>12</v>
      </c>
      <c r="C846" s="1005"/>
      <c r="D846" s="1005"/>
      <c r="E846" s="20" t="s">
        <v>13</v>
      </c>
      <c r="F846" s="19" t="s">
        <v>267</v>
      </c>
      <c r="G846" s="1114" t="s">
        <v>15</v>
      </c>
      <c r="H846" s="1115"/>
      <c r="I846" s="1068" t="s">
        <v>16</v>
      </c>
      <c r="J846" s="1069"/>
      <c r="K846" s="992" t="s">
        <v>17</v>
      </c>
      <c r="L846" s="993"/>
      <c r="M846" s="25"/>
      <c r="N846" s="438" t="s">
        <v>294</v>
      </c>
      <c r="O846" s="439" t="s">
        <v>640</v>
      </c>
      <c r="P846" s="376">
        <v>60</v>
      </c>
      <c r="Q846" s="56" t="s">
        <v>35</v>
      </c>
      <c r="R846" s="56">
        <v>1.1200000000000001</v>
      </c>
      <c r="S846" s="440">
        <f>1.06/1.05</f>
        <v>1.0095238095238095</v>
      </c>
      <c r="T846" s="437"/>
      <c r="U846" s="437"/>
      <c r="V846" s="437"/>
    </row>
    <row r="847" spans="1:22" ht="30" customHeight="1" x14ac:dyDescent="0.45">
      <c r="A847" s="47">
        <v>14129</v>
      </c>
      <c r="B847" s="1008" t="s">
        <v>641</v>
      </c>
      <c r="C847" s="1009"/>
      <c r="D847" s="1010"/>
      <c r="E847" s="221">
        <v>357</v>
      </c>
      <c r="F847" s="394">
        <v>135770</v>
      </c>
      <c r="G847" s="177"/>
      <c r="H847" s="177"/>
      <c r="I847" s="1084">
        <f>+'[1]2023 MILCON Inflation Table'!F21</f>
        <v>0.957411465768232</v>
      </c>
      <c r="J847" s="1085"/>
      <c r="K847" s="36">
        <f>+E847*I847</f>
        <v>341.79589327925885</v>
      </c>
      <c r="L847" s="29" t="s">
        <v>35</v>
      </c>
      <c r="M847" s="25"/>
      <c r="N847" s="441" t="s">
        <v>642</v>
      </c>
      <c r="O847" s="79" t="s">
        <v>643</v>
      </c>
      <c r="P847" s="442">
        <v>21.15</v>
      </c>
      <c r="Q847" s="47" t="s">
        <v>35</v>
      </c>
      <c r="R847" s="365">
        <v>1.29</v>
      </c>
      <c r="S847" s="440">
        <f t="shared" ref="S847:S864" si="9">1.06/1.05</f>
        <v>1.0095238095238095</v>
      </c>
      <c r="T847" s="27"/>
    </row>
    <row r="848" spans="1:22" ht="30" customHeight="1" thickBot="1" x14ac:dyDescent="0.5">
      <c r="A848" s="47"/>
      <c r="B848" s="173"/>
      <c r="C848" s="161"/>
      <c r="D848" s="161"/>
      <c r="E848" s="161"/>
      <c r="F848" s="415"/>
      <c r="G848" s="161"/>
      <c r="H848" s="389"/>
      <c r="I848" s="58"/>
      <c r="J848" s="85" t="s">
        <v>39</v>
      </c>
      <c r="K848" s="185">
        <f>+K847</f>
        <v>341.79589327925885</v>
      </c>
      <c r="L848" s="47" t="s">
        <v>35</v>
      </c>
      <c r="M848" s="25"/>
      <c r="N848" s="441" t="s">
        <v>644</v>
      </c>
      <c r="O848" s="79" t="s">
        <v>645</v>
      </c>
      <c r="P848" s="442">
        <f>+((1990+2440)/2)+(4*((299+585)/2))</f>
        <v>3983</v>
      </c>
      <c r="Q848" s="47" t="s">
        <v>88</v>
      </c>
      <c r="R848" s="47">
        <v>1.1200000000000001</v>
      </c>
      <c r="S848" s="440">
        <f t="shared" si="9"/>
        <v>1.0095238095238095</v>
      </c>
      <c r="T848" s="27"/>
    </row>
    <row r="849" spans="1:20" ht="30" customHeight="1" thickBot="1" x14ac:dyDescent="0.5">
      <c r="A849" s="999"/>
      <c r="B849" s="1000"/>
      <c r="C849" s="1000"/>
      <c r="D849" s="1000"/>
      <c r="E849" s="1000"/>
      <c r="F849" s="1000"/>
      <c r="G849" s="1000"/>
      <c r="H849" s="1000"/>
      <c r="I849" s="1000"/>
      <c r="J849" s="1000"/>
      <c r="K849" s="1000"/>
      <c r="L849" s="1001"/>
      <c r="M849" s="25"/>
      <c r="N849" s="441" t="s">
        <v>646</v>
      </c>
      <c r="O849" s="79" t="s">
        <v>647</v>
      </c>
      <c r="P849" s="334">
        <f>+((5.87+8.77)/2)+(4*((0.53+0.77)/2))+((0.61+3.1)/2)</f>
        <v>11.775</v>
      </c>
      <c r="Q849" s="47" t="s">
        <v>35</v>
      </c>
      <c r="R849" s="47">
        <v>1.1100000000000001</v>
      </c>
      <c r="S849" s="440">
        <f t="shared" si="9"/>
        <v>1.0095238095238095</v>
      </c>
      <c r="T849" s="27"/>
    </row>
    <row r="850" spans="1:20" ht="30" customHeight="1" x14ac:dyDescent="0.45">
      <c r="A850" s="9" t="s">
        <v>4</v>
      </c>
      <c r="B850" s="10">
        <v>1733</v>
      </c>
      <c r="C850" s="1138" t="s">
        <v>648</v>
      </c>
      <c r="D850" s="1139"/>
      <c r="E850" s="13" t="s">
        <v>7</v>
      </c>
      <c r="F850" s="14" t="s">
        <v>35</v>
      </c>
      <c r="G850" s="11" t="s">
        <v>6</v>
      </c>
      <c r="H850" s="169">
        <v>1650</v>
      </c>
      <c r="I850" s="13" t="s">
        <v>9</v>
      </c>
      <c r="J850" s="985" t="s">
        <v>649</v>
      </c>
      <c r="K850" s="985"/>
      <c r="L850" s="986"/>
      <c r="M850" s="25"/>
      <c r="N850" s="441" t="s">
        <v>646</v>
      </c>
      <c r="O850" s="79" t="s">
        <v>650</v>
      </c>
      <c r="P850" s="443">
        <f>((5.87+8.77)/2)+(8*((0.53+0.77)/2))+((0.61+3.1)/2)</f>
        <v>14.375</v>
      </c>
      <c r="Q850" s="47" t="s">
        <v>35</v>
      </c>
      <c r="R850" s="47">
        <v>1.1100000000000001</v>
      </c>
      <c r="S850" s="440">
        <f t="shared" si="9"/>
        <v>1.0095238095238095</v>
      </c>
      <c r="T850" s="27"/>
    </row>
    <row r="851" spans="1:20" ht="30" customHeight="1" x14ac:dyDescent="0.45">
      <c r="A851" s="19" t="s">
        <v>11</v>
      </c>
      <c r="B851" s="1005" t="s">
        <v>12</v>
      </c>
      <c r="C851" s="1005"/>
      <c r="D851" s="1005"/>
      <c r="E851" s="20" t="s">
        <v>13</v>
      </c>
      <c r="F851" s="19" t="s">
        <v>267</v>
      </c>
      <c r="G851" s="1114" t="s">
        <v>15</v>
      </c>
      <c r="H851" s="1115"/>
      <c r="I851" s="1068" t="s">
        <v>16</v>
      </c>
      <c r="J851" s="1069"/>
      <c r="K851" s="992" t="s">
        <v>17</v>
      </c>
      <c r="L851" s="993"/>
      <c r="M851" s="25"/>
      <c r="N851" s="441" t="s">
        <v>484</v>
      </c>
      <c r="O851" s="79" t="s">
        <v>651</v>
      </c>
      <c r="P851" s="442">
        <v>20.25</v>
      </c>
      <c r="Q851" s="47" t="s">
        <v>35</v>
      </c>
      <c r="R851" s="47">
        <v>1.28</v>
      </c>
      <c r="S851" s="440">
        <f t="shared" si="9"/>
        <v>1.0095238095238095</v>
      </c>
      <c r="T851" s="27"/>
    </row>
    <row r="852" spans="1:20" ht="30" customHeight="1" x14ac:dyDescent="0.45">
      <c r="A852" s="47">
        <v>75061</v>
      </c>
      <c r="B852" s="1008" t="s">
        <v>652</v>
      </c>
      <c r="C852" s="1009"/>
      <c r="D852" s="1010"/>
      <c r="E852" s="221">
        <v>259372</v>
      </c>
      <c r="F852" s="394">
        <v>1</v>
      </c>
      <c r="G852" s="333">
        <f>+H850</f>
        <v>1650</v>
      </c>
      <c r="H852" s="47" t="s">
        <v>653</v>
      </c>
      <c r="I852" s="1084">
        <f>+'[1]2023 MILCON Inflation Table'!F22</f>
        <v>0.93771935922451721</v>
      </c>
      <c r="J852" s="1085"/>
      <c r="K852" s="335">
        <f>+E852/G852*I852</f>
        <v>147.40493675198877</v>
      </c>
      <c r="L852" s="29" t="s">
        <v>35</v>
      </c>
      <c r="M852" s="25"/>
      <c r="N852" s="441" t="s">
        <v>484</v>
      </c>
      <c r="O852" s="79" t="s">
        <v>654</v>
      </c>
      <c r="P852" s="442">
        <f>+(4.87+5.71)/2</f>
        <v>5.29</v>
      </c>
      <c r="Q852" s="47" t="s">
        <v>35</v>
      </c>
      <c r="R852" s="47">
        <v>1.28</v>
      </c>
      <c r="S852" s="440">
        <f t="shared" si="9"/>
        <v>1.0095238095238095</v>
      </c>
      <c r="T852" s="27"/>
    </row>
    <row r="853" spans="1:20" ht="30" customHeight="1" x14ac:dyDescent="0.45">
      <c r="A853" s="47">
        <v>17139</v>
      </c>
      <c r="B853" s="1018" t="s">
        <v>655</v>
      </c>
      <c r="C853" s="1019"/>
      <c r="D853" s="1020"/>
      <c r="E853" s="221">
        <v>487</v>
      </c>
      <c r="F853" s="394">
        <v>800</v>
      </c>
      <c r="G853" s="337"/>
      <c r="H853" s="337"/>
      <c r="I853" s="1084">
        <f>+I852</f>
        <v>0.93771935922451721</v>
      </c>
      <c r="J853" s="1085"/>
      <c r="K853" s="335">
        <f>+E853*I853</f>
        <v>456.66932794233986</v>
      </c>
      <c r="L853" s="29" t="s">
        <v>35</v>
      </c>
      <c r="M853" s="25"/>
      <c r="N853" s="441" t="s">
        <v>282</v>
      </c>
      <c r="O853" s="58" t="s">
        <v>656</v>
      </c>
      <c r="P853" s="442">
        <f>+(389+620)/2</f>
        <v>504.5</v>
      </c>
      <c r="Q853" s="47" t="s">
        <v>88</v>
      </c>
      <c r="R853" s="365">
        <v>1.32</v>
      </c>
      <c r="S853" s="440">
        <f t="shared" si="9"/>
        <v>1.0095238095238095</v>
      </c>
      <c r="T853" s="27"/>
    </row>
    <row r="854" spans="1:20" ht="30" customHeight="1" thickBot="1" x14ac:dyDescent="0.5">
      <c r="A854" s="47"/>
      <c r="B854" s="173"/>
      <c r="C854" s="161"/>
      <c r="D854" s="161"/>
      <c r="E854" s="444"/>
      <c r="F854" s="208"/>
      <c r="G854" s="444"/>
      <c r="H854" s="379" t="s">
        <v>56</v>
      </c>
      <c r="I854" s="58"/>
      <c r="J854" s="85" t="s">
        <v>39</v>
      </c>
      <c r="K854" s="335">
        <f>AVERAGE(K852:K853)</f>
        <v>302.03713234716429</v>
      </c>
      <c r="L854" s="47" t="s">
        <v>35</v>
      </c>
      <c r="M854" s="25"/>
      <c r="N854" s="441" t="s">
        <v>282</v>
      </c>
      <c r="O854" s="58" t="s">
        <v>657</v>
      </c>
      <c r="P854" s="442">
        <f>+(750+1090)/2</f>
        <v>920</v>
      </c>
      <c r="Q854" s="47" t="s">
        <v>88</v>
      </c>
      <c r="R854" s="365">
        <v>1.32</v>
      </c>
      <c r="S854" s="440">
        <f t="shared" si="9"/>
        <v>1.0095238095238095</v>
      </c>
      <c r="T854" s="27"/>
    </row>
    <row r="855" spans="1:20" ht="30" customHeight="1" thickBot="1" x14ac:dyDescent="0.5">
      <c r="A855" s="999"/>
      <c r="B855" s="1000"/>
      <c r="C855" s="1000"/>
      <c r="D855" s="1000"/>
      <c r="E855" s="1000"/>
      <c r="F855" s="1000"/>
      <c r="G855" s="1000"/>
      <c r="H855" s="1000"/>
      <c r="I855" s="1000"/>
      <c r="J855" s="1000"/>
      <c r="K855" s="1000"/>
      <c r="L855" s="1001"/>
      <c r="M855" s="25"/>
      <c r="N855" s="441" t="s">
        <v>282</v>
      </c>
      <c r="O855" s="58" t="s">
        <v>658</v>
      </c>
      <c r="P855" s="442">
        <f>+(252+473)/2</f>
        <v>362.5</v>
      </c>
      <c r="Q855" s="47" t="s">
        <v>88</v>
      </c>
      <c r="R855" s="365">
        <v>1.32</v>
      </c>
      <c r="S855" s="440">
        <f t="shared" si="9"/>
        <v>1.0095238095238095</v>
      </c>
      <c r="T855" s="27"/>
    </row>
    <row r="856" spans="1:20" ht="30" customHeight="1" x14ac:dyDescent="0.45">
      <c r="A856" s="9" t="s">
        <v>4</v>
      </c>
      <c r="B856" s="10">
        <v>1734</v>
      </c>
      <c r="C856" s="1138" t="s">
        <v>659</v>
      </c>
      <c r="D856" s="1139"/>
      <c r="E856" s="13" t="s">
        <v>7</v>
      </c>
      <c r="F856" s="14" t="s">
        <v>88</v>
      </c>
      <c r="G856" s="173" t="s">
        <v>148</v>
      </c>
      <c r="H856" s="184">
        <v>1</v>
      </c>
      <c r="I856" s="13" t="s">
        <v>9</v>
      </c>
      <c r="J856" s="985" t="s">
        <v>660</v>
      </c>
      <c r="K856" s="985"/>
      <c r="L856" s="986"/>
      <c r="M856" s="25"/>
      <c r="N856" s="441" t="s">
        <v>282</v>
      </c>
      <c r="O856" s="58" t="s">
        <v>661</v>
      </c>
      <c r="P856" s="442">
        <f>+(870+1380)/2</f>
        <v>1125</v>
      </c>
      <c r="Q856" s="47" t="s">
        <v>88</v>
      </c>
      <c r="R856" s="365">
        <v>1.32</v>
      </c>
      <c r="S856" s="440">
        <f t="shared" si="9"/>
        <v>1.0095238095238095</v>
      </c>
      <c r="T856" s="27"/>
    </row>
    <row r="857" spans="1:20" ht="30" customHeight="1" x14ac:dyDescent="0.45">
      <c r="A857" s="19" t="s">
        <v>11</v>
      </c>
      <c r="B857" s="1005" t="s">
        <v>12</v>
      </c>
      <c r="C857" s="1005"/>
      <c r="D857" s="1005"/>
      <c r="E857" s="20" t="s">
        <v>13</v>
      </c>
      <c r="F857" s="19" t="s">
        <v>267</v>
      </c>
      <c r="G857" s="1114" t="s">
        <v>15</v>
      </c>
      <c r="H857" s="1115"/>
      <c r="I857" s="1068" t="s">
        <v>16</v>
      </c>
      <c r="J857" s="1069"/>
      <c r="K857" s="992" t="s">
        <v>17</v>
      </c>
      <c r="L857" s="993"/>
      <c r="M857" s="25"/>
      <c r="N857" s="441" t="s">
        <v>662</v>
      </c>
      <c r="O857" s="79" t="s">
        <v>663</v>
      </c>
      <c r="P857" s="442">
        <f>144+(((9.06+18.1))/2)</f>
        <v>157.58000000000001</v>
      </c>
      <c r="Q857" s="47" t="s">
        <v>88</v>
      </c>
      <c r="R857" s="365">
        <v>1.32</v>
      </c>
      <c r="S857" s="440">
        <f t="shared" si="9"/>
        <v>1.0095238095238095</v>
      </c>
      <c r="T857" s="27"/>
    </row>
    <row r="858" spans="1:20" ht="30" customHeight="1" x14ac:dyDescent="0.45">
      <c r="A858" s="47">
        <v>62010</v>
      </c>
      <c r="B858" s="994" t="s">
        <v>664</v>
      </c>
      <c r="C858" s="994"/>
      <c r="D858" s="994"/>
      <c r="E858" s="445">
        <v>235</v>
      </c>
      <c r="F858" s="446">
        <v>230</v>
      </c>
      <c r="G858" s="47">
        <v>230</v>
      </c>
      <c r="H858" s="29" t="s">
        <v>296</v>
      </c>
      <c r="I858" s="1084">
        <f>+'[1]2023 MILCON Inflation Table'!F8</f>
        <v>1.6732905027856291</v>
      </c>
      <c r="J858" s="1085"/>
      <c r="K858" s="335">
        <f>+E858*G858*I858</f>
        <v>90441.351675563244</v>
      </c>
      <c r="L858" s="29" t="s">
        <v>88</v>
      </c>
      <c r="M858" s="25"/>
      <c r="N858" s="441" t="s">
        <v>665</v>
      </c>
      <c r="O858" s="79" t="s">
        <v>666</v>
      </c>
      <c r="P858" s="442">
        <f>18.75+0.87</f>
        <v>19.62</v>
      </c>
      <c r="Q858" s="47" t="s">
        <v>113</v>
      </c>
      <c r="R858" s="365">
        <v>1.32</v>
      </c>
      <c r="S858" s="440">
        <f t="shared" si="9"/>
        <v>1.0095238095238095</v>
      </c>
      <c r="T858" s="27"/>
    </row>
    <row r="859" spans="1:20" ht="30" customHeight="1" x14ac:dyDescent="0.45">
      <c r="A859" s="47">
        <v>17971</v>
      </c>
      <c r="B859" s="1018" t="s">
        <v>667</v>
      </c>
      <c r="C859" s="1019"/>
      <c r="D859" s="1019"/>
      <c r="E859" s="353">
        <v>882949</v>
      </c>
      <c r="F859" s="394">
        <v>1</v>
      </c>
      <c r="G859" s="29"/>
      <c r="H859" s="29"/>
      <c r="I859" s="1084">
        <f>+'[1]2023 MILCON Inflation Table'!F22</f>
        <v>0.93771935922451721</v>
      </c>
      <c r="J859" s="1085"/>
      <c r="K859" s="335">
        <f>+E859*I859</f>
        <v>827958.37050792819</v>
      </c>
      <c r="L859" s="29" t="s">
        <v>88</v>
      </c>
      <c r="M859" s="25"/>
      <c r="N859" s="441" t="s">
        <v>665</v>
      </c>
      <c r="O859" s="79" t="s">
        <v>668</v>
      </c>
      <c r="P859" s="442">
        <v>16.75</v>
      </c>
      <c r="Q859" s="47" t="s">
        <v>113</v>
      </c>
      <c r="R859" s="365">
        <v>1.32</v>
      </c>
      <c r="S859" s="440">
        <f t="shared" si="9"/>
        <v>1.0095238095238095</v>
      </c>
      <c r="T859" s="27"/>
    </row>
    <row r="860" spans="1:20" ht="30" customHeight="1" thickBot="1" x14ac:dyDescent="0.5">
      <c r="A860" s="47"/>
      <c r="B860" s="173"/>
      <c r="C860" s="161"/>
      <c r="D860" s="161"/>
      <c r="E860" s="161"/>
      <c r="F860" s="415"/>
      <c r="G860" s="161"/>
      <c r="H860" s="389"/>
      <c r="I860" s="58" t="s">
        <v>56</v>
      </c>
      <c r="J860" s="85" t="s">
        <v>39</v>
      </c>
      <c r="K860" s="185">
        <f>AVERAGE(K858,K859)</f>
        <v>459199.86109174573</v>
      </c>
      <c r="L860" s="29" t="s">
        <v>88</v>
      </c>
      <c r="M860" s="25"/>
      <c r="N860" s="441" t="s">
        <v>470</v>
      </c>
      <c r="O860" s="58" t="s">
        <v>669</v>
      </c>
      <c r="P860" s="442">
        <f>(19.6+22.6)/2</f>
        <v>21.1</v>
      </c>
      <c r="Q860" s="47" t="s">
        <v>113</v>
      </c>
      <c r="R860" s="47">
        <v>1.26</v>
      </c>
      <c r="S860" s="440">
        <f t="shared" si="9"/>
        <v>1.0095238095238095</v>
      </c>
      <c r="T860" s="27"/>
    </row>
    <row r="861" spans="1:20" ht="30" customHeight="1" thickBot="1" x14ac:dyDescent="0.5">
      <c r="A861" s="999"/>
      <c r="B861" s="1000"/>
      <c r="C861" s="1000"/>
      <c r="D861" s="1000"/>
      <c r="E861" s="1000"/>
      <c r="F861" s="1000"/>
      <c r="G861" s="1000"/>
      <c r="H861" s="1000"/>
      <c r="I861" s="1000"/>
      <c r="J861" s="1000"/>
      <c r="K861" s="1000"/>
      <c r="L861" s="1001"/>
      <c r="M861" s="25"/>
      <c r="N861" s="441" t="s">
        <v>470</v>
      </c>
      <c r="O861" s="58" t="s">
        <v>670</v>
      </c>
      <c r="P861" s="442">
        <f>+(2080+4625)/2</f>
        <v>3352.5</v>
      </c>
      <c r="Q861" s="47" t="s">
        <v>88</v>
      </c>
      <c r="R861" s="47">
        <v>1.26</v>
      </c>
      <c r="S861" s="440">
        <f t="shared" si="9"/>
        <v>1.0095238095238095</v>
      </c>
      <c r="T861" s="27"/>
    </row>
    <row r="862" spans="1:20" ht="30" customHeight="1" x14ac:dyDescent="0.45">
      <c r="A862" s="9" t="s">
        <v>4</v>
      </c>
      <c r="B862" s="10">
        <v>1741</v>
      </c>
      <c r="C862" s="1138" t="s">
        <v>671</v>
      </c>
      <c r="D862" s="1139"/>
      <c r="E862" s="13" t="s">
        <v>7</v>
      </c>
      <c r="F862" s="14" t="s">
        <v>672</v>
      </c>
      <c r="G862" s="11" t="s">
        <v>6</v>
      </c>
      <c r="H862" s="184">
        <v>1584</v>
      </c>
      <c r="I862" s="13" t="s">
        <v>9</v>
      </c>
      <c r="J862" s="985" t="s">
        <v>673</v>
      </c>
      <c r="K862" s="985"/>
      <c r="L862" s="986"/>
      <c r="M862" s="25"/>
      <c r="N862" s="441" t="s">
        <v>644</v>
      </c>
      <c r="O862" s="79" t="s">
        <v>674</v>
      </c>
      <c r="P862" s="442">
        <f>(81+(3.25*18))*4</f>
        <v>558</v>
      </c>
      <c r="Q862" s="47" t="s">
        <v>88</v>
      </c>
      <c r="R862" s="47">
        <v>1.1200000000000001</v>
      </c>
      <c r="S862" s="440">
        <f t="shared" si="9"/>
        <v>1.0095238095238095</v>
      </c>
      <c r="T862" s="27"/>
    </row>
    <row r="863" spans="1:20" ht="30" customHeight="1" x14ac:dyDescent="0.45">
      <c r="A863" s="19"/>
      <c r="B863" s="1005" t="s">
        <v>12</v>
      </c>
      <c r="C863" s="1005"/>
      <c r="D863" s="1005"/>
      <c r="E863" s="19" t="s">
        <v>13</v>
      </c>
      <c r="F863" s="19" t="s">
        <v>14</v>
      </c>
      <c r="G863" s="990" t="s">
        <v>15</v>
      </c>
      <c r="H863" s="991"/>
      <c r="I863" s="19" t="s">
        <v>59</v>
      </c>
      <c r="J863" s="19" t="s">
        <v>60</v>
      </c>
      <c r="K863" s="992" t="s">
        <v>39</v>
      </c>
      <c r="L863" s="993"/>
      <c r="M863" s="25"/>
      <c r="N863" s="441" t="s">
        <v>484</v>
      </c>
      <c r="O863" s="398" t="s">
        <v>675</v>
      </c>
      <c r="P863" s="442">
        <v>21.5</v>
      </c>
      <c r="Q863" s="47" t="s">
        <v>88</v>
      </c>
      <c r="R863" s="365">
        <v>1.28</v>
      </c>
      <c r="S863" s="440">
        <f t="shared" si="9"/>
        <v>1.0095238095238095</v>
      </c>
      <c r="T863" s="27"/>
    </row>
    <row r="864" spans="1:20" ht="30" customHeight="1" thickBot="1" x14ac:dyDescent="0.5">
      <c r="A864" s="38"/>
      <c r="B864" s="1203" t="s">
        <v>676</v>
      </c>
      <c r="C864" s="1203"/>
      <c r="D864" s="1203"/>
      <c r="E864" s="104"/>
      <c r="F864" s="105"/>
      <c r="G864" s="1084"/>
      <c r="H864" s="1085"/>
      <c r="I864" s="105"/>
      <c r="J864" s="106" t="s">
        <v>676</v>
      </c>
      <c r="K864" s="108" t="s">
        <v>676</v>
      </c>
      <c r="L864" s="105" t="s">
        <v>672</v>
      </c>
      <c r="M864" s="25"/>
      <c r="N864" s="441" t="s">
        <v>486</v>
      </c>
      <c r="O864" s="79" t="s">
        <v>677</v>
      </c>
      <c r="P864" s="442">
        <v>25.5</v>
      </c>
      <c r="Q864" s="47" t="s">
        <v>35</v>
      </c>
      <c r="R864" s="365">
        <v>1.28</v>
      </c>
      <c r="S864" s="440">
        <f t="shared" si="9"/>
        <v>1.0095238095238095</v>
      </c>
      <c r="T864" s="27"/>
    </row>
    <row r="865" spans="1:20" ht="30" customHeight="1" thickBot="1" x14ac:dyDescent="0.5">
      <c r="A865" s="999"/>
      <c r="B865" s="1000"/>
      <c r="C865" s="1000"/>
      <c r="D865" s="1000"/>
      <c r="E865" s="1000"/>
      <c r="F865" s="1000"/>
      <c r="G865" s="1000"/>
      <c r="H865" s="1000"/>
      <c r="I865" s="1000"/>
      <c r="J865" s="1000"/>
      <c r="K865" s="1000"/>
      <c r="L865" s="1001"/>
      <c r="M865" s="25"/>
      <c r="N865" s="441">
        <v>85110</v>
      </c>
      <c r="O865" s="79" t="s">
        <v>678</v>
      </c>
      <c r="P865" s="442">
        <v>36.590000000000003</v>
      </c>
      <c r="Q865" s="47" t="s">
        <v>8</v>
      </c>
      <c r="R865" s="447">
        <f>+'[1]2023 MILCON Inflation Table'!F22</f>
        <v>0.93771935922451721</v>
      </c>
      <c r="S865" s="448"/>
      <c r="T865" s="27"/>
    </row>
    <row r="866" spans="1:20" ht="30" customHeight="1" x14ac:dyDescent="0.45">
      <c r="A866" s="9" t="s">
        <v>4</v>
      </c>
      <c r="B866" s="10">
        <v>1742</v>
      </c>
      <c r="C866" s="1138" t="s">
        <v>679</v>
      </c>
      <c r="D866" s="1139"/>
      <c r="E866" s="13" t="s">
        <v>7</v>
      </c>
      <c r="F866" s="14" t="s">
        <v>672</v>
      </c>
      <c r="G866" s="11" t="s">
        <v>6</v>
      </c>
      <c r="H866" s="184">
        <v>2969</v>
      </c>
      <c r="I866" s="13" t="s">
        <v>9</v>
      </c>
      <c r="J866" s="985" t="s">
        <v>673</v>
      </c>
      <c r="K866" s="985"/>
      <c r="L866" s="986"/>
      <c r="M866" s="25"/>
      <c r="N866" s="441">
        <v>85110</v>
      </c>
      <c r="O866" s="79" t="s">
        <v>680</v>
      </c>
      <c r="P866" s="442">
        <v>148.53</v>
      </c>
      <c r="Q866" s="47" t="s">
        <v>8</v>
      </c>
      <c r="R866" s="447">
        <f>+R865</f>
        <v>0.93771935922451721</v>
      </c>
      <c r="S866" s="448"/>
      <c r="T866" s="27"/>
    </row>
    <row r="867" spans="1:20" ht="30" customHeight="1" x14ac:dyDescent="0.45">
      <c r="A867" s="19"/>
      <c r="B867" s="1005" t="s">
        <v>12</v>
      </c>
      <c r="C867" s="1005"/>
      <c r="D867" s="1005"/>
      <c r="E867" s="19" t="s">
        <v>13</v>
      </c>
      <c r="F867" s="19" t="s">
        <v>14</v>
      </c>
      <c r="G867" s="990" t="s">
        <v>15</v>
      </c>
      <c r="H867" s="991"/>
      <c r="I867" s="19" t="s">
        <v>59</v>
      </c>
      <c r="J867" s="19" t="s">
        <v>60</v>
      </c>
      <c r="K867" s="992" t="s">
        <v>39</v>
      </c>
      <c r="L867" s="993"/>
      <c r="N867" s="441">
        <v>93410</v>
      </c>
      <c r="O867" s="79" t="s">
        <v>681</v>
      </c>
      <c r="P867" s="442">
        <v>11.04</v>
      </c>
      <c r="Q867" s="47" t="s">
        <v>29</v>
      </c>
      <c r="R867" s="447">
        <f>+R865</f>
        <v>0.93771935922451721</v>
      </c>
      <c r="S867" s="449"/>
      <c r="T867" s="27"/>
    </row>
    <row r="868" spans="1:20" ht="30" customHeight="1" thickBot="1" x14ac:dyDescent="0.5">
      <c r="A868" s="38"/>
      <c r="B868" s="1203" t="s">
        <v>676</v>
      </c>
      <c r="C868" s="1203"/>
      <c r="D868" s="1203"/>
      <c r="E868" s="104"/>
      <c r="F868" s="105"/>
      <c r="G868" s="1084"/>
      <c r="H868" s="1085"/>
      <c r="I868" s="105"/>
      <c r="J868" s="106" t="s">
        <v>676</v>
      </c>
      <c r="K868" s="108" t="s">
        <v>676</v>
      </c>
      <c r="L868" s="105" t="s">
        <v>672</v>
      </c>
      <c r="M868" s="25"/>
      <c r="N868" s="441">
        <v>93410</v>
      </c>
      <c r="O868" s="79" t="s">
        <v>682</v>
      </c>
      <c r="P868" s="442">
        <v>2.78</v>
      </c>
      <c r="Q868" s="47" t="s">
        <v>8</v>
      </c>
      <c r="R868" s="447">
        <f>+R865</f>
        <v>0.93771935922451721</v>
      </c>
      <c r="S868" s="449"/>
      <c r="T868" s="27"/>
    </row>
    <row r="869" spans="1:20" ht="30" customHeight="1" thickBot="1" x14ac:dyDescent="0.5">
      <c r="A869" s="999"/>
      <c r="B869" s="1000"/>
      <c r="C869" s="1000"/>
      <c r="D869" s="1000"/>
      <c r="E869" s="1000"/>
      <c r="F869" s="1000"/>
      <c r="G869" s="1000"/>
      <c r="H869" s="1000"/>
      <c r="I869" s="1000"/>
      <c r="J869" s="1000"/>
      <c r="K869" s="1000"/>
      <c r="L869" s="1001"/>
      <c r="M869" s="25"/>
      <c r="N869" s="441">
        <v>93210</v>
      </c>
      <c r="O869" s="58" t="s">
        <v>683</v>
      </c>
      <c r="P869" s="442">
        <v>89.16</v>
      </c>
      <c r="Q869" s="47" t="s">
        <v>29</v>
      </c>
      <c r="R869" s="447">
        <f>+R865</f>
        <v>0.93771935922451721</v>
      </c>
      <c r="S869" s="449"/>
      <c r="T869" s="27"/>
    </row>
    <row r="870" spans="1:20" ht="30" customHeight="1" thickBot="1" x14ac:dyDescent="0.5">
      <c r="A870" s="9" t="s">
        <v>4</v>
      </c>
      <c r="B870" s="10">
        <v>1743</v>
      </c>
      <c r="C870" s="1138" t="s">
        <v>684</v>
      </c>
      <c r="D870" s="1139"/>
      <c r="E870" s="13" t="s">
        <v>7</v>
      </c>
      <c r="F870" s="14" t="s">
        <v>672</v>
      </c>
      <c r="G870" s="11" t="s">
        <v>6</v>
      </c>
      <c r="H870" s="184">
        <v>6300</v>
      </c>
      <c r="I870" s="13" t="s">
        <v>9</v>
      </c>
      <c r="J870" s="985" t="s">
        <v>673</v>
      </c>
      <c r="K870" s="985"/>
      <c r="L870" s="986"/>
      <c r="M870" s="25"/>
      <c r="N870" s="450">
        <v>85110</v>
      </c>
      <c r="O870" s="451" t="s">
        <v>685</v>
      </c>
      <c r="P870" s="452">
        <v>130.80000000000001</v>
      </c>
      <c r="Q870" s="50" t="s">
        <v>8</v>
      </c>
      <c r="R870" s="453">
        <f>+R865</f>
        <v>0.93771935922451721</v>
      </c>
      <c r="S870" s="454"/>
      <c r="T870" s="27"/>
    </row>
    <row r="871" spans="1:20" ht="30" customHeight="1" x14ac:dyDescent="0.45">
      <c r="A871" s="19"/>
      <c r="B871" s="1005" t="s">
        <v>12</v>
      </c>
      <c r="C871" s="1005"/>
      <c r="D871" s="1005"/>
      <c r="E871" s="19" t="s">
        <v>13</v>
      </c>
      <c r="F871" s="19" t="s">
        <v>14</v>
      </c>
      <c r="G871" s="990" t="s">
        <v>15</v>
      </c>
      <c r="H871" s="991"/>
      <c r="I871" s="19" t="s">
        <v>59</v>
      </c>
      <c r="J871" s="19" t="s">
        <v>60</v>
      </c>
      <c r="K871" s="992" t="s">
        <v>39</v>
      </c>
      <c r="L871" s="993"/>
      <c r="M871" s="25"/>
      <c r="N871" s="26"/>
      <c r="O871" s="2"/>
      <c r="P871" s="27"/>
      <c r="Q871" s="26"/>
      <c r="R871" s="26"/>
      <c r="S871" s="26"/>
      <c r="T871" s="27"/>
    </row>
    <row r="872" spans="1:20" ht="30" customHeight="1" thickBot="1" x14ac:dyDescent="0.5">
      <c r="A872" s="38"/>
      <c r="B872" s="1203" t="s">
        <v>676</v>
      </c>
      <c r="C872" s="1203"/>
      <c r="D872" s="1203"/>
      <c r="E872" s="104"/>
      <c r="F872" s="105"/>
      <c r="G872" s="1084"/>
      <c r="H872" s="1085"/>
      <c r="I872" s="105"/>
      <c r="J872" s="106" t="s">
        <v>676</v>
      </c>
      <c r="K872" s="108" t="s">
        <v>676</v>
      </c>
      <c r="L872" s="105" t="s">
        <v>672</v>
      </c>
      <c r="M872" s="25"/>
      <c r="N872" s="26"/>
      <c r="O872" s="2"/>
      <c r="P872" s="27"/>
      <c r="Q872" s="26"/>
      <c r="R872" s="26"/>
      <c r="S872" s="26"/>
      <c r="T872" s="28"/>
    </row>
    <row r="873" spans="1:20" ht="30" customHeight="1" thickBot="1" x14ac:dyDescent="0.5">
      <c r="A873" s="999"/>
      <c r="B873" s="1000"/>
      <c r="C873" s="1000"/>
      <c r="D873" s="1000"/>
      <c r="E873" s="1000"/>
      <c r="F873" s="1000"/>
      <c r="G873" s="1000"/>
      <c r="H873" s="1000"/>
      <c r="I873" s="1000"/>
      <c r="J873" s="1000"/>
      <c r="K873" s="1000"/>
      <c r="L873" s="1001"/>
      <c r="M873" s="25"/>
      <c r="N873" s="26"/>
      <c r="O873" s="2"/>
      <c r="P873" s="27"/>
      <c r="Q873" s="26"/>
      <c r="T873" s="28"/>
    </row>
    <row r="874" spans="1:20" ht="30" customHeight="1" x14ac:dyDescent="0.45">
      <c r="A874" s="9" t="s">
        <v>4</v>
      </c>
      <c r="B874" s="10">
        <v>1744</v>
      </c>
      <c r="C874" s="1138" t="s">
        <v>686</v>
      </c>
      <c r="D874" s="1139"/>
      <c r="E874" s="13" t="s">
        <v>7</v>
      </c>
      <c r="F874" s="14" t="s">
        <v>672</v>
      </c>
      <c r="G874" s="11" t="s">
        <v>6</v>
      </c>
      <c r="H874" s="184">
        <v>369</v>
      </c>
      <c r="I874" s="13" t="s">
        <v>9</v>
      </c>
      <c r="J874" s="985" t="s">
        <v>673</v>
      </c>
      <c r="K874" s="985"/>
      <c r="L874" s="986"/>
      <c r="N874" s="26"/>
      <c r="O874" s="2"/>
      <c r="P874" s="27"/>
      <c r="Q874" s="26"/>
    </row>
    <row r="875" spans="1:20" ht="30" customHeight="1" x14ac:dyDescent="0.45">
      <c r="A875" s="19"/>
      <c r="B875" s="1005" t="s">
        <v>12</v>
      </c>
      <c r="C875" s="1005"/>
      <c r="D875" s="1005"/>
      <c r="E875" s="19" t="s">
        <v>13</v>
      </c>
      <c r="F875" s="19" t="s">
        <v>14</v>
      </c>
      <c r="G875" s="990" t="s">
        <v>15</v>
      </c>
      <c r="H875" s="991"/>
      <c r="I875" s="19" t="s">
        <v>59</v>
      </c>
      <c r="J875" s="19" t="s">
        <v>60</v>
      </c>
      <c r="K875" s="992" t="s">
        <v>39</v>
      </c>
      <c r="L875" s="993"/>
      <c r="M875" s="25"/>
      <c r="N875" s="26"/>
      <c r="O875" s="2"/>
      <c r="P875" s="27"/>
      <c r="Q875" s="26"/>
      <c r="R875" s="28"/>
      <c r="T875" s="28"/>
    </row>
    <row r="876" spans="1:20" ht="30" customHeight="1" thickBot="1" x14ac:dyDescent="0.5">
      <c r="A876" s="38"/>
      <c r="B876" s="1203" t="s">
        <v>676</v>
      </c>
      <c r="C876" s="1203"/>
      <c r="D876" s="1203"/>
      <c r="E876" s="104"/>
      <c r="F876" s="105"/>
      <c r="G876" s="1084"/>
      <c r="H876" s="1085"/>
      <c r="I876" s="105"/>
      <c r="J876" s="106" t="s">
        <v>676</v>
      </c>
      <c r="K876" s="108" t="s">
        <v>676</v>
      </c>
      <c r="L876" s="105" t="s">
        <v>672</v>
      </c>
      <c r="M876" s="25"/>
      <c r="N876" s="26"/>
      <c r="O876" s="2"/>
      <c r="P876" s="27"/>
      <c r="Q876" s="26"/>
      <c r="T876" s="28"/>
    </row>
    <row r="877" spans="1:20" ht="30" customHeight="1" thickBot="1" x14ac:dyDescent="0.5">
      <c r="A877" s="999"/>
      <c r="B877" s="1000"/>
      <c r="C877" s="1000"/>
      <c r="D877" s="1000"/>
      <c r="E877" s="1000"/>
      <c r="F877" s="1000"/>
      <c r="G877" s="1000"/>
      <c r="H877" s="1000"/>
      <c r="I877" s="1000"/>
      <c r="J877" s="1000"/>
      <c r="K877" s="1000"/>
      <c r="L877" s="1001"/>
      <c r="M877" s="25"/>
      <c r="N877" s="26"/>
      <c r="O877" s="2"/>
      <c r="P877" s="27"/>
      <c r="Q877" s="26"/>
      <c r="T877" s="28"/>
    </row>
    <row r="878" spans="1:20" ht="30" customHeight="1" x14ac:dyDescent="0.45">
      <c r="A878" s="9" t="s">
        <v>4</v>
      </c>
      <c r="B878" s="10">
        <v>1745</v>
      </c>
      <c r="C878" s="1298" t="s">
        <v>687</v>
      </c>
      <c r="D878" s="1299"/>
      <c r="E878" s="13" t="s">
        <v>7</v>
      </c>
      <c r="F878" s="14" t="s">
        <v>672</v>
      </c>
      <c r="G878" s="11" t="s">
        <v>6</v>
      </c>
      <c r="H878" s="455">
        <v>9.1999999999999993</v>
      </c>
      <c r="I878" s="13" t="s">
        <v>9</v>
      </c>
      <c r="J878" s="985" t="s">
        <v>10</v>
      </c>
      <c r="K878" s="985"/>
      <c r="L878" s="986"/>
      <c r="M878" s="41"/>
      <c r="N878" s="26"/>
      <c r="O878" s="2"/>
      <c r="P878" s="27"/>
      <c r="Q878" s="26"/>
      <c r="T878" s="28"/>
    </row>
    <row r="879" spans="1:20" ht="30" customHeight="1" x14ac:dyDescent="0.45">
      <c r="A879" s="19" t="s">
        <v>11</v>
      </c>
      <c r="B879" s="1005" t="s">
        <v>12</v>
      </c>
      <c r="C879" s="1005"/>
      <c r="D879" s="1005"/>
      <c r="E879" s="20" t="s">
        <v>13</v>
      </c>
      <c r="F879" s="220" t="s">
        <v>14</v>
      </c>
      <c r="G879" s="1114" t="s">
        <v>15</v>
      </c>
      <c r="H879" s="1115"/>
      <c r="I879" s="1068" t="s">
        <v>16</v>
      </c>
      <c r="J879" s="1069"/>
      <c r="K879" s="992" t="s">
        <v>17</v>
      </c>
      <c r="L879" s="993"/>
      <c r="M879" s="90"/>
      <c r="N879" s="26"/>
      <c r="P879" s="27"/>
      <c r="Q879" s="26"/>
      <c r="R879" s="456"/>
      <c r="S879" s="456"/>
      <c r="T879" s="27"/>
    </row>
    <row r="880" spans="1:20" ht="30" customHeight="1" x14ac:dyDescent="0.45">
      <c r="A880" s="47">
        <v>93220</v>
      </c>
      <c r="B880" s="1092" t="s">
        <v>688</v>
      </c>
      <c r="C880" s="1092"/>
      <c r="D880" s="1092"/>
      <c r="E880" s="445">
        <v>24.18</v>
      </c>
      <c r="F880" s="56" t="s">
        <v>689</v>
      </c>
      <c r="G880" s="47">
        <v>23</v>
      </c>
      <c r="H880" s="47" t="s">
        <v>690</v>
      </c>
      <c r="I880" s="1084">
        <f>+'[1]2023 MILCON Inflation Table'!F22</f>
        <v>0.93771935922451721</v>
      </c>
      <c r="J880" s="1085"/>
      <c r="K880" s="335">
        <f>+E880*G880*I880</f>
        <v>521.50324443912302</v>
      </c>
      <c r="L880" s="47" t="s">
        <v>672</v>
      </c>
      <c r="M880" s="90"/>
      <c r="N880" s="26"/>
      <c r="P880" s="27"/>
      <c r="Q880" s="26"/>
      <c r="R880" s="456"/>
      <c r="S880" s="456"/>
      <c r="T880" s="27"/>
    </row>
    <row r="881" spans="1:20" ht="30" customHeight="1" x14ac:dyDescent="0.45">
      <c r="A881" s="47">
        <v>93210</v>
      </c>
      <c r="B881" s="1018" t="s">
        <v>691</v>
      </c>
      <c r="C881" s="1019"/>
      <c r="D881" s="1020"/>
      <c r="E881" s="375">
        <v>5.84</v>
      </c>
      <c r="F881" s="56" t="s">
        <v>8</v>
      </c>
      <c r="G881" s="457">
        <v>4840</v>
      </c>
      <c r="H881" s="349" t="s">
        <v>692</v>
      </c>
      <c r="I881" s="1084">
        <f>+I880</f>
        <v>0.93771935922451721</v>
      </c>
      <c r="J881" s="1085"/>
      <c r="K881" s="335">
        <f>+E881*G881*I881</f>
        <v>26505.200320096512</v>
      </c>
      <c r="L881" s="56" t="s">
        <v>672</v>
      </c>
      <c r="M881" s="90"/>
      <c r="N881" s="26"/>
      <c r="O881" s="2"/>
      <c r="P881" s="27"/>
      <c r="Q881" s="26"/>
      <c r="T881" s="28"/>
    </row>
    <row r="882" spans="1:20" ht="30" customHeight="1" x14ac:dyDescent="0.45">
      <c r="A882" s="47">
        <v>93220</v>
      </c>
      <c r="B882" s="1018" t="s">
        <v>693</v>
      </c>
      <c r="C882" s="1019"/>
      <c r="D882" s="1020"/>
      <c r="E882" s="378">
        <v>91.3</v>
      </c>
      <c r="F882" s="56" t="s">
        <v>689</v>
      </c>
      <c r="G882" s="47">
        <v>23</v>
      </c>
      <c r="H882" s="47" t="s">
        <v>690</v>
      </c>
      <c r="I882" s="1084">
        <f>+I881</f>
        <v>0.93771935922451721</v>
      </c>
      <c r="J882" s="1085"/>
      <c r="K882" s="335">
        <f>+E882*G882*I882</f>
        <v>1969.1168824355639</v>
      </c>
      <c r="L882" s="56" t="s">
        <v>672</v>
      </c>
      <c r="M882" s="25"/>
      <c r="N882" s="26"/>
      <c r="O882" s="2"/>
      <c r="P882" s="27"/>
      <c r="Q882" s="26"/>
      <c r="T882" s="28"/>
    </row>
    <row r="883" spans="1:20" ht="30" customHeight="1" x14ac:dyDescent="0.45">
      <c r="A883" s="47">
        <v>93220</v>
      </c>
      <c r="B883" s="1018" t="s">
        <v>694</v>
      </c>
      <c r="C883" s="1019"/>
      <c r="D883" s="1020"/>
      <c r="E883" s="378">
        <v>3.99</v>
      </c>
      <c r="F883" s="56" t="s">
        <v>35</v>
      </c>
      <c r="G883" s="457">
        <v>43560</v>
      </c>
      <c r="H883" s="349" t="s">
        <v>695</v>
      </c>
      <c r="I883" s="1084">
        <f>+I882</f>
        <v>0.93771935922451721</v>
      </c>
      <c r="J883" s="1085"/>
      <c r="K883" s="335">
        <f>+E883*G883*I883</f>
        <v>162979.7505984017</v>
      </c>
      <c r="L883" s="56" t="s">
        <v>672</v>
      </c>
      <c r="M883" s="25"/>
      <c r="N883" s="26"/>
      <c r="O883" s="2"/>
      <c r="P883" s="27"/>
      <c r="Q883" s="26"/>
      <c r="T883" s="28"/>
    </row>
    <row r="884" spans="1:20" ht="30" customHeight="1" x14ac:dyDescent="0.45">
      <c r="A884" s="47">
        <v>81242</v>
      </c>
      <c r="B884" s="1018" t="s">
        <v>696</v>
      </c>
      <c r="C884" s="1019"/>
      <c r="D884" s="1020"/>
      <c r="E884" s="378">
        <v>55.25</v>
      </c>
      <c r="F884" s="56" t="s">
        <v>113</v>
      </c>
      <c r="G884" s="457">
        <v>420</v>
      </c>
      <c r="H884" s="349" t="s">
        <v>697</v>
      </c>
      <c r="I884" s="1084">
        <f>+I883</f>
        <v>0.93771935922451721</v>
      </c>
      <c r="J884" s="1085"/>
      <c r="K884" s="335">
        <f>+E884*G884*I884</f>
        <v>21759.777730804923</v>
      </c>
      <c r="L884" s="56" t="s">
        <v>672</v>
      </c>
      <c r="M884" s="25"/>
      <c r="N884" s="26"/>
      <c r="O884" s="2"/>
      <c r="P884" s="27"/>
      <c r="Q884" s="26"/>
      <c r="T884" s="28"/>
    </row>
    <row r="885" spans="1:20" ht="30" customHeight="1" x14ac:dyDescent="0.45">
      <c r="A885" s="58"/>
      <c r="B885" s="1030"/>
      <c r="C885" s="1030"/>
      <c r="D885" s="1030"/>
      <c r="E885" s="221"/>
      <c r="F885" s="47"/>
      <c r="G885" s="47"/>
      <c r="H885" s="47"/>
      <c r="I885" s="47"/>
      <c r="J885" s="47" t="s">
        <v>360</v>
      </c>
      <c r="K885" s="335">
        <f>SUM(K880:K884)</f>
        <v>213735.34877617782</v>
      </c>
      <c r="L885" s="56" t="s">
        <v>672</v>
      </c>
      <c r="M885" s="25"/>
      <c r="N885" s="26"/>
      <c r="O885" s="2"/>
      <c r="P885" s="27"/>
      <c r="Q885" s="26"/>
      <c r="T885" s="28"/>
    </row>
    <row r="886" spans="1:20" ht="30" customHeight="1" thickBot="1" x14ac:dyDescent="0.5">
      <c r="A886" s="58"/>
      <c r="B886" s="47"/>
      <c r="C886" s="58"/>
      <c r="D886" s="58"/>
      <c r="E886" s="58"/>
      <c r="F886" s="58"/>
      <c r="G886" s="58"/>
      <c r="H886" s="58"/>
      <c r="I886" s="58"/>
      <c r="J886" s="85" t="s">
        <v>39</v>
      </c>
      <c r="K886" s="185">
        <f>+K885</f>
        <v>213735.34877617782</v>
      </c>
      <c r="L886" s="56" t="s">
        <v>672</v>
      </c>
      <c r="M886" s="25"/>
      <c r="N886" s="26"/>
      <c r="O886" s="2"/>
      <c r="P886" s="27"/>
      <c r="Q886" s="26"/>
      <c r="T886" s="28"/>
    </row>
    <row r="887" spans="1:20" ht="30" customHeight="1" thickBot="1" x14ac:dyDescent="0.5">
      <c r="A887" s="999"/>
      <c r="B887" s="1000"/>
      <c r="C887" s="1000"/>
      <c r="D887" s="1000"/>
      <c r="E887" s="1000"/>
      <c r="F887" s="1000"/>
      <c r="G887" s="1000"/>
      <c r="H887" s="1000"/>
      <c r="I887" s="1000"/>
      <c r="J887" s="1000"/>
      <c r="K887" s="1000"/>
      <c r="L887" s="1001"/>
      <c r="M887" s="25"/>
      <c r="N887" s="26"/>
      <c r="O887" s="2"/>
      <c r="P887" s="27"/>
      <c r="Q887" s="26"/>
      <c r="T887" s="28"/>
    </row>
    <row r="888" spans="1:20" ht="30" customHeight="1" x14ac:dyDescent="0.45">
      <c r="A888" s="9" t="s">
        <v>4</v>
      </c>
      <c r="B888" s="10">
        <v>1750</v>
      </c>
      <c r="C888" s="983" t="s">
        <v>698</v>
      </c>
      <c r="D888" s="984"/>
      <c r="E888" s="13" t="s">
        <v>7</v>
      </c>
      <c r="F888" s="14" t="s">
        <v>699</v>
      </c>
      <c r="G888" s="15" t="s">
        <v>700</v>
      </c>
      <c r="H888" s="370">
        <v>32</v>
      </c>
      <c r="I888" s="13" t="s">
        <v>9</v>
      </c>
      <c r="J888" s="1355" t="s">
        <v>701</v>
      </c>
      <c r="K888" s="1355"/>
      <c r="L888" s="1356"/>
      <c r="M888" s="25"/>
      <c r="N888" s="26"/>
      <c r="O888" s="2"/>
      <c r="P888" s="27"/>
      <c r="Q888" s="26"/>
      <c r="T888" s="28"/>
    </row>
    <row r="889" spans="1:20" ht="30" customHeight="1" x14ac:dyDescent="0.45">
      <c r="A889" s="19" t="s">
        <v>702</v>
      </c>
      <c r="B889" s="987" t="s">
        <v>293</v>
      </c>
      <c r="C889" s="988"/>
      <c r="D889" s="989"/>
      <c r="E889" s="220" t="s">
        <v>13</v>
      </c>
      <c r="F889" s="220" t="s">
        <v>14</v>
      </c>
      <c r="G889" s="990" t="s">
        <v>15</v>
      </c>
      <c r="H889" s="991"/>
      <c r="I889" s="277" t="s">
        <v>278</v>
      </c>
      <c r="J889" s="277" t="s">
        <v>285</v>
      </c>
      <c r="K889" s="992" t="s">
        <v>17</v>
      </c>
      <c r="L889" s="993"/>
      <c r="N889" s="26"/>
      <c r="O889" s="2"/>
      <c r="P889" s="27"/>
      <c r="Q889" s="26"/>
      <c r="T889" s="28"/>
    </row>
    <row r="890" spans="1:20" ht="30" customHeight="1" x14ac:dyDescent="0.45">
      <c r="A890" s="47" t="s">
        <v>646</v>
      </c>
      <c r="B890" s="1018" t="s">
        <v>703</v>
      </c>
      <c r="C890" s="1019"/>
      <c r="D890" s="1020"/>
      <c r="E890" s="383">
        <f>+P849</f>
        <v>11.775</v>
      </c>
      <c r="F890" s="47" t="s">
        <v>35</v>
      </c>
      <c r="G890" s="222">
        <f>7*62</f>
        <v>434</v>
      </c>
      <c r="H890" s="351" t="s">
        <v>704</v>
      </c>
      <c r="I890" s="202">
        <f>+R849</f>
        <v>1.1100000000000001</v>
      </c>
      <c r="J890" s="202">
        <f>+S849</f>
        <v>1.0095238095238095</v>
      </c>
      <c r="K890" s="221">
        <f>+E890*G890*I890*J890</f>
        <v>5726.512200000001</v>
      </c>
      <c r="L890" s="47" t="s">
        <v>699</v>
      </c>
      <c r="M890" s="25"/>
      <c r="N890" s="26"/>
      <c r="O890" s="2"/>
      <c r="P890" s="27"/>
      <c r="Q890" s="26"/>
      <c r="T890" s="28"/>
    </row>
    <row r="891" spans="1:20" ht="30" customHeight="1" x14ac:dyDescent="0.45">
      <c r="A891" s="47" t="s">
        <v>282</v>
      </c>
      <c r="B891" s="1018" t="s">
        <v>656</v>
      </c>
      <c r="C891" s="1019"/>
      <c r="D891" s="1020"/>
      <c r="E891" s="383">
        <f>+P853</f>
        <v>504.5</v>
      </c>
      <c r="F891" s="222" t="s">
        <v>88</v>
      </c>
      <c r="G891" s="222">
        <v>7</v>
      </c>
      <c r="H891" s="351" t="s">
        <v>705</v>
      </c>
      <c r="I891" s="202">
        <f>+R853</f>
        <v>1.32</v>
      </c>
      <c r="J891" s="202">
        <f>+S853</f>
        <v>1.0095238095238095</v>
      </c>
      <c r="K891" s="221">
        <f>+E891*G891*I891*J891</f>
        <v>4705.9759999999997</v>
      </c>
      <c r="L891" s="47" t="s">
        <v>699</v>
      </c>
      <c r="M891" s="25"/>
      <c r="N891" s="26"/>
      <c r="O891" s="2"/>
      <c r="P891" s="27"/>
      <c r="Q891" s="26"/>
      <c r="T891" s="28"/>
    </row>
    <row r="892" spans="1:20" ht="30" customHeight="1" x14ac:dyDescent="0.45">
      <c r="A892" s="47" t="s">
        <v>282</v>
      </c>
      <c r="B892" s="1018" t="s">
        <v>658</v>
      </c>
      <c r="C892" s="1019"/>
      <c r="D892" s="1020"/>
      <c r="E892" s="383">
        <f>P855</f>
        <v>362.5</v>
      </c>
      <c r="F892" s="222" t="s">
        <v>88</v>
      </c>
      <c r="G892" s="222">
        <v>7</v>
      </c>
      <c r="H892" s="351" t="s">
        <v>705</v>
      </c>
      <c r="I892" s="202">
        <f>+R855</f>
        <v>1.32</v>
      </c>
      <c r="J892" s="202">
        <f>+S855</f>
        <v>1.0095238095238095</v>
      </c>
      <c r="K892" s="221">
        <f>+E892*G892*I892*J892</f>
        <v>3381.4</v>
      </c>
      <c r="L892" s="47" t="s">
        <v>699</v>
      </c>
      <c r="M892" s="25"/>
      <c r="N892" s="26"/>
      <c r="O892" s="2"/>
      <c r="P892" s="27"/>
      <c r="Q892" s="26"/>
      <c r="T892" s="28"/>
    </row>
    <row r="893" spans="1:20" ht="30" customHeight="1" x14ac:dyDescent="0.45">
      <c r="A893" s="47" t="s">
        <v>662</v>
      </c>
      <c r="B893" s="1018" t="s">
        <v>663</v>
      </c>
      <c r="C893" s="1019"/>
      <c r="D893" s="1020"/>
      <c r="E893" s="383">
        <f>P857</f>
        <v>157.58000000000001</v>
      </c>
      <c r="F893" s="222" t="s">
        <v>88</v>
      </c>
      <c r="G893" s="222">
        <f>4*7</f>
        <v>28</v>
      </c>
      <c r="H893" s="351" t="s">
        <v>705</v>
      </c>
      <c r="I893" s="202">
        <f>+R857</f>
        <v>1.32</v>
      </c>
      <c r="J893" s="202">
        <f>+S857</f>
        <v>1.0095238095238095</v>
      </c>
      <c r="K893" s="221">
        <f>+E893*G893*I893*J893</f>
        <v>5879.624960000001</v>
      </c>
      <c r="L893" s="47" t="s">
        <v>699</v>
      </c>
      <c r="M893" s="25"/>
      <c r="N893" s="26"/>
      <c r="O893" s="2"/>
      <c r="P893" s="27"/>
      <c r="Q893" s="26"/>
      <c r="T893" s="28"/>
    </row>
    <row r="894" spans="1:20" ht="30" customHeight="1" x14ac:dyDescent="0.45">
      <c r="A894" s="47" t="s">
        <v>665</v>
      </c>
      <c r="B894" s="1018" t="s">
        <v>706</v>
      </c>
      <c r="C894" s="1019"/>
      <c r="D894" s="1020"/>
      <c r="E894" s="383">
        <f>P858</f>
        <v>19.62</v>
      </c>
      <c r="F894" s="222" t="s">
        <v>113</v>
      </c>
      <c r="G894" s="424">
        <v>2653</v>
      </c>
      <c r="H894" s="351" t="s">
        <v>707</v>
      </c>
      <c r="I894" s="202">
        <f>+R858</f>
        <v>1.32</v>
      </c>
      <c r="J894" s="202">
        <f>+S858</f>
        <v>1.0095238095238095</v>
      </c>
      <c r="K894" s="221">
        <f>+E894*G894*I894*J894</f>
        <v>69362.821440000014</v>
      </c>
      <c r="L894" s="47" t="s">
        <v>699</v>
      </c>
      <c r="M894" s="25"/>
      <c r="N894" s="26"/>
      <c r="O894" s="2"/>
      <c r="P894" s="27"/>
      <c r="Q894" s="26"/>
      <c r="T894" s="28"/>
    </row>
    <row r="895" spans="1:20" ht="30" customHeight="1" x14ac:dyDescent="0.45">
      <c r="A895" s="47" t="s">
        <v>644</v>
      </c>
      <c r="B895" s="1018" t="s">
        <v>708</v>
      </c>
      <c r="C895" s="1019"/>
      <c r="D895" s="1020"/>
      <c r="E895" s="383">
        <f>+P862</f>
        <v>558</v>
      </c>
      <c r="F895" s="222" t="s">
        <v>88</v>
      </c>
      <c r="G895" s="222"/>
      <c r="H895" s="351"/>
      <c r="I895" s="202">
        <f>R862</f>
        <v>1.1200000000000001</v>
      </c>
      <c r="J895" s="202">
        <f>+S862</f>
        <v>1.0095238095238095</v>
      </c>
      <c r="K895" s="221">
        <f>+E895*J895*I895</f>
        <v>630.91200000000003</v>
      </c>
      <c r="L895" s="47" t="s">
        <v>699</v>
      </c>
      <c r="M895" s="25"/>
      <c r="N895" s="26"/>
      <c r="O895" s="2"/>
      <c r="P895" s="27"/>
      <c r="Q895" s="26"/>
      <c r="T895" s="28"/>
    </row>
    <row r="896" spans="1:20" ht="30" customHeight="1" x14ac:dyDescent="0.45">
      <c r="A896" s="47">
        <v>93410</v>
      </c>
      <c r="B896" s="1018" t="s">
        <v>709</v>
      </c>
      <c r="C896" s="1019"/>
      <c r="D896" s="1020"/>
      <c r="E896" s="383">
        <f>+P867</f>
        <v>11.04</v>
      </c>
      <c r="F896" s="222" t="s">
        <v>29</v>
      </c>
      <c r="G896" s="354">
        <v>213.375</v>
      </c>
      <c r="H896" s="351" t="s">
        <v>710</v>
      </c>
      <c r="I896" s="458">
        <f>+R867</f>
        <v>0.93771935922451721</v>
      </c>
      <c r="J896" s="202"/>
      <c r="K896" s="221">
        <f>+E896*G896*I896</f>
        <v>2208.9479857508259</v>
      </c>
      <c r="L896" s="47" t="s">
        <v>699</v>
      </c>
      <c r="M896" s="25"/>
      <c r="N896" s="26"/>
      <c r="O896" s="2"/>
      <c r="P896" s="27"/>
      <c r="Q896" s="26"/>
      <c r="T896" s="28"/>
    </row>
    <row r="897" spans="1:20" ht="30" customHeight="1" x14ac:dyDescent="0.45">
      <c r="A897" s="47">
        <v>93210</v>
      </c>
      <c r="B897" s="1018" t="s">
        <v>711</v>
      </c>
      <c r="C897" s="1019"/>
      <c r="D897" s="1020"/>
      <c r="E897" s="383">
        <f>P869</f>
        <v>89.16</v>
      </c>
      <c r="F897" s="222" t="s">
        <v>29</v>
      </c>
      <c r="G897" s="354">
        <v>12.78125</v>
      </c>
      <c r="H897" s="351" t="s">
        <v>710</v>
      </c>
      <c r="I897" s="458">
        <f>+R869</f>
        <v>0.93771935922451721</v>
      </c>
      <c r="J897" s="202"/>
      <c r="K897" s="221">
        <f>+E897*G897*I897</f>
        <v>1068.6027109374782</v>
      </c>
      <c r="L897" s="47" t="s">
        <v>699</v>
      </c>
      <c r="M897" s="25"/>
      <c r="N897" s="26"/>
      <c r="O897" s="2"/>
      <c r="P897" s="27"/>
      <c r="Q897" s="26"/>
      <c r="T897" s="28"/>
    </row>
    <row r="898" spans="1:20" ht="30" customHeight="1" x14ac:dyDescent="0.45">
      <c r="A898" s="47"/>
      <c r="B898" s="1092"/>
      <c r="C898" s="1092"/>
      <c r="D898" s="1092"/>
      <c r="E898" s="459"/>
      <c r="F898" s="47"/>
      <c r="G898" s="460"/>
      <c r="H898" s="179"/>
      <c r="I898" s="47"/>
      <c r="J898" s="47" t="s">
        <v>360</v>
      </c>
      <c r="K898" s="221">
        <f>SUM(K890:K897)</f>
        <v>92964.797296688324</v>
      </c>
      <c r="L898" s="47" t="s">
        <v>699</v>
      </c>
      <c r="M898" s="25"/>
      <c r="N898" s="26"/>
      <c r="O898" s="2"/>
      <c r="P898" s="27"/>
      <c r="Q898" s="26"/>
      <c r="T898" s="28"/>
    </row>
    <row r="899" spans="1:20" ht="30" customHeight="1" x14ac:dyDescent="0.45">
      <c r="A899" s="977" t="s">
        <v>712</v>
      </c>
      <c r="B899" s="978"/>
      <c r="C899" s="978"/>
      <c r="D899" s="979"/>
      <c r="E899" s="58"/>
      <c r="F899" s="58"/>
      <c r="G899" s="58"/>
      <c r="H899" s="58"/>
      <c r="I899" s="58"/>
      <c r="J899" s="47" t="s">
        <v>39</v>
      </c>
      <c r="K899" s="216">
        <f>+K898</f>
        <v>92964.797296688324</v>
      </c>
      <c r="L899" s="47" t="s">
        <v>699</v>
      </c>
      <c r="M899" s="25"/>
      <c r="N899" s="26"/>
      <c r="O899" s="2"/>
      <c r="P899" s="27"/>
      <c r="Q899" s="26"/>
      <c r="T899" s="28"/>
    </row>
    <row r="900" spans="1:20" ht="30" customHeight="1" thickBot="1" x14ac:dyDescent="0.5">
      <c r="A900" s="1352"/>
      <c r="B900" s="1353"/>
      <c r="C900" s="1353"/>
      <c r="D900" s="1354"/>
      <c r="E900" s="58"/>
      <c r="F900" s="58"/>
      <c r="G900" s="1032" t="s">
        <v>288</v>
      </c>
      <c r="H900" s="1033"/>
      <c r="I900" s="1034"/>
      <c r="J900" s="213">
        <f>VLOOKUP(B888,'[1]Mil Cost Premiums for PUCs'!$A$4:$R$278,18,FALSE)</f>
        <v>1.0485669999999998</v>
      </c>
      <c r="K900" s="216">
        <f>+K899*J900</f>
        <v>97479.818606996574</v>
      </c>
      <c r="L900" s="47" t="s">
        <v>699</v>
      </c>
      <c r="M900" s="25"/>
      <c r="N900" s="26"/>
      <c r="O900" s="2"/>
      <c r="P900" s="27"/>
      <c r="Q900" s="26"/>
      <c r="T900" s="28"/>
    </row>
    <row r="901" spans="1:20" ht="30" customHeight="1" thickBot="1" x14ac:dyDescent="0.5">
      <c r="A901" s="999"/>
      <c r="B901" s="1000"/>
      <c r="C901" s="1000"/>
      <c r="D901" s="1000"/>
      <c r="E901" s="1000"/>
      <c r="F901" s="1000"/>
      <c r="G901" s="1000"/>
      <c r="H901" s="1000"/>
      <c r="I901" s="1000"/>
      <c r="J901" s="1000"/>
      <c r="K901" s="1000"/>
      <c r="L901" s="1001"/>
      <c r="M901" s="25"/>
      <c r="N901" s="26"/>
      <c r="O901" s="2"/>
      <c r="P901" s="27"/>
      <c r="Q901" s="26"/>
      <c r="T901" s="28"/>
    </row>
    <row r="902" spans="1:20" ht="30" customHeight="1" x14ac:dyDescent="0.45">
      <c r="A902" s="9" t="s">
        <v>4</v>
      </c>
      <c r="B902" s="10">
        <v>1751</v>
      </c>
      <c r="C902" s="983" t="s">
        <v>713</v>
      </c>
      <c r="D902" s="984"/>
      <c r="E902" s="13" t="s">
        <v>7</v>
      </c>
      <c r="F902" s="14" t="s">
        <v>699</v>
      </c>
      <c r="G902" s="15" t="s">
        <v>700</v>
      </c>
      <c r="H902" s="370">
        <v>32</v>
      </c>
      <c r="I902" s="13" t="s">
        <v>9</v>
      </c>
      <c r="J902" s="1355" t="s">
        <v>701</v>
      </c>
      <c r="K902" s="1355"/>
      <c r="L902" s="1356"/>
      <c r="N902" s="26"/>
      <c r="O902" s="2"/>
      <c r="P902" s="27"/>
      <c r="Q902" s="26"/>
      <c r="T902" s="28"/>
    </row>
    <row r="903" spans="1:20" ht="30" customHeight="1" x14ac:dyDescent="0.45">
      <c r="A903" s="19" t="s">
        <v>702</v>
      </c>
      <c r="B903" s="987" t="s">
        <v>293</v>
      </c>
      <c r="C903" s="988"/>
      <c r="D903" s="989"/>
      <c r="E903" s="220" t="s">
        <v>13</v>
      </c>
      <c r="F903" s="220" t="s">
        <v>14</v>
      </c>
      <c r="G903" s="990" t="s">
        <v>15</v>
      </c>
      <c r="H903" s="991"/>
      <c r="I903" s="277" t="s">
        <v>278</v>
      </c>
      <c r="J903" s="277" t="s">
        <v>285</v>
      </c>
      <c r="K903" s="992" t="s">
        <v>17</v>
      </c>
      <c r="L903" s="993"/>
      <c r="M903" s="25"/>
      <c r="N903" s="26"/>
      <c r="O903" s="2"/>
      <c r="P903" s="27"/>
      <c r="Q903" s="26"/>
      <c r="T903" s="28"/>
    </row>
    <row r="904" spans="1:20" ht="30" customHeight="1" x14ac:dyDescent="0.45">
      <c r="A904" s="47" t="s">
        <v>644</v>
      </c>
      <c r="B904" s="1092" t="s">
        <v>674</v>
      </c>
      <c r="C904" s="1092"/>
      <c r="D904" s="1092"/>
      <c r="E904" s="383">
        <f>+P862</f>
        <v>558</v>
      </c>
      <c r="F904" s="222" t="s">
        <v>88</v>
      </c>
      <c r="G904" s="222"/>
      <c r="H904" s="351"/>
      <c r="I904" s="202">
        <f>+R848</f>
        <v>1.1200000000000001</v>
      </c>
      <c r="J904" s="202">
        <f>+S848</f>
        <v>1.0095238095238095</v>
      </c>
      <c r="K904" s="221">
        <f>+E904*J904*I904</f>
        <v>630.91200000000003</v>
      </c>
      <c r="L904" s="47" t="s">
        <v>699</v>
      </c>
      <c r="M904" s="25"/>
      <c r="N904" s="26"/>
      <c r="O904" s="2"/>
      <c r="P904" s="27"/>
      <c r="Q904" s="26"/>
      <c r="T904" s="28"/>
    </row>
    <row r="905" spans="1:20" ht="30" customHeight="1" x14ac:dyDescent="0.45">
      <c r="A905" s="47" t="s">
        <v>484</v>
      </c>
      <c r="B905" s="1092" t="s">
        <v>675</v>
      </c>
      <c r="C905" s="1092"/>
      <c r="D905" s="1092"/>
      <c r="E905" s="334">
        <f>+P863</f>
        <v>21.5</v>
      </c>
      <c r="F905" s="222" t="s">
        <v>88</v>
      </c>
      <c r="G905" s="222">
        <v>4</v>
      </c>
      <c r="H905" s="351" t="s">
        <v>714</v>
      </c>
      <c r="I905" s="202">
        <f>+R863</f>
        <v>1.28</v>
      </c>
      <c r="J905" s="202">
        <f>+S863</f>
        <v>1.0095238095238095</v>
      </c>
      <c r="K905" s="221">
        <f>+E905*G905*I905*J905</f>
        <v>111.12838095238095</v>
      </c>
      <c r="L905" s="47" t="s">
        <v>699</v>
      </c>
      <c r="M905" s="25"/>
      <c r="N905" s="26"/>
      <c r="O905" s="2"/>
      <c r="P905" s="27"/>
      <c r="Q905" s="26"/>
      <c r="T905" s="28"/>
    </row>
    <row r="906" spans="1:20" ht="30" customHeight="1" x14ac:dyDescent="0.45">
      <c r="A906" s="47" t="s">
        <v>665</v>
      </c>
      <c r="B906" s="1092" t="s">
        <v>666</v>
      </c>
      <c r="C906" s="1092"/>
      <c r="D906" s="1092"/>
      <c r="E906" s="383">
        <f>+P858</f>
        <v>19.62</v>
      </c>
      <c r="F906" s="222" t="s">
        <v>113</v>
      </c>
      <c r="G906" s="222">
        <v>224</v>
      </c>
      <c r="H906" s="351" t="s">
        <v>707</v>
      </c>
      <c r="I906" s="202">
        <f>+R858</f>
        <v>1.32</v>
      </c>
      <c r="J906" s="202">
        <f>+S858</f>
        <v>1.0095238095238095</v>
      </c>
      <c r="K906" s="221">
        <f>+E906*G906*I906*J906</f>
        <v>5856.4915200000005</v>
      </c>
      <c r="L906" s="47" t="s">
        <v>699</v>
      </c>
      <c r="M906" s="25"/>
      <c r="N906" s="26"/>
      <c r="O906" s="2"/>
      <c r="P906" s="27"/>
      <c r="Q906" s="26"/>
      <c r="T906" s="28"/>
    </row>
    <row r="907" spans="1:20" ht="30" customHeight="1" x14ac:dyDescent="0.45">
      <c r="A907" s="47">
        <v>93410</v>
      </c>
      <c r="B907" s="1092" t="s">
        <v>715</v>
      </c>
      <c r="C907" s="1092"/>
      <c r="D907" s="1092"/>
      <c r="E907" s="383">
        <f>+P867</f>
        <v>11.04</v>
      </c>
      <c r="F907" s="222" t="s">
        <v>29</v>
      </c>
      <c r="G907" s="354">
        <v>60.5</v>
      </c>
      <c r="H907" s="351" t="s">
        <v>710</v>
      </c>
      <c r="I907" s="458">
        <f>+R867</f>
        <v>0.93771935922451721</v>
      </c>
      <c r="J907" s="47"/>
      <c r="K907" s="221">
        <f>+E907*G907*I907</f>
        <v>626.32151441323947</v>
      </c>
      <c r="L907" s="47" t="s">
        <v>699</v>
      </c>
      <c r="M907" s="25"/>
      <c r="N907" s="26"/>
      <c r="O907" s="2"/>
      <c r="P907" s="27"/>
      <c r="Q907" s="26"/>
      <c r="T907" s="28"/>
    </row>
    <row r="908" spans="1:20" ht="30" customHeight="1" x14ac:dyDescent="0.45">
      <c r="A908" s="47">
        <v>93210</v>
      </c>
      <c r="B908" s="1092" t="s">
        <v>716</v>
      </c>
      <c r="C908" s="1092"/>
      <c r="D908" s="1092"/>
      <c r="E908" s="383">
        <f>P869</f>
        <v>89.16</v>
      </c>
      <c r="F908" s="222" t="s">
        <v>29</v>
      </c>
      <c r="G908" s="354">
        <v>12.09375</v>
      </c>
      <c r="H908" s="351" t="s">
        <v>710</v>
      </c>
      <c r="I908" s="458">
        <f>+R869</f>
        <v>0.93771935922451721</v>
      </c>
      <c r="J908" s="47"/>
      <c r="K908" s="221">
        <f>+E908*G908*I908</f>
        <v>1011.1228585154133</v>
      </c>
      <c r="L908" s="47" t="s">
        <v>699</v>
      </c>
      <c r="M908" s="25"/>
      <c r="N908" s="26"/>
      <c r="O908" s="2"/>
      <c r="P908" s="27"/>
      <c r="Q908" s="26"/>
      <c r="T908" s="28"/>
    </row>
    <row r="909" spans="1:20" ht="30" customHeight="1" x14ac:dyDescent="0.45">
      <c r="A909" s="977" t="s">
        <v>712</v>
      </c>
      <c r="B909" s="978"/>
      <c r="C909" s="978"/>
      <c r="D909" s="979"/>
      <c r="E909" s="221"/>
      <c r="F909" s="47"/>
      <c r="G909" s="58"/>
      <c r="H909" s="179"/>
      <c r="I909" s="447"/>
      <c r="J909" s="47" t="s">
        <v>360</v>
      </c>
      <c r="K909" s="221">
        <f>SUM(K904:K908)</f>
        <v>8235.9762738810332</v>
      </c>
      <c r="L909" s="47" t="s">
        <v>699</v>
      </c>
      <c r="M909" s="25"/>
      <c r="N909" s="26"/>
      <c r="O909" s="2"/>
      <c r="P909" s="27"/>
      <c r="Q909" s="26"/>
      <c r="T909" s="28"/>
    </row>
    <row r="910" spans="1:20" ht="30" customHeight="1" thickBot="1" x14ac:dyDescent="0.5">
      <c r="A910" s="1352"/>
      <c r="B910" s="1353"/>
      <c r="C910" s="1353"/>
      <c r="D910" s="1354"/>
      <c r="E910" s="58"/>
      <c r="F910" s="58"/>
      <c r="G910" s="1032" t="s">
        <v>288</v>
      </c>
      <c r="H910" s="1033"/>
      <c r="I910" s="1034"/>
      <c r="J910" s="213">
        <f>VLOOKUP(B902,'[1]Mil Cost Premiums for PUCs'!$A$4:$R$278,18,FALSE)</f>
        <v>1.0485669999999998</v>
      </c>
      <c r="K910" s="216">
        <f>+K909*J910</f>
        <v>8635.9729335746124</v>
      </c>
      <c r="L910" s="47" t="s">
        <v>699</v>
      </c>
      <c r="M910" s="25"/>
      <c r="N910" s="26"/>
      <c r="O910" s="2"/>
      <c r="P910" s="27"/>
      <c r="Q910" s="26"/>
      <c r="T910" s="28"/>
    </row>
    <row r="911" spans="1:20" ht="30" customHeight="1" thickBot="1" x14ac:dyDescent="0.5">
      <c r="A911" s="999"/>
      <c r="B911" s="1000"/>
      <c r="C911" s="1000"/>
      <c r="D911" s="1000"/>
      <c r="E911" s="1000"/>
      <c r="F911" s="1000"/>
      <c r="G911" s="1000"/>
      <c r="H911" s="1000"/>
      <c r="I911" s="1000"/>
      <c r="J911" s="1000"/>
      <c r="K911" s="1000"/>
      <c r="L911" s="1001"/>
      <c r="M911" s="25"/>
      <c r="N911" s="26"/>
      <c r="O911" s="2"/>
      <c r="P911" s="27"/>
      <c r="Q911" s="26"/>
      <c r="T911" s="28"/>
    </row>
    <row r="912" spans="1:20" ht="30" customHeight="1" x14ac:dyDescent="0.45">
      <c r="A912" s="9" t="s">
        <v>4</v>
      </c>
      <c r="B912" s="10">
        <v>1752</v>
      </c>
      <c r="C912" s="983" t="s">
        <v>717</v>
      </c>
      <c r="D912" s="984"/>
      <c r="E912" s="13" t="s">
        <v>7</v>
      </c>
      <c r="F912" s="14" t="s">
        <v>699</v>
      </c>
      <c r="G912" s="15" t="s">
        <v>718</v>
      </c>
      <c r="H912" s="370">
        <v>32</v>
      </c>
      <c r="I912" s="13" t="s">
        <v>9</v>
      </c>
      <c r="J912" s="1355" t="s">
        <v>701</v>
      </c>
      <c r="K912" s="1355"/>
      <c r="L912" s="1356"/>
      <c r="M912" s="25"/>
      <c r="N912" s="26"/>
      <c r="O912" s="2"/>
      <c r="P912" s="27"/>
      <c r="Q912" s="26"/>
      <c r="T912" s="28"/>
    </row>
    <row r="913" spans="1:20" ht="30" customHeight="1" x14ac:dyDescent="0.45">
      <c r="A913" s="19" t="s">
        <v>702</v>
      </c>
      <c r="B913" s="987" t="s">
        <v>293</v>
      </c>
      <c r="C913" s="988"/>
      <c r="D913" s="989"/>
      <c r="E913" s="220" t="s">
        <v>13</v>
      </c>
      <c r="F913" s="220" t="s">
        <v>14</v>
      </c>
      <c r="G913" s="990" t="s">
        <v>15</v>
      </c>
      <c r="H913" s="991"/>
      <c r="I913" s="19" t="s">
        <v>278</v>
      </c>
      <c r="J913" s="277" t="s">
        <v>285</v>
      </c>
      <c r="K913" s="992" t="s">
        <v>17</v>
      </c>
      <c r="L913" s="993"/>
      <c r="M913" s="25"/>
      <c r="N913" s="26"/>
      <c r="O913" s="2"/>
      <c r="P913" s="27"/>
      <c r="Q913" s="26"/>
      <c r="T913" s="28"/>
    </row>
    <row r="914" spans="1:20" ht="30" customHeight="1" x14ac:dyDescent="0.45">
      <c r="A914" s="47" t="s">
        <v>646</v>
      </c>
      <c r="B914" s="1018" t="s">
        <v>719</v>
      </c>
      <c r="C914" s="1019"/>
      <c r="D914" s="1020"/>
      <c r="E914" s="383">
        <f>+P849</f>
        <v>11.775</v>
      </c>
      <c r="F914" s="47" t="s">
        <v>35</v>
      </c>
      <c r="G914" s="222">
        <f>3*62</f>
        <v>186</v>
      </c>
      <c r="H914" s="351" t="s">
        <v>704</v>
      </c>
      <c r="I914" s="365">
        <f>+R849</f>
        <v>1.1100000000000001</v>
      </c>
      <c r="J914" s="365">
        <f>+S849</f>
        <v>1.0095238095238095</v>
      </c>
      <c r="K914" s="221">
        <f>+E914*G914*I914*J914</f>
        <v>2454.2195142857145</v>
      </c>
      <c r="L914" s="47" t="s">
        <v>699</v>
      </c>
      <c r="N914" s="26"/>
      <c r="O914" s="2"/>
      <c r="P914" s="27"/>
      <c r="Q914" s="26"/>
      <c r="T914" s="28"/>
    </row>
    <row r="915" spans="1:20" ht="30" customHeight="1" x14ac:dyDescent="0.45">
      <c r="A915" s="47" t="s">
        <v>282</v>
      </c>
      <c r="B915" s="1018" t="s">
        <v>656</v>
      </c>
      <c r="C915" s="1019"/>
      <c r="D915" s="1020"/>
      <c r="E915" s="383">
        <f>+P853</f>
        <v>504.5</v>
      </c>
      <c r="F915" s="222" t="s">
        <v>88</v>
      </c>
      <c r="G915" s="222">
        <v>3</v>
      </c>
      <c r="H915" s="351" t="s">
        <v>705</v>
      </c>
      <c r="I915" s="365">
        <f>+R853</f>
        <v>1.32</v>
      </c>
      <c r="J915" s="365">
        <f>+S853</f>
        <v>1.0095238095238095</v>
      </c>
      <c r="K915" s="221">
        <f>+E915*G915*I915*J915</f>
        <v>2016.8468571428573</v>
      </c>
      <c r="L915" s="47" t="s">
        <v>699</v>
      </c>
      <c r="M915" s="25"/>
      <c r="N915" s="26"/>
      <c r="O915" s="2"/>
      <c r="P915" s="27"/>
      <c r="Q915" s="26"/>
      <c r="T915" s="28"/>
    </row>
    <row r="916" spans="1:20" ht="30" customHeight="1" x14ac:dyDescent="0.45">
      <c r="A916" s="47" t="s">
        <v>282</v>
      </c>
      <c r="B916" s="1018" t="s">
        <v>658</v>
      </c>
      <c r="C916" s="1019"/>
      <c r="D916" s="1020"/>
      <c r="E916" s="383">
        <f>+P855</f>
        <v>362.5</v>
      </c>
      <c r="F916" s="222" t="s">
        <v>88</v>
      </c>
      <c r="G916" s="222">
        <v>3</v>
      </c>
      <c r="H916" s="351" t="s">
        <v>705</v>
      </c>
      <c r="I916" s="365">
        <f>+R855</f>
        <v>1.32</v>
      </c>
      <c r="J916" s="365">
        <f>+S855</f>
        <v>1.0095238095238095</v>
      </c>
      <c r="K916" s="221">
        <f>+E916*G916*I916*J916</f>
        <v>1449.1714285714286</v>
      </c>
      <c r="L916" s="47" t="s">
        <v>699</v>
      </c>
      <c r="M916" s="25"/>
      <c r="N916" s="26"/>
      <c r="O916" s="2"/>
      <c r="P916" s="27"/>
      <c r="Q916" s="26"/>
      <c r="T916" s="28"/>
    </row>
    <row r="917" spans="1:20" ht="30" customHeight="1" x14ac:dyDescent="0.45">
      <c r="A917" s="47" t="s">
        <v>662</v>
      </c>
      <c r="B917" s="1018" t="s">
        <v>663</v>
      </c>
      <c r="C917" s="1019"/>
      <c r="D917" s="1020"/>
      <c r="E917" s="383">
        <f>+P857</f>
        <v>157.58000000000001</v>
      </c>
      <c r="F917" s="222" t="s">
        <v>88</v>
      </c>
      <c r="G917" s="222">
        <v>12</v>
      </c>
      <c r="H917" s="351" t="s">
        <v>705</v>
      </c>
      <c r="I917" s="365">
        <f>+R857</f>
        <v>1.32</v>
      </c>
      <c r="J917" s="365">
        <f>+S857</f>
        <v>1.0095238095238095</v>
      </c>
      <c r="K917" s="221">
        <f>+E917*G917*I917*J917</f>
        <v>2519.8392685714284</v>
      </c>
      <c r="L917" s="47" t="s">
        <v>699</v>
      </c>
      <c r="M917" s="25"/>
      <c r="N917" s="26"/>
      <c r="O917" s="2"/>
      <c r="P917" s="27"/>
      <c r="Q917" s="26"/>
      <c r="T917" s="28"/>
    </row>
    <row r="918" spans="1:20" ht="30" customHeight="1" x14ac:dyDescent="0.45">
      <c r="A918" s="47" t="s">
        <v>665</v>
      </c>
      <c r="B918" s="1018" t="s">
        <v>706</v>
      </c>
      <c r="C918" s="1019"/>
      <c r="D918" s="1020"/>
      <c r="E918" s="383">
        <f>+P858</f>
        <v>19.62</v>
      </c>
      <c r="F918" s="222" t="s">
        <v>113</v>
      </c>
      <c r="G918" s="424">
        <v>2653</v>
      </c>
      <c r="H918" s="351" t="s">
        <v>707</v>
      </c>
      <c r="I918" s="365">
        <f>+R858</f>
        <v>1.32</v>
      </c>
      <c r="J918" s="365">
        <f>+S858</f>
        <v>1.0095238095238095</v>
      </c>
      <c r="K918" s="221">
        <f>+E918*G918*I918*J918</f>
        <v>69362.821440000014</v>
      </c>
      <c r="L918" s="47" t="s">
        <v>699</v>
      </c>
      <c r="M918" s="25"/>
      <c r="N918" s="26"/>
      <c r="O918" s="2"/>
      <c r="P918" s="27"/>
      <c r="Q918" s="26"/>
      <c r="T918" s="28"/>
    </row>
    <row r="919" spans="1:20" ht="30" customHeight="1" x14ac:dyDescent="0.45">
      <c r="A919" s="47" t="s">
        <v>644</v>
      </c>
      <c r="B919" s="1018" t="s">
        <v>674</v>
      </c>
      <c r="C919" s="1019"/>
      <c r="D919" s="1020"/>
      <c r="E919" s="383">
        <f>+P862</f>
        <v>558</v>
      </c>
      <c r="F919" s="222" t="s">
        <v>88</v>
      </c>
      <c r="G919" s="222"/>
      <c r="H919" s="351"/>
      <c r="I919" s="365">
        <f>+R848</f>
        <v>1.1200000000000001</v>
      </c>
      <c r="J919" s="365">
        <f>+S848</f>
        <v>1.0095238095238095</v>
      </c>
      <c r="K919" s="221">
        <f>+E919*J919*I919</f>
        <v>630.91200000000003</v>
      </c>
      <c r="L919" s="47" t="s">
        <v>699</v>
      </c>
      <c r="M919" s="25"/>
      <c r="N919" s="26"/>
      <c r="O919" s="2"/>
      <c r="P919" s="27"/>
      <c r="Q919" s="26"/>
      <c r="T919" s="28"/>
    </row>
    <row r="920" spans="1:20" ht="30" customHeight="1" x14ac:dyDescent="0.45">
      <c r="A920" s="47">
        <v>93410</v>
      </c>
      <c r="B920" s="1018" t="s">
        <v>720</v>
      </c>
      <c r="C920" s="1019"/>
      <c r="D920" s="1020"/>
      <c r="E920" s="383">
        <f>+P867</f>
        <v>11.04</v>
      </c>
      <c r="F920" s="222" t="s">
        <v>29</v>
      </c>
      <c r="G920" s="354">
        <v>277.9375</v>
      </c>
      <c r="H920" s="351" t="s">
        <v>710</v>
      </c>
      <c r="I920" s="458">
        <f>+R867</f>
        <v>0.93771935922451721</v>
      </c>
      <c r="J920" s="47"/>
      <c r="K920" s="221">
        <f>+E920*G920*I920</f>
        <v>2877.326213425285</v>
      </c>
      <c r="L920" s="47" t="s">
        <v>699</v>
      </c>
      <c r="M920" s="25"/>
      <c r="N920" s="26"/>
      <c r="O920" s="2"/>
      <c r="P920" s="27"/>
      <c r="Q920" s="26"/>
      <c r="T920" s="28"/>
    </row>
    <row r="921" spans="1:20" ht="30" customHeight="1" x14ac:dyDescent="0.45">
      <c r="A921" s="47">
        <v>93210</v>
      </c>
      <c r="B921" s="1018" t="s">
        <v>721</v>
      </c>
      <c r="C921" s="1019"/>
      <c r="D921" s="1020"/>
      <c r="E921" s="383">
        <f>+P869</f>
        <v>89.16</v>
      </c>
      <c r="F921" s="222" t="s">
        <v>29</v>
      </c>
      <c r="G921" s="354">
        <v>32.625</v>
      </c>
      <c r="H921" s="351" t="s">
        <v>710</v>
      </c>
      <c r="I921" s="458">
        <f>+R869</f>
        <v>0.93771935922451721</v>
      </c>
      <c r="J921" s="47"/>
      <c r="K921" s="221">
        <f>+E921*G921*I921</f>
        <v>2727.6802694834405</v>
      </c>
      <c r="L921" s="47" t="s">
        <v>699</v>
      </c>
      <c r="M921" s="25"/>
      <c r="N921" s="26"/>
      <c r="O921" s="2"/>
      <c r="P921" s="27"/>
      <c r="Q921" s="26"/>
      <c r="T921" s="28"/>
    </row>
    <row r="922" spans="1:20" ht="30" customHeight="1" x14ac:dyDescent="0.45">
      <c r="A922" s="977" t="s">
        <v>712</v>
      </c>
      <c r="B922" s="978"/>
      <c r="C922" s="978"/>
      <c r="D922" s="979"/>
      <c r="E922" s="221"/>
      <c r="F922" s="47"/>
      <c r="G922" s="58"/>
      <c r="H922" s="179"/>
      <c r="I922" s="47"/>
      <c r="J922" s="47" t="s">
        <v>360</v>
      </c>
      <c r="K922" s="221">
        <f>SUM(K914:K921)</f>
        <v>84038.816991480155</v>
      </c>
      <c r="L922" s="47" t="s">
        <v>699</v>
      </c>
      <c r="M922" s="25"/>
      <c r="N922" s="26"/>
      <c r="O922" s="2"/>
      <c r="P922" s="27"/>
      <c r="Q922" s="26"/>
      <c r="T922" s="28"/>
    </row>
    <row r="923" spans="1:20" ht="30" customHeight="1" thickBot="1" x14ac:dyDescent="0.5">
      <c r="A923" s="1352"/>
      <c r="B923" s="1353"/>
      <c r="C923" s="1353"/>
      <c r="D923" s="1354"/>
      <c r="E923" s="58"/>
      <c r="F923" s="58"/>
      <c r="G923" s="1032" t="s">
        <v>288</v>
      </c>
      <c r="H923" s="1033"/>
      <c r="I923" s="1034"/>
      <c r="J923" s="213">
        <f>VLOOKUP(B912,'[1]Mil Cost Premiums for PUCs'!$A$4:$R$278,18,FALSE)</f>
        <v>1.0485669999999998</v>
      </c>
      <c r="K923" s="216">
        <f>+K922*J923</f>
        <v>88120.330216305359</v>
      </c>
      <c r="L923" s="47" t="s">
        <v>699</v>
      </c>
      <c r="N923" s="26"/>
      <c r="O923" s="2"/>
      <c r="P923" s="27"/>
      <c r="Q923" s="26"/>
      <c r="T923" s="28"/>
    </row>
    <row r="924" spans="1:20" ht="30" customHeight="1" thickBot="1" x14ac:dyDescent="0.5">
      <c r="A924" s="999"/>
      <c r="B924" s="1000"/>
      <c r="C924" s="1000"/>
      <c r="D924" s="1000"/>
      <c r="E924" s="1000"/>
      <c r="F924" s="1000"/>
      <c r="G924" s="1000"/>
      <c r="H924" s="1000"/>
      <c r="I924" s="1000"/>
      <c r="J924" s="1000"/>
      <c r="K924" s="1000"/>
      <c r="L924" s="1001"/>
      <c r="M924" s="25"/>
      <c r="N924" s="26"/>
      <c r="O924" s="2"/>
      <c r="P924" s="27"/>
      <c r="Q924" s="26"/>
      <c r="T924" s="28"/>
    </row>
    <row r="925" spans="1:20" ht="30" customHeight="1" x14ac:dyDescent="0.45">
      <c r="A925" s="9" t="s">
        <v>4</v>
      </c>
      <c r="B925" s="10">
        <v>1753</v>
      </c>
      <c r="C925" s="983" t="s">
        <v>722</v>
      </c>
      <c r="D925" s="984"/>
      <c r="E925" s="13" t="s">
        <v>7</v>
      </c>
      <c r="F925" s="14" t="s">
        <v>699</v>
      </c>
      <c r="G925" s="15" t="s">
        <v>723</v>
      </c>
      <c r="H925" s="370">
        <v>16</v>
      </c>
      <c r="I925" s="13" t="s">
        <v>9</v>
      </c>
      <c r="J925" s="1355" t="s">
        <v>701</v>
      </c>
      <c r="K925" s="1355"/>
      <c r="L925" s="1356"/>
      <c r="M925" s="25"/>
      <c r="N925" s="26"/>
      <c r="O925" s="2"/>
      <c r="P925" s="27"/>
      <c r="Q925" s="26"/>
      <c r="T925" s="28"/>
    </row>
    <row r="926" spans="1:20" ht="30" customHeight="1" x14ac:dyDescent="0.45">
      <c r="A926" s="19" t="s">
        <v>702</v>
      </c>
      <c r="B926" s="987" t="s">
        <v>293</v>
      </c>
      <c r="C926" s="988"/>
      <c r="D926" s="989"/>
      <c r="E926" s="220" t="s">
        <v>13</v>
      </c>
      <c r="F926" s="220" t="s">
        <v>14</v>
      </c>
      <c r="G926" s="990" t="s">
        <v>15</v>
      </c>
      <c r="H926" s="991"/>
      <c r="I926" s="19" t="s">
        <v>278</v>
      </c>
      <c r="J926" s="277" t="s">
        <v>285</v>
      </c>
      <c r="K926" s="992" t="s">
        <v>17</v>
      </c>
      <c r="L926" s="993"/>
      <c r="M926" s="25"/>
      <c r="N926" s="26"/>
      <c r="O926" s="2"/>
      <c r="P926" s="27"/>
      <c r="Q926" s="26"/>
      <c r="T926" s="28"/>
    </row>
    <row r="927" spans="1:20" ht="30" customHeight="1" x14ac:dyDescent="0.45">
      <c r="A927" s="47" t="s">
        <v>646</v>
      </c>
      <c r="B927" s="1018" t="s">
        <v>724</v>
      </c>
      <c r="C927" s="1019"/>
      <c r="D927" s="1020"/>
      <c r="E927" s="383">
        <f>+P849</f>
        <v>11.775</v>
      </c>
      <c r="F927" s="47" t="s">
        <v>35</v>
      </c>
      <c r="G927" s="222">
        <f>7*62</f>
        <v>434</v>
      </c>
      <c r="H927" s="351" t="s">
        <v>704</v>
      </c>
      <c r="I927" s="365">
        <f>+R849</f>
        <v>1.1100000000000001</v>
      </c>
      <c r="J927" s="365">
        <f>+S849</f>
        <v>1.0095238095238095</v>
      </c>
      <c r="K927" s="221">
        <f>+E927*G927*I927*J927</f>
        <v>5726.512200000001</v>
      </c>
      <c r="L927" s="47" t="s">
        <v>699</v>
      </c>
      <c r="M927" s="25"/>
      <c r="N927" s="26"/>
      <c r="O927" s="2"/>
      <c r="P927" s="27"/>
      <c r="Q927" s="26"/>
      <c r="T927" s="28"/>
    </row>
    <row r="928" spans="1:20" ht="30" customHeight="1" x14ac:dyDescent="0.45">
      <c r="A928" s="47" t="s">
        <v>282</v>
      </c>
      <c r="B928" s="1018" t="s">
        <v>656</v>
      </c>
      <c r="C928" s="1019"/>
      <c r="D928" s="1020"/>
      <c r="E928" s="383">
        <f>+P853</f>
        <v>504.5</v>
      </c>
      <c r="F928" s="222" t="s">
        <v>88</v>
      </c>
      <c r="G928" s="222">
        <v>7</v>
      </c>
      <c r="H928" s="351" t="s">
        <v>705</v>
      </c>
      <c r="I928" s="365">
        <f>+R853</f>
        <v>1.32</v>
      </c>
      <c r="J928" s="365">
        <f>+S853</f>
        <v>1.0095238095238095</v>
      </c>
      <c r="K928" s="221">
        <f>+E928*G928*I928*J928</f>
        <v>4705.9759999999997</v>
      </c>
      <c r="L928" s="47" t="s">
        <v>699</v>
      </c>
      <c r="M928" s="25"/>
      <c r="N928" s="26"/>
      <c r="O928" s="2"/>
      <c r="P928" s="27"/>
      <c r="Q928" s="26"/>
      <c r="T928" s="28"/>
    </row>
    <row r="929" spans="1:20" ht="30" customHeight="1" x14ac:dyDescent="0.45">
      <c r="A929" s="47" t="s">
        <v>282</v>
      </c>
      <c r="B929" s="1018" t="s">
        <v>658</v>
      </c>
      <c r="C929" s="1019"/>
      <c r="D929" s="1020"/>
      <c r="E929" s="383">
        <f>+P855</f>
        <v>362.5</v>
      </c>
      <c r="F929" s="222" t="s">
        <v>88</v>
      </c>
      <c r="G929" s="222">
        <v>7</v>
      </c>
      <c r="H929" s="351" t="s">
        <v>705</v>
      </c>
      <c r="I929" s="365">
        <f>+R855</f>
        <v>1.32</v>
      </c>
      <c r="J929" s="365">
        <f>+S855</f>
        <v>1.0095238095238095</v>
      </c>
      <c r="K929" s="221">
        <f>+E929*G929*I929*J929</f>
        <v>3381.4</v>
      </c>
      <c r="L929" s="47" t="s">
        <v>699</v>
      </c>
      <c r="M929" s="25"/>
      <c r="N929" s="26"/>
      <c r="O929" s="2"/>
      <c r="P929" s="27"/>
      <c r="Q929" s="26"/>
      <c r="T929" s="28"/>
    </row>
    <row r="930" spans="1:20" ht="30" customHeight="1" x14ac:dyDescent="0.45">
      <c r="A930" s="47" t="s">
        <v>662</v>
      </c>
      <c r="B930" s="1018" t="s">
        <v>663</v>
      </c>
      <c r="C930" s="1019"/>
      <c r="D930" s="1020"/>
      <c r="E930" s="383">
        <f>+P857</f>
        <v>157.58000000000001</v>
      </c>
      <c r="F930" s="222" t="s">
        <v>88</v>
      </c>
      <c r="G930" s="222">
        <v>28</v>
      </c>
      <c r="H930" s="351" t="s">
        <v>705</v>
      </c>
      <c r="I930" s="365">
        <f>+R857</f>
        <v>1.32</v>
      </c>
      <c r="J930" s="365">
        <f>+S857</f>
        <v>1.0095238095238095</v>
      </c>
      <c r="K930" s="221">
        <f>+E930*G930*I930*J930</f>
        <v>5879.624960000001</v>
      </c>
      <c r="L930" s="47" t="s">
        <v>699</v>
      </c>
      <c r="M930" s="25"/>
      <c r="N930" s="26"/>
      <c r="O930" s="2"/>
      <c r="P930" s="27"/>
      <c r="Q930" s="26"/>
      <c r="T930" s="28"/>
    </row>
    <row r="931" spans="1:20" ht="30" customHeight="1" x14ac:dyDescent="0.45">
      <c r="A931" s="47" t="s">
        <v>665</v>
      </c>
      <c r="B931" s="1018" t="s">
        <v>725</v>
      </c>
      <c r="C931" s="1019"/>
      <c r="D931" s="1020"/>
      <c r="E931" s="383">
        <f>+P858</f>
        <v>19.62</v>
      </c>
      <c r="F931" s="222" t="s">
        <v>113</v>
      </c>
      <c r="G931" s="424">
        <f>574*7</f>
        <v>4018</v>
      </c>
      <c r="H931" s="351" t="s">
        <v>707</v>
      </c>
      <c r="I931" s="365">
        <f>+R858</f>
        <v>1.32</v>
      </c>
      <c r="J931" s="365">
        <f>+S858</f>
        <v>1.0095238095238095</v>
      </c>
      <c r="K931" s="221">
        <f>+E931*G931*I931*J931</f>
        <v>105050.81664</v>
      </c>
      <c r="L931" s="47" t="s">
        <v>699</v>
      </c>
      <c r="M931" s="25"/>
      <c r="N931" s="26"/>
      <c r="O931" s="2"/>
      <c r="P931" s="27"/>
      <c r="Q931" s="26"/>
      <c r="T931" s="28"/>
    </row>
    <row r="932" spans="1:20" ht="30" customHeight="1" x14ac:dyDescent="0.45">
      <c r="A932" s="47" t="s">
        <v>644</v>
      </c>
      <c r="B932" s="1018" t="s">
        <v>674</v>
      </c>
      <c r="C932" s="1019"/>
      <c r="D932" s="1020"/>
      <c r="E932" s="383">
        <f>+P862</f>
        <v>558</v>
      </c>
      <c r="F932" s="222" t="s">
        <v>88</v>
      </c>
      <c r="G932" s="424"/>
      <c r="H932" s="351"/>
      <c r="I932" s="365">
        <f>+R848</f>
        <v>1.1200000000000001</v>
      </c>
      <c r="J932" s="365">
        <f>+S848</f>
        <v>1.0095238095238095</v>
      </c>
      <c r="K932" s="221">
        <f>+E932*J932*I932</f>
        <v>630.91200000000003</v>
      </c>
      <c r="L932" s="47" t="s">
        <v>699</v>
      </c>
      <c r="M932" s="25"/>
      <c r="N932" s="26"/>
      <c r="O932" s="2"/>
      <c r="P932" s="27"/>
      <c r="Q932" s="26"/>
      <c r="T932" s="28"/>
    </row>
    <row r="933" spans="1:20" ht="30" customHeight="1" x14ac:dyDescent="0.45">
      <c r="A933" s="47">
        <v>93410</v>
      </c>
      <c r="B933" s="1018" t="s">
        <v>726</v>
      </c>
      <c r="C933" s="1019"/>
      <c r="D933" s="1020"/>
      <c r="E933" s="383">
        <f>+P867</f>
        <v>11.04</v>
      </c>
      <c r="F933" s="222" t="s">
        <v>29</v>
      </c>
      <c r="G933" s="354">
        <v>277.9375</v>
      </c>
      <c r="H933" s="351" t="s">
        <v>710</v>
      </c>
      <c r="I933" s="458">
        <f>+R867</f>
        <v>0.93771935922451721</v>
      </c>
      <c r="J933" s="47"/>
      <c r="K933" s="221">
        <f>+E933*G933*I933</f>
        <v>2877.326213425285</v>
      </c>
      <c r="L933" s="47" t="s">
        <v>699</v>
      </c>
      <c r="M933" s="25"/>
      <c r="N933" s="26"/>
      <c r="O933" s="2"/>
      <c r="P933" s="27"/>
      <c r="Q933" s="26"/>
      <c r="T933" s="28"/>
    </row>
    <row r="934" spans="1:20" ht="30" customHeight="1" x14ac:dyDescent="0.45">
      <c r="A934" s="47">
        <v>93210</v>
      </c>
      <c r="B934" s="1018" t="s">
        <v>727</v>
      </c>
      <c r="C934" s="1019"/>
      <c r="D934" s="1020"/>
      <c r="E934" s="383">
        <f>+P869</f>
        <v>89.16</v>
      </c>
      <c r="F934" s="222" t="s">
        <v>29</v>
      </c>
      <c r="G934" s="354">
        <v>27.8125</v>
      </c>
      <c r="H934" s="351" t="s">
        <v>710</v>
      </c>
      <c r="I934" s="458">
        <f>+R869</f>
        <v>0.93771935922451721</v>
      </c>
      <c r="J934" s="47"/>
      <c r="K934" s="221">
        <f>+E934*G934*I934</f>
        <v>2325.3213025289865</v>
      </c>
      <c r="L934" s="47" t="s">
        <v>699</v>
      </c>
      <c r="M934" s="25"/>
      <c r="N934" s="26"/>
      <c r="O934" s="2"/>
      <c r="P934" s="27"/>
      <c r="Q934" s="26"/>
      <c r="T934" s="28"/>
    </row>
    <row r="935" spans="1:20" ht="30" customHeight="1" x14ac:dyDescent="0.45">
      <c r="A935" s="977" t="s">
        <v>712</v>
      </c>
      <c r="B935" s="978"/>
      <c r="C935" s="978"/>
      <c r="D935" s="979"/>
      <c r="E935" s="221"/>
      <c r="F935" s="47"/>
      <c r="G935" s="58"/>
      <c r="H935" s="179"/>
      <c r="I935" s="47"/>
      <c r="J935" s="47" t="s">
        <v>360</v>
      </c>
      <c r="K935" s="221">
        <f>SUM(K927:K934)</f>
        <v>130577.88931595428</v>
      </c>
      <c r="L935" s="47" t="s">
        <v>699</v>
      </c>
      <c r="M935" s="25"/>
      <c r="N935" s="26"/>
      <c r="O935" s="2"/>
      <c r="P935" s="27"/>
      <c r="Q935" s="26"/>
      <c r="T935" s="28"/>
    </row>
    <row r="936" spans="1:20" ht="30" customHeight="1" thickBot="1" x14ac:dyDescent="0.5">
      <c r="A936" s="1352"/>
      <c r="B936" s="1353"/>
      <c r="C936" s="1353"/>
      <c r="D936" s="1354"/>
      <c r="E936" s="58"/>
      <c r="F936" s="58"/>
      <c r="G936" s="1032" t="s">
        <v>288</v>
      </c>
      <c r="H936" s="1033"/>
      <c r="I936" s="1034"/>
      <c r="J936" s="213">
        <f>VLOOKUP(B925,'[1]Mil Cost Premiums for PUCs'!$A$4:$R$278,18,FALSE)</f>
        <v>1.0485669999999998</v>
      </c>
      <c r="K936" s="216">
        <f>+K935*J936</f>
        <v>136919.66566636221</v>
      </c>
      <c r="L936" s="47" t="s">
        <v>699</v>
      </c>
      <c r="M936" s="25"/>
      <c r="N936" s="26"/>
      <c r="O936" s="2"/>
      <c r="P936" s="27"/>
      <c r="Q936" s="26"/>
      <c r="T936" s="28"/>
    </row>
    <row r="937" spans="1:20" ht="30" customHeight="1" thickBot="1" x14ac:dyDescent="0.5">
      <c r="A937" s="999"/>
      <c r="B937" s="1000"/>
      <c r="C937" s="1000"/>
      <c r="D937" s="1000"/>
      <c r="E937" s="1000"/>
      <c r="F937" s="1000"/>
      <c r="G937" s="1000"/>
      <c r="H937" s="1000"/>
      <c r="I937" s="1000"/>
      <c r="J937" s="1000"/>
      <c r="K937" s="1000"/>
      <c r="L937" s="1001"/>
      <c r="M937" s="25"/>
      <c r="N937" s="26"/>
      <c r="O937" s="2"/>
      <c r="P937" s="27"/>
      <c r="Q937" s="26"/>
      <c r="T937" s="28"/>
    </row>
    <row r="938" spans="1:20" ht="30" customHeight="1" x14ac:dyDescent="0.45">
      <c r="A938" s="93" t="s">
        <v>4</v>
      </c>
      <c r="B938" s="76">
        <v>1754</v>
      </c>
      <c r="C938" s="1073" t="s">
        <v>728</v>
      </c>
      <c r="D938" s="1074"/>
      <c r="E938" s="94" t="s">
        <v>7</v>
      </c>
      <c r="F938" s="95" t="s">
        <v>699</v>
      </c>
      <c r="G938" s="15" t="s">
        <v>700</v>
      </c>
      <c r="H938" s="461">
        <v>32</v>
      </c>
      <c r="I938" s="94" t="s">
        <v>9</v>
      </c>
      <c r="J938" s="1355" t="s">
        <v>701</v>
      </c>
      <c r="K938" s="1355"/>
      <c r="L938" s="1356"/>
      <c r="M938" s="37"/>
      <c r="N938" s="26"/>
      <c r="O938" s="2"/>
      <c r="P938" s="27"/>
      <c r="Q938" s="26"/>
      <c r="T938" s="28"/>
    </row>
    <row r="939" spans="1:20" ht="30" customHeight="1" x14ac:dyDescent="0.45">
      <c r="A939" s="19" t="s">
        <v>702</v>
      </c>
      <c r="B939" s="987" t="s">
        <v>293</v>
      </c>
      <c r="C939" s="988"/>
      <c r="D939" s="989"/>
      <c r="E939" s="220" t="s">
        <v>13</v>
      </c>
      <c r="F939" s="220" t="s">
        <v>14</v>
      </c>
      <c r="G939" s="990" t="s">
        <v>15</v>
      </c>
      <c r="H939" s="991"/>
      <c r="I939" s="19" t="s">
        <v>278</v>
      </c>
      <c r="J939" s="277" t="s">
        <v>285</v>
      </c>
      <c r="K939" s="992" t="s">
        <v>17</v>
      </c>
      <c r="L939" s="993"/>
      <c r="N939" s="26"/>
      <c r="O939" s="2"/>
      <c r="P939" s="27"/>
      <c r="Q939" s="26"/>
      <c r="T939" s="28"/>
    </row>
    <row r="940" spans="1:20" ht="30" customHeight="1" x14ac:dyDescent="0.45">
      <c r="A940" s="47" t="s">
        <v>646</v>
      </c>
      <c r="B940" s="1018" t="s">
        <v>729</v>
      </c>
      <c r="C940" s="1019"/>
      <c r="D940" s="1020"/>
      <c r="E940" s="383">
        <f>+P849</f>
        <v>11.775</v>
      </c>
      <c r="F940" s="47" t="s">
        <v>35</v>
      </c>
      <c r="G940" s="222">
        <f>2*62</f>
        <v>124</v>
      </c>
      <c r="H940" s="351" t="s">
        <v>704</v>
      </c>
      <c r="I940" s="365">
        <f>+R849</f>
        <v>1.1100000000000001</v>
      </c>
      <c r="J940" s="365">
        <f>+S849</f>
        <v>1.0095238095238095</v>
      </c>
      <c r="K940" s="221">
        <f>+E940*G940*I940*J940</f>
        <v>1636.1463428571431</v>
      </c>
      <c r="L940" s="47" t="s">
        <v>699</v>
      </c>
      <c r="M940" s="25"/>
      <c r="N940" s="26"/>
      <c r="O940" s="2"/>
      <c r="P940" s="27"/>
      <c r="Q940" s="26"/>
      <c r="T940" s="28"/>
    </row>
    <row r="941" spans="1:20" ht="30" customHeight="1" x14ac:dyDescent="0.45">
      <c r="A941" s="47" t="s">
        <v>282</v>
      </c>
      <c r="B941" s="1018" t="s">
        <v>658</v>
      </c>
      <c r="C941" s="1019"/>
      <c r="D941" s="1020"/>
      <c r="E941" s="383">
        <f>+P855</f>
        <v>362.5</v>
      </c>
      <c r="F941" s="222" t="s">
        <v>88</v>
      </c>
      <c r="G941" s="222">
        <v>2</v>
      </c>
      <c r="H941" s="351" t="s">
        <v>705</v>
      </c>
      <c r="I941" s="365">
        <f>+R855</f>
        <v>1.32</v>
      </c>
      <c r="J941" s="365">
        <f>+S855</f>
        <v>1.0095238095238095</v>
      </c>
      <c r="K941" s="221">
        <f>+E941*G941*I941*J941</f>
        <v>966.11428571428564</v>
      </c>
      <c r="L941" s="47" t="s">
        <v>699</v>
      </c>
      <c r="M941" s="25"/>
      <c r="N941" s="26"/>
      <c r="O941" s="2"/>
      <c r="P941" s="27"/>
      <c r="Q941" s="26"/>
      <c r="T941" s="28"/>
    </row>
    <row r="942" spans="1:20" ht="30" customHeight="1" x14ac:dyDescent="0.45">
      <c r="A942" s="47" t="s">
        <v>662</v>
      </c>
      <c r="B942" s="1018" t="s">
        <v>663</v>
      </c>
      <c r="C942" s="1019"/>
      <c r="D942" s="1020"/>
      <c r="E942" s="383">
        <f>+P857</f>
        <v>157.58000000000001</v>
      </c>
      <c r="F942" s="222" t="s">
        <v>88</v>
      </c>
      <c r="G942" s="222">
        <v>4</v>
      </c>
      <c r="H942" s="351" t="s">
        <v>705</v>
      </c>
      <c r="I942" s="365">
        <f>+R857</f>
        <v>1.32</v>
      </c>
      <c r="J942" s="365">
        <f>+S857</f>
        <v>1.0095238095238095</v>
      </c>
      <c r="K942" s="221">
        <f>+E942*G942*I942*J942</f>
        <v>839.94642285714292</v>
      </c>
      <c r="L942" s="47" t="s">
        <v>699</v>
      </c>
      <c r="M942" s="25"/>
      <c r="N942" s="26"/>
      <c r="O942" s="2"/>
      <c r="P942" s="27"/>
      <c r="Q942" s="26"/>
      <c r="T942" s="28"/>
    </row>
    <row r="943" spans="1:20" ht="30" customHeight="1" x14ac:dyDescent="0.45">
      <c r="A943" s="47" t="s">
        <v>665</v>
      </c>
      <c r="B943" s="1018" t="s">
        <v>730</v>
      </c>
      <c r="C943" s="1019"/>
      <c r="D943" s="1020"/>
      <c r="E943" s="383">
        <f>+P858</f>
        <v>19.62</v>
      </c>
      <c r="F943" s="222" t="s">
        <v>113</v>
      </c>
      <c r="G943" s="222">
        <v>82</v>
      </c>
      <c r="H943" s="351" t="s">
        <v>707</v>
      </c>
      <c r="I943" s="365">
        <f>+R858</f>
        <v>1.32</v>
      </c>
      <c r="J943" s="365">
        <f>+S858</f>
        <v>1.0095238095238095</v>
      </c>
      <c r="K943" s="221">
        <f>+E943*G943*I943*J943</f>
        <v>2143.8942171428575</v>
      </c>
      <c r="L943" s="47" t="s">
        <v>699</v>
      </c>
      <c r="M943" s="25"/>
      <c r="N943" s="26"/>
      <c r="O943" s="2"/>
      <c r="P943" s="27"/>
      <c r="Q943" s="26"/>
      <c r="T943" s="28"/>
    </row>
    <row r="944" spans="1:20" ht="30" customHeight="1" x14ac:dyDescent="0.45">
      <c r="A944" s="47" t="s">
        <v>644</v>
      </c>
      <c r="B944" s="1018" t="s">
        <v>674</v>
      </c>
      <c r="C944" s="1019"/>
      <c r="D944" s="1020"/>
      <c r="E944" s="383">
        <f>+P862</f>
        <v>558</v>
      </c>
      <c r="F944" s="222" t="s">
        <v>88</v>
      </c>
      <c r="G944" s="222"/>
      <c r="H944" s="351"/>
      <c r="I944" s="365">
        <f>+R848</f>
        <v>1.1200000000000001</v>
      </c>
      <c r="J944" s="365">
        <f>+S848</f>
        <v>1.0095238095238095</v>
      </c>
      <c r="K944" s="221">
        <f>+E944*J944*I944</f>
        <v>630.91200000000003</v>
      </c>
      <c r="L944" s="47" t="s">
        <v>699</v>
      </c>
      <c r="M944" s="25"/>
      <c r="N944" s="26"/>
      <c r="O944" s="2"/>
      <c r="P944" s="27"/>
      <c r="Q944" s="26"/>
      <c r="T944" s="28"/>
    </row>
    <row r="945" spans="1:20" ht="30" customHeight="1" x14ac:dyDescent="0.45">
      <c r="A945" s="47">
        <v>93410</v>
      </c>
      <c r="B945" s="1018" t="s">
        <v>731</v>
      </c>
      <c r="C945" s="1019"/>
      <c r="D945" s="1020"/>
      <c r="E945" s="383">
        <f>+P867</f>
        <v>11.04</v>
      </c>
      <c r="F945" s="222" t="s">
        <v>29</v>
      </c>
      <c r="G945" s="424">
        <f>4096/32</f>
        <v>128</v>
      </c>
      <c r="H945" s="351" t="s">
        <v>710</v>
      </c>
      <c r="I945" s="458">
        <f>+R867</f>
        <v>0.93771935922451721</v>
      </c>
      <c r="J945" s="47"/>
      <c r="K945" s="221">
        <f>+E945*G945*I945</f>
        <v>1325.1099809073496</v>
      </c>
      <c r="L945" s="47" t="s">
        <v>699</v>
      </c>
      <c r="M945" s="25"/>
      <c r="N945" s="26"/>
      <c r="O945" s="2"/>
      <c r="P945" s="27"/>
      <c r="Q945" s="26"/>
      <c r="T945" s="28"/>
    </row>
    <row r="946" spans="1:20" ht="30" customHeight="1" x14ac:dyDescent="0.45">
      <c r="A946" s="47">
        <v>93210</v>
      </c>
      <c r="B946" s="1018" t="s">
        <v>732</v>
      </c>
      <c r="C946" s="1019"/>
      <c r="D946" s="1020"/>
      <c r="E946" s="383">
        <f>+P869</f>
        <v>89.16</v>
      </c>
      <c r="F946" s="222" t="s">
        <v>29</v>
      </c>
      <c r="G946" s="354">
        <v>12.78125</v>
      </c>
      <c r="H946" s="351" t="s">
        <v>710</v>
      </c>
      <c r="I946" s="458">
        <f>+R869</f>
        <v>0.93771935922451721</v>
      </c>
      <c r="J946" s="47"/>
      <c r="K946" s="221">
        <f>+E946*G946*I946</f>
        <v>1068.6027109374782</v>
      </c>
      <c r="L946" s="47" t="s">
        <v>699</v>
      </c>
      <c r="M946" s="25"/>
      <c r="N946" s="26"/>
      <c r="O946" s="2"/>
      <c r="P946" s="27"/>
      <c r="Q946" s="26"/>
      <c r="T946" s="28"/>
    </row>
    <row r="947" spans="1:20" ht="30" customHeight="1" x14ac:dyDescent="0.45">
      <c r="A947" s="977" t="s">
        <v>712</v>
      </c>
      <c r="B947" s="978"/>
      <c r="C947" s="978"/>
      <c r="D947" s="979"/>
      <c r="E947" s="221"/>
      <c r="F947" s="47"/>
      <c r="G947" s="58"/>
      <c r="H947" s="179"/>
      <c r="I947" s="47"/>
      <c r="J947" s="47" t="s">
        <v>360</v>
      </c>
      <c r="K947" s="221">
        <f>SUM(K940:K946)</f>
        <v>8610.7259604162573</v>
      </c>
      <c r="L947" s="47" t="s">
        <v>699</v>
      </c>
      <c r="M947" s="25"/>
      <c r="N947" s="26"/>
      <c r="O947" s="2"/>
      <c r="P947" s="27"/>
      <c r="Q947" s="26"/>
      <c r="T947" s="28"/>
    </row>
    <row r="948" spans="1:20" ht="30" customHeight="1" thickBot="1" x14ac:dyDescent="0.5">
      <c r="A948" s="1352"/>
      <c r="B948" s="1353"/>
      <c r="C948" s="1353"/>
      <c r="D948" s="1354"/>
      <c r="E948" s="58"/>
      <c r="F948" s="58"/>
      <c r="G948" s="1032" t="s">
        <v>288</v>
      </c>
      <c r="H948" s="1033"/>
      <c r="I948" s="1034"/>
      <c r="J948" s="213">
        <f>VLOOKUP(B938,'[1]Mil Cost Premiums for PUCs'!$A$4:$R$278,18,FALSE)</f>
        <v>1.0485669999999998</v>
      </c>
      <c r="K948" s="216">
        <f>+K947*J948</f>
        <v>9028.9230881357926</v>
      </c>
      <c r="L948" s="47" t="s">
        <v>699</v>
      </c>
      <c r="M948" s="25"/>
      <c r="N948" s="26"/>
      <c r="O948" s="2"/>
      <c r="P948" s="27"/>
      <c r="Q948" s="26"/>
      <c r="T948" s="28"/>
    </row>
    <row r="949" spans="1:20" ht="30" customHeight="1" thickBot="1" x14ac:dyDescent="0.5">
      <c r="A949" s="999"/>
      <c r="B949" s="1000"/>
      <c r="C949" s="1000"/>
      <c r="D949" s="1000"/>
      <c r="E949" s="1000"/>
      <c r="F949" s="1000"/>
      <c r="G949" s="1000"/>
      <c r="H949" s="1000"/>
      <c r="I949" s="1000"/>
      <c r="J949" s="1000"/>
      <c r="K949" s="1000"/>
      <c r="L949" s="1001"/>
      <c r="M949" s="25"/>
      <c r="N949" s="26"/>
      <c r="O949" s="2"/>
      <c r="P949" s="27"/>
      <c r="Q949" s="26"/>
      <c r="T949" s="28"/>
    </row>
    <row r="950" spans="1:20" ht="30" customHeight="1" x14ac:dyDescent="0.45">
      <c r="A950" s="9" t="s">
        <v>4</v>
      </c>
      <c r="B950" s="10">
        <v>1755</v>
      </c>
      <c r="C950" s="983" t="s">
        <v>733</v>
      </c>
      <c r="D950" s="984"/>
      <c r="E950" s="13" t="s">
        <v>7</v>
      </c>
      <c r="F950" s="14" t="s">
        <v>699</v>
      </c>
      <c r="G950" s="15" t="s">
        <v>700</v>
      </c>
      <c r="H950" s="370">
        <v>32</v>
      </c>
      <c r="I950" s="13" t="s">
        <v>9</v>
      </c>
      <c r="J950" s="1355" t="s">
        <v>701</v>
      </c>
      <c r="K950" s="1355"/>
      <c r="L950" s="1356"/>
      <c r="M950" s="25"/>
      <c r="N950" s="26"/>
      <c r="O950" s="2"/>
      <c r="P950" s="27"/>
      <c r="Q950" s="26"/>
      <c r="T950" s="28"/>
    </row>
    <row r="951" spans="1:20" ht="30" customHeight="1" x14ac:dyDescent="0.45">
      <c r="A951" s="19" t="s">
        <v>702</v>
      </c>
      <c r="B951" s="987" t="s">
        <v>293</v>
      </c>
      <c r="C951" s="988"/>
      <c r="D951" s="989"/>
      <c r="E951" s="220" t="s">
        <v>13</v>
      </c>
      <c r="F951" s="220" t="s">
        <v>14</v>
      </c>
      <c r="G951" s="990" t="s">
        <v>15</v>
      </c>
      <c r="H951" s="991"/>
      <c r="I951" s="277" t="s">
        <v>278</v>
      </c>
      <c r="J951" s="277" t="s">
        <v>285</v>
      </c>
      <c r="K951" s="992" t="s">
        <v>17</v>
      </c>
      <c r="L951" s="993"/>
      <c r="N951" s="26"/>
      <c r="O951" s="2"/>
      <c r="P951" s="27"/>
      <c r="Q951" s="26"/>
      <c r="T951" s="28"/>
    </row>
    <row r="952" spans="1:20" ht="30" customHeight="1" x14ac:dyDescent="0.45">
      <c r="A952" s="47" t="s">
        <v>282</v>
      </c>
      <c r="B952" s="1018" t="s">
        <v>658</v>
      </c>
      <c r="C952" s="1019"/>
      <c r="D952" s="1020"/>
      <c r="E952" s="383">
        <f>+P855</f>
        <v>362.5</v>
      </c>
      <c r="F952" s="222" t="s">
        <v>88</v>
      </c>
      <c r="G952" s="222">
        <v>1</v>
      </c>
      <c r="H952" s="351" t="s">
        <v>705</v>
      </c>
      <c r="I952" s="365">
        <f>+R855</f>
        <v>1.32</v>
      </c>
      <c r="J952" s="365">
        <f>+S855</f>
        <v>1.0095238095238095</v>
      </c>
      <c r="K952" s="221">
        <f>+E952*G952*I952*J952</f>
        <v>483.05714285714282</v>
      </c>
      <c r="L952" s="47" t="s">
        <v>699</v>
      </c>
      <c r="M952" s="25"/>
      <c r="N952" s="26"/>
      <c r="O952" s="2"/>
      <c r="P952" s="27"/>
      <c r="Q952" s="26"/>
      <c r="T952" s="28"/>
    </row>
    <row r="953" spans="1:20" ht="30" customHeight="1" x14ac:dyDescent="0.45">
      <c r="A953" s="47" t="s">
        <v>662</v>
      </c>
      <c r="B953" s="1018" t="s">
        <v>663</v>
      </c>
      <c r="C953" s="1019"/>
      <c r="D953" s="1020"/>
      <c r="E953" s="383">
        <f>+P857</f>
        <v>157.58000000000001</v>
      </c>
      <c r="F953" s="222" t="s">
        <v>88</v>
      </c>
      <c r="G953" s="222">
        <v>4</v>
      </c>
      <c r="H953" s="351" t="s">
        <v>705</v>
      </c>
      <c r="I953" s="365">
        <f>+R857</f>
        <v>1.32</v>
      </c>
      <c r="J953" s="365">
        <f>+S857</f>
        <v>1.0095238095238095</v>
      </c>
      <c r="K953" s="221">
        <f>+E953*G953*I953*J953</f>
        <v>839.94642285714292</v>
      </c>
      <c r="L953" s="47" t="s">
        <v>699</v>
      </c>
      <c r="M953" s="25"/>
      <c r="N953" s="26"/>
      <c r="O953" s="2"/>
      <c r="P953" s="27"/>
      <c r="Q953" s="26"/>
      <c r="T953" s="28"/>
    </row>
    <row r="954" spans="1:20" ht="30" customHeight="1" x14ac:dyDescent="0.45">
      <c r="A954" s="47" t="s">
        <v>665</v>
      </c>
      <c r="B954" s="1018" t="s">
        <v>734</v>
      </c>
      <c r="C954" s="1019"/>
      <c r="D954" s="1020"/>
      <c r="E954" s="383">
        <f>+P859</f>
        <v>16.75</v>
      </c>
      <c r="F954" s="222" t="s">
        <v>113</v>
      </c>
      <c r="G954" s="222">
        <v>525</v>
      </c>
      <c r="H954" s="351" t="s">
        <v>707</v>
      </c>
      <c r="I954" s="365">
        <f>+R859</f>
        <v>1.32</v>
      </c>
      <c r="J954" s="365">
        <f>+S859</f>
        <v>1.0095238095238095</v>
      </c>
      <c r="K954" s="221">
        <f>+E954*G954*I954*J954</f>
        <v>11718.3</v>
      </c>
      <c r="L954" s="47" t="s">
        <v>699</v>
      </c>
      <c r="M954" s="25"/>
      <c r="N954" s="26"/>
      <c r="O954" s="2"/>
      <c r="P954" s="27"/>
      <c r="Q954" s="26"/>
      <c r="T954" s="28"/>
    </row>
    <row r="955" spans="1:20" ht="30" customHeight="1" x14ac:dyDescent="0.45">
      <c r="A955" s="47">
        <v>93410</v>
      </c>
      <c r="B955" s="1018" t="s">
        <v>735</v>
      </c>
      <c r="C955" s="1019"/>
      <c r="D955" s="1020"/>
      <c r="E955" s="383">
        <f>+P867</f>
        <v>11.04</v>
      </c>
      <c r="F955" s="222" t="s">
        <v>29</v>
      </c>
      <c r="G955" s="354">
        <v>277.9375</v>
      </c>
      <c r="H955" s="351" t="s">
        <v>710</v>
      </c>
      <c r="I955" s="458">
        <f>+R867</f>
        <v>0.93771935922451721</v>
      </c>
      <c r="J955" s="47"/>
      <c r="K955" s="221">
        <f>+E955*G955*I955</f>
        <v>2877.326213425285</v>
      </c>
      <c r="L955" s="47" t="s">
        <v>699</v>
      </c>
      <c r="M955" s="25"/>
      <c r="N955" s="26"/>
      <c r="O955" s="2"/>
      <c r="P955" s="27"/>
      <c r="Q955" s="26"/>
      <c r="T955" s="28"/>
    </row>
    <row r="956" spans="1:20" ht="30" customHeight="1" x14ac:dyDescent="0.45">
      <c r="A956" s="977" t="s">
        <v>712</v>
      </c>
      <c r="B956" s="978"/>
      <c r="C956" s="978"/>
      <c r="D956" s="979"/>
      <c r="E956" s="221"/>
      <c r="F956" s="47"/>
      <c r="G956" s="58"/>
      <c r="H956" s="179"/>
      <c r="I956" s="47"/>
      <c r="J956" s="47" t="s">
        <v>360</v>
      </c>
      <c r="K956" s="221">
        <f>SUM(K952:K955)</f>
        <v>15918.62977913957</v>
      </c>
      <c r="L956" s="47" t="s">
        <v>699</v>
      </c>
      <c r="M956" s="25"/>
      <c r="N956" s="26"/>
      <c r="O956" s="2"/>
      <c r="P956" s="27"/>
      <c r="Q956" s="26"/>
      <c r="T956" s="28"/>
    </row>
    <row r="957" spans="1:20" ht="30" customHeight="1" thickBot="1" x14ac:dyDescent="0.5">
      <c r="A957" s="1352"/>
      <c r="B957" s="1353"/>
      <c r="C957" s="1353"/>
      <c r="D957" s="1354"/>
      <c r="E957" s="58"/>
      <c r="F957" s="58"/>
      <c r="G957" s="1032" t="s">
        <v>288</v>
      </c>
      <c r="H957" s="1033"/>
      <c r="I957" s="1034"/>
      <c r="J957" s="213">
        <f>VLOOKUP(B950,'[1]Mil Cost Premiums for PUCs'!$A$4:$R$278,18,FALSE)</f>
        <v>1.0485669999999998</v>
      </c>
      <c r="K957" s="216">
        <f>+K956*J957</f>
        <v>16691.749871623037</v>
      </c>
      <c r="L957" s="47" t="s">
        <v>699</v>
      </c>
      <c r="M957" s="25"/>
      <c r="N957" s="26"/>
      <c r="O957" s="2"/>
      <c r="P957" s="27"/>
      <c r="Q957" s="26"/>
      <c r="T957" s="28"/>
    </row>
    <row r="958" spans="1:20" ht="30" customHeight="1" thickBot="1" x14ac:dyDescent="0.5">
      <c r="A958" s="999"/>
      <c r="B958" s="1000"/>
      <c r="C958" s="1000"/>
      <c r="D958" s="1000"/>
      <c r="E958" s="1000"/>
      <c r="F958" s="1000"/>
      <c r="G958" s="1000"/>
      <c r="H958" s="1000"/>
      <c r="I958" s="1000"/>
      <c r="J958" s="1000"/>
      <c r="K958" s="1000"/>
      <c r="L958" s="1001"/>
      <c r="M958" s="25"/>
      <c r="N958" s="26"/>
      <c r="O958" s="2"/>
      <c r="P958" s="27"/>
      <c r="Q958" s="26"/>
      <c r="T958" s="28"/>
    </row>
    <row r="959" spans="1:20" ht="30" customHeight="1" x14ac:dyDescent="0.45">
      <c r="A959" s="9" t="s">
        <v>4</v>
      </c>
      <c r="B959" s="10">
        <v>1756</v>
      </c>
      <c r="C959" s="983" t="s">
        <v>736</v>
      </c>
      <c r="D959" s="984"/>
      <c r="E959" s="13" t="s">
        <v>7</v>
      </c>
      <c r="F959" s="14" t="s">
        <v>699</v>
      </c>
      <c r="G959" s="15" t="s">
        <v>737</v>
      </c>
      <c r="H959" s="370">
        <v>4</v>
      </c>
      <c r="I959" s="13" t="s">
        <v>9</v>
      </c>
      <c r="J959" s="1355" t="s">
        <v>701</v>
      </c>
      <c r="K959" s="1355"/>
      <c r="L959" s="1356"/>
      <c r="M959" s="25"/>
      <c r="N959" s="26"/>
      <c r="O959" s="2"/>
      <c r="P959" s="27"/>
      <c r="Q959" s="26"/>
      <c r="T959" s="28"/>
    </row>
    <row r="960" spans="1:20" ht="30" customHeight="1" x14ac:dyDescent="0.45">
      <c r="A960" s="19" t="s">
        <v>702</v>
      </c>
      <c r="B960" s="987" t="s">
        <v>293</v>
      </c>
      <c r="C960" s="988"/>
      <c r="D960" s="989"/>
      <c r="E960" s="220" t="s">
        <v>13</v>
      </c>
      <c r="F960" s="220" t="s">
        <v>14</v>
      </c>
      <c r="G960" s="990" t="s">
        <v>15</v>
      </c>
      <c r="H960" s="991"/>
      <c r="I960" s="19" t="s">
        <v>278</v>
      </c>
      <c r="J960" s="277" t="s">
        <v>285</v>
      </c>
      <c r="K960" s="992" t="s">
        <v>17</v>
      </c>
      <c r="L960" s="993"/>
      <c r="M960" s="25"/>
      <c r="N960" s="26"/>
      <c r="O960" s="2"/>
      <c r="P960" s="27"/>
      <c r="Q960" s="26"/>
      <c r="T960" s="28"/>
    </row>
    <row r="961" spans="1:20" ht="30" customHeight="1" x14ac:dyDescent="0.45">
      <c r="A961" s="19"/>
      <c r="B961" s="1092" t="s">
        <v>738</v>
      </c>
      <c r="C961" s="1092"/>
      <c r="D961" s="1092"/>
      <c r="E961" s="220"/>
      <c r="F961" s="220"/>
      <c r="G961" s="98"/>
      <c r="H961" s="99"/>
      <c r="I961" s="460"/>
      <c r="J961" s="460"/>
      <c r="K961" s="220"/>
      <c r="L961" s="220"/>
      <c r="M961" s="25"/>
      <c r="N961" s="26"/>
      <c r="O961" s="2"/>
      <c r="P961" s="27"/>
      <c r="Q961" s="26"/>
      <c r="T961" s="28"/>
    </row>
    <row r="962" spans="1:20" ht="30" customHeight="1" x14ac:dyDescent="0.45">
      <c r="A962" s="47" t="s">
        <v>646</v>
      </c>
      <c r="B962" s="1092" t="s">
        <v>739</v>
      </c>
      <c r="C962" s="1092"/>
      <c r="D962" s="1092"/>
      <c r="E962" s="383">
        <f>+P849</f>
        <v>11.775</v>
      </c>
      <c r="F962" s="47" t="s">
        <v>35</v>
      </c>
      <c r="G962" s="222">
        <f>4*62</f>
        <v>248</v>
      </c>
      <c r="H962" s="351" t="s">
        <v>704</v>
      </c>
      <c r="I962" s="365">
        <f>+R849</f>
        <v>1.1100000000000001</v>
      </c>
      <c r="J962" s="365">
        <f>+S849</f>
        <v>1.0095238095238095</v>
      </c>
      <c r="K962" s="221">
        <f t="shared" ref="K962:K970" si="10">+E962*G962*I962*J962</f>
        <v>3272.2926857142861</v>
      </c>
      <c r="L962" s="47" t="s">
        <v>699</v>
      </c>
      <c r="M962" s="25"/>
      <c r="N962" s="26"/>
      <c r="O962" s="2"/>
      <c r="P962" s="27"/>
      <c r="Q962" s="26"/>
      <c r="T962" s="28"/>
    </row>
    <row r="963" spans="1:20" ht="30" customHeight="1" x14ac:dyDescent="0.45">
      <c r="A963" s="47" t="s">
        <v>484</v>
      </c>
      <c r="B963" s="1092" t="s">
        <v>740</v>
      </c>
      <c r="C963" s="1092"/>
      <c r="D963" s="1092"/>
      <c r="E963" s="383">
        <f>+P851</f>
        <v>20.25</v>
      </c>
      <c r="F963" s="47" t="s">
        <v>35</v>
      </c>
      <c r="G963" s="222">
        <f>80.7*6</f>
        <v>484.20000000000005</v>
      </c>
      <c r="H963" s="351" t="s">
        <v>704</v>
      </c>
      <c r="I963" s="365">
        <f>+R851</f>
        <v>1.28</v>
      </c>
      <c r="J963" s="365">
        <f>+S851</f>
        <v>1.0095238095238095</v>
      </c>
      <c r="K963" s="221">
        <f t="shared" si="10"/>
        <v>12669.992228571429</v>
      </c>
      <c r="L963" s="47" t="s">
        <v>699</v>
      </c>
      <c r="M963" s="25"/>
      <c r="N963" s="26"/>
      <c r="O963" s="2"/>
      <c r="P963" s="27"/>
      <c r="Q963" s="26"/>
      <c r="T963" s="28"/>
    </row>
    <row r="964" spans="1:20" ht="30" customHeight="1" x14ac:dyDescent="0.45">
      <c r="A964" s="47" t="s">
        <v>282</v>
      </c>
      <c r="B964" s="1092" t="s">
        <v>656</v>
      </c>
      <c r="C964" s="1092"/>
      <c r="D964" s="1092"/>
      <c r="E964" s="383">
        <f>+P853</f>
        <v>504.5</v>
      </c>
      <c r="F964" s="222" t="s">
        <v>88</v>
      </c>
      <c r="G964" s="222">
        <v>10</v>
      </c>
      <c r="H964" s="351" t="s">
        <v>705</v>
      </c>
      <c r="I964" s="365">
        <f>+R853</f>
        <v>1.32</v>
      </c>
      <c r="J964" s="365">
        <f>+S853</f>
        <v>1.0095238095238095</v>
      </c>
      <c r="K964" s="221">
        <f t="shared" si="10"/>
        <v>6722.8228571428572</v>
      </c>
      <c r="L964" s="47" t="s">
        <v>699</v>
      </c>
      <c r="M964" s="25"/>
      <c r="N964" s="26"/>
      <c r="O964" s="2"/>
      <c r="P964" s="27"/>
      <c r="Q964" s="26"/>
      <c r="T964" s="28"/>
    </row>
    <row r="965" spans="1:20" ht="30" customHeight="1" x14ac:dyDescent="0.45">
      <c r="A965" s="47" t="s">
        <v>470</v>
      </c>
      <c r="B965" s="1092" t="s">
        <v>669</v>
      </c>
      <c r="C965" s="1092"/>
      <c r="D965" s="1092"/>
      <c r="E965" s="383">
        <f>+P860</f>
        <v>21.1</v>
      </c>
      <c r="F965" s="222" t="s">
        <v>113</v>
      </c>
      <c r="G965" s="222">
        <f>6*50</f>
        <v>300</v>
      </c>
      <c r="H965" s="351" t="s">
        <v>707</v>
      </c>
      <c r="I965" s="365">
        <f>+R860</f>
        <v>1.26</v>
      </c>
      <c r="J965" s="365">
        <f>+S860</f>
        <v>1.0095238095238095</v>
      </c>
      <c r="K965" s="221">
        <f t="shared" si="10"/>
        <v>8051.76</v>
      </c>
      <c r="L965" s="47" t="s">
        <v>699</v>
      </c>
      <c r="M965" s="25"/>
      <c r="N965" s="26"/>
      <c r="O965" s="2"/>
      <c r="P965" s="27"/>
      <c r="Q965" s="26"/>
      <c r="T965" s="28"/>
    </row>
    <row r="966" spans="1:20" ht="30" customHeight="1" x14ac:dyDescent="0.45">
      <c r="A966" s="47" t="s">
        <v>470</v>
      </c>
      <c r="B966" s="1092" t="s">
        <v>741</v>
      </c>
      <c r="C966" s="1092"/>
      <c r="D966" s="1092"/>
      <c r="E966" s="383">
        <f>+P861</f>
        <v>3352.5</v>
      </c>
      <c r="F966" s="222" t="s">
        <v>88</v>
      </c>
      <c r="G966" s="222">
        <v>6</v>
      </c>
      <c r="H966" s="351" t="s">
        <v>714</v>
      </c>
      <c r="I966" s="365">
        <f>+R861</f>
        <v>1.26</v>
      </c>
      <c r="J966" s="365">
        <f>+S861</f>
        <v>1.0095238095238095</v>
      </c>
      <c r="K966" s="221">
        <f t="shared" si="10"/>
        <v>25586.28</v>
      </c>
      <c r="L966" s="47" t="s">
        <v>699</v>
      </c>
      <c r="M966" s="25"/>
      <c r="N966" s="26"/>
      <c r="O966" s="2"/>
      <c r="P966" s="27"/>
      <c r="Q966" s="26"/>
      <c r="T966" s="28"/>
    </row>
    <row r="967" spans="1:20" ht="30" customHeight="1" x14ac:dyDescent="0.45">
      <c r="A967" s="47" t="s">
        <v>282</v>
      </c>
      <c r="B967" s="1092" t="s">
        <v>658</v>
      </c>
      <c r="C967" s="1092"/>
      <c r="D967" s="1092"/>
      <c r="E967" s="383">
        <f>+P855</f>
        <v>362.5</v>
      </c>
      <c r="F967" s="222" t="s">
        <v>88</v>
      </c>
      <c r="G967" s="222">
        <v>10</v>
      </c>
      <c r="H967" s="351" t="s">
        <v>705</v>
      </c>
      <c r="I967" s="365">
        <f>+R855</f>
        <v>1.32</v>
      </c>
      <c r="J967" s="365">
        <f>+S855</f>
        <v>1.0095238095238095</v>
      </c>
      <c r="K967" s="221">
        <f t="shared" si="10"/>
        <v>4830.5714285714284</v>
      </c>
      <c r="L967" s="47" t="s">
        <v>699</v>
      </c>
      <c r="M967" s="25"/>
      <c r="N967" s="26"/>
      <c r="O967" s="2"/>
      <c r="P967" s="27"/>
      <c r="Q967" s="26"/>
      <c r="T967" s="28"/>
    </row>
    <row r="968" spans="1:20" ht="30" customHeight="1" x14ac:dyDescent="0.45">
      <c r="A968" s="47" t="s">
        <v>662</v>
      </c>
      <c r="B968" s="1092" t="s">
        <v>742</v>
      </c>
      <c r="C968" s="1092"/>
      <c r="D968" s="1092"/>
      <c r="E968" s="383">
        <f>+P857</f>
        <v>157.58000000000001</v>
      </c>
      <c r="F968" s="222" t="s">
        <v>88</v>
      </c>
      <c r="G968" s="222">
        <v>40</v>
      </c>
      <c r="H968" s="351" t="s">
        <v>705</v>
      </c>
      <c r="I968" s="365">
        <f>+R857</f>
        <v>1.32</v>
      </c>
      <c r="J968" s="365">
        <f>+S857</f>
        <v>1.0095238095238095</v>
      </c>
      <c r="K968" s="221">
        <f t="shared" si="10"/>
        <v>8399.4642285714308</v>
      </c>
      <c r="L968" s="47" t="s">
        <v>699</v>
      </c>
      <c r="M968" s="25"/>
      <c r="N968" s="26"/>
      <c r="O968" s="2"/>
      <c r="P968" s="27"/>
      <c r="Q968" s="26"/>
      <c r="T968" s="28"/>
    </row>
    <row r="969" spans="1:20" ht="30" customHeight="1" x14ac:dyDescent="0.45">
      <c r="A969" s="47" t="s">
        <v>665</v>
      </c>
      <c r="B969" s="1092" t="s">
        <v>743</v>
      </c>
      <c r="C969" s="1092"/>
      <c r="D969" s="1092"/>
      <c r="E969" s="383">
        <f>+P858</f>
        <v>19.62</v>
      </c>
      <c r="F969" s="222" t="s">
        <v>113</v>
      </c>
      <c r="G969" s="424">
        <v>6412</v>
      </c>
      <c r="H969" s="351" t="s">
        <v>707</v>
      </c>
      <c r="I969" s="365">
        <f>+R858</f>
        <v>1.32</v>
      </c>
      <c r="J969" s="365">
        <f>+S858</f>
        <v>1.0095238095238095</v>
      </c>
      <c r="K969" s="221">
        <f t="shared" si="10"/>
        <v>167642.06976000001</v>
      </c>
      <c r="L969" s="47" t="s">
        <v>699</v>
      </c>
      <c r="M969" s="462"/>
      <c r="N969" s="26"/>
      <c r="O969" s="2"/>
      <c r="P969" s="27"/>
      <c r="Q969" s="26"/>
      <c r="T969" s="28"/>
    </row>
    <row r="970" spans="1:20" s="463" customFormat="1" ht="30" customHeight="1" x14ac:dyDescent="0.45">
      <c r="A970" s="47" t="s">
        <v>644</v>
      </c>
      <c r="B970" s="1018" t="s">
        <v>744</v>
      </c>
      <c r="C970" s="1019"/>
      <c r="D970" s="1020"/>
      <c r="E970" s="334">
        <f>+P852</f>
        <v>5.29</v>
      </c>
      <c r="F970" s="222" t="s">
        <v>35</v>
      </c>
      <c r="G970" s="222">
        <f>32*9</f>
        <v>288</v>
      </c>
      <c r="H970" s="351" t="s">
        <v>704</v>
      </c>
      <c r="I970" s="365">
        <f>+R848</f>
        <v>1.1200000000000001</v>
      </c>
      <c r="J970" s="365">
        <f>+S852</f>
        <v>1.0095238095238095</v>
      </c>
      <c r="K970" s="221">
        <f t="shared" si="10"/>
        <v>1722.5932800000003</v>
      </c>
      <c r="L970" s="47" t="s">
        <v>699</v>
      </c>
      <c r="N970" s="26"/>
      <c r="O970" s="2"/>
      <c r="P970" s="27"/>
      <c r="Q970" s="26"/>
      <c r="R970" s="2"/>
      <c r="S970" s="2"/>
    </row>
    <row r="971" spans="1:20" ht="30" customHeight="1" x14ac:dyDescent="0.45">
      <c r="A971" s="47">
        <v>93410</v>
      </c>
      <c r="B971" s="1018" t="s">
        <v>745</v>
      </c>
      <c r="C971" s="1019"/>
      <c r="D971" s="1020"/>
      <c r="E971" s="383">
        <f>+P867</f>
        <v>11.04</v>
      </c>
      <c r="F971" s="222" t="s">
        <v>29</v>
      </c>
      <c r="G971" s="354">
        <v>261.5</v>
      </c>
      <c r="H971" s="351" t="s">
        <v>710</v>
      </c>
      <c r="I971" s="458">
        <f>+R867</f>
        <v>0.93771935922451721</v>
      </c>
      <c r="J971" s="365"/>
      <c r="K971" s="221">
        <f>+E971*G971*I971</f>
        <v>2707.1582813068117</v>
      </c>
      <c r="L971" s="47" t="s">
        <v>699</v>
      </c>
      <c r="M971" s="25"/>
      <c r="N971" s="463"/>
      <c r="O971" s="463"/>
      <c r="P971" s="464"/>
      <c r="Q971" s="463"/>
      <c r="R971" s="463"/>
      <c r="S971" s="463"/>
      <c r="T971" s="28"/>
    </row>
    <row r="972" spans="1:20" ht="30" customHeight="1" x14ac:dyDescent="0.45">
      <c r="A972" s="977" t="s">
        <v>712</v>
      </c>
      <c r="B972" s="978"/>
      <c r="C972" s="978"/>
      <c r="D972" s="979"/>
      <c r="E972" s="221"/>
      <c r="F972" s="47"/>
      <c r="G972" s="58"/>
      <c r="H972" s="179"/>
      <c r="I972" s="47"/>
      <c r="J972" s="47" t="s">
        <v>360</v>
      </c>
      <c r="K972" s="221">
        <f>SUM(K962:K971)</f>
        <v>241605.00474987825</v>
      </c>
      <c r="L972" s="47" t="s">
        <v>699</v>
      </c>
      <c r="M972" s="25"/>
      <c r="N972" s="26"/>
      <c r="O972" s="2"/>
      <c r="P972" s="27"/>
      <c r="Q972" s="26"/>
      <c r="T972" s="28"/>
    </row>
    <row r="973" spans="1:20" ht="30" customHeight="1" thickBot="1" x14ac:dyDescent="0.5">
      <c r="A973" s="1352"/>
      <c r="B973" s="1353"/>
      <c r="C973" s="1353"/>
      <c r="D973" s="1354"/>
      <c r="E973" s="58"/>
      <c r="F973" s="58"/>
      <c r="G973" s="1032" t="s">
        <v>288</v>
      </c>
      <c r="H973" s="1033"/>
      <c r="I973" s="1034"/>
      <c r="J973" s="213">
        <f>VLOOKUP(B959,'[1]Mil Cost Premiums for PUCs'!$A$4:$R$278,18,FALSE)</f>
        <v>1.0485669999999998</v>
      </c>
      <c r="K973" s="216">
        <f>+K972*J973</f>
        <v>253339.03501556555</v>
      </c>
      <c r="L973" s="47" t="s">
        <v>699</v>
      </c>
      <c r="M973" s="25"/>
      <c r="N973" s="26"/>
      <c r="O973" s="2"/>
      <c r="P973" s="27"/>
      <c r="Q973" s="26"/>
      <c r="T973" s="28"/>
    </row>
    <row r="974" spans="1:20" ht="30" customHeight="1" thickBot="1" x14ac:dyDescent="0.5">
      <c r="A974" s="999"/>
      <c r="B974" s="1000"/>
      <c r="C974" s="1000"/>
      <c r="D974" s="1000"/>
      <c r="E974" s="1000"/>
      <c r="F974" s="1000"/>
      <c r="G974" s="1000"/>
      <c r="H974" s="1000"/>
      <c r="I974" s="1000"/>
      <c r="J974" s="1000"/>
      <c r="K974" s="1000"/>
      <c r="L974" s="1001"/>
      <c r="M974" s="25"/>
      <c r="N974" s="26"/>
      <c r="O974" s="2"/>
      <c r="P974" s="27"/>
      <c r="Q974" s="26"/>
      <c r="T974" s="28"/>
    </row>
    <row r="975" spans="1:20" ht="30" customHeight="1" x14ac:dyDescent="0.45">
      <c r="A975" s="9" t="s">
        <v>4</v>
      </c>
      <c r="B975" s="10">
        <v>1757</v>
      </c>
      <c r="C975" s="983" t="s">
        <v>746</v>
      </c>
      <c r="D975" s="984"/>
      <c r="E975" s="13" t="s">
        <v>7</v>
      </c>
      <c r="F975" s="14" t="s">
        <v>699</v>
      </c>
      <c r="G975" s="15" t="s">
        <v>747</v>
      </c>
      <c r="H975" s="370">
        <v>15</v>
      </c>
      <c r="I975" s="13" t="s">
        <v>9</v>
      </c>
      <c r="J975" s="1355" t="s">
        <v>701</v>
      </c>
      <c r="K975" s="1355"/>
      <c r="L975" s="1356"/>
      <c r="M975" s="25"/>
      <c r="N975" s="26"/>
      <c r="O975" s="2"/>
      <c r="P975" s="27"/>
      <c r="Q975" s="26"/>
      <c r="T975" s="28"/>
    </row>
    <row r="976" spans="1:20" ht="30" customHeight="1" x14ac:dyDescent="0.45">
      <c r="A976" s="19" t="s">
        <v>702</v>
      </c>
      <c r="B976" s="987" t="s">
        <v>293</v>
      </c>
      <c r="C976" s="988"/>
      <c r="D976" s="989"/>
      <c r="E976" s="220" t="s">
        <v>13</v>
      </c>
      <c r="F976" s="220" t="s">
        <v>14</v>
      </c>
      <c r="G976" s="990" t="s">
        <v>15</v>
      </c>
      <c r="H976" s="991"/>
      <c r="I976" s="19" t="s">
        <v>278</v>
      </c>
      <c r="J976" s="277" t="s">
        <v>285</v>
      </c>
      <c r="K976" s="992" t="s">
        <v>17</v>
      </c>
      <c r="L976" s="993"/>
      <c r="M976" s="25"/>
      <c r="N976" s="26"/>
      <c r="O976" s="2"/>
      <c r="P976" s="27"/>
      <c r="Q976" s="26"/>
      <c r="T976" s="28"/>
    </row>
    <row r="977" spans="1:20" ht="30" customHeight="1" x14ac:dyDescent="0.45">
      <c r="A977" s="47" t="s">
        <v>646</v>
      </c>
      <c r="B977" s="1018" t="s">
        <v>748</v>
      </c>
      <c r="C977" s="1019"/>
      <c r="D977" s="1020"/>
      <c r="E977" s="383">
        <f>+P849</f>
        <v>11.775</v>
      </c>
      <c r="F977" s="47" t="s">
        <v>35</v>
      </c>
      <c r="G977" s="222">
        <f>8*62</f>
        <v>496</v>
      </c>
      <c r="H977" s="351" t="s">
        <v>704</v>
      </c>
      <c r="I977" s="365">
        <f>+R849</f>
        <v>1.1100000000000001</v>
      </c>
      <c r="J977" s="365">
        <f>+S849</f>
        <v>1.0095238095238095</v>
      </c>
      <c r="K977" s="221">
        <f>+E977*G977*I977*J977</f>
        <v>6544.5853714285722</v>
      </c>
      <c r="L977" s="47" t="s">
        <v>699</v>
      </c>
      <c r="M977" s="25"/>
      <c r="N977" s="26"/>
      <c r="O977" s="2"/>
      <c r="P977" s="27"/>
      <c r="Q977" s="26"/>
      <c r="T977" s="28"/>
    </row>
    <row r="978" spans="1:20" ht="30" customHeight="1" x14ac:dyDescent="0.45">
      <c r="A978" s="47" t="s">
        <v>282</v>
      </c>
      <c r="B978" s="1018" t="s">
        <v>656</v>
      </c>
      <c r="C978" s="1019"/>
      <c r="D978" s="1020"/>
      <c r="E978" s="383">
        <f>+P853</f>
        <v>504.5</v>
      </c>
      <c r="F978" s="222" t="s">
        <v>88</v>
      </c>
      <c r="G978" s="222">
        <v>8</v>
      </c>
      <c r="H978" s="351" t="s">
        <v>705</v>
      </c>
      <c r="I978" s="365">
        <f>+R853</f>
        <v>1.32</v>
      </c>
      <c r="J978" s="365">
        <f>+S853</f>
        <v>1.0095238095238095</v>
      </c>
      <c r="K978" s="221">
        <f>+E978*G978*I978*J978</f>
        <v>5378.2582857142861</v>
      </c>
      <c r="L978" s="47" t="s">
        <v>699</v>
      </c>
      <c r="N978" s="26"/>
      <c r="O978" s="2"/>
      <c r="P978" s="27"/>
      <c r="Q978" s="26"/>
      <c r="T978" s="28"/>
    </row>
    <row r="979" spans="1:20" ht="30" customHeight="1" x14ac:dyDescent="0.45">
      <c r="A979" s="47" t="s">
        <v>282</v>
      </c>
      <c r="B979" s="1018" t="s">
        <v>658</v>
      </c>
      <c r="C979" s="1019"/>
      <c r="D979" s="1020"/>
      <c r="E979" s="383">
        <f>+P855</f>
        <v>362.5</v>
      </c>
      <c r="F979" s="222" t="s">
        <v>88</v>
      </c>
      <c r="G979" s="222">
        <v>8</v>
      </c>
      <c r="H979" s="351" t="s">
        <v>705</v>
      </c>
      <c r="I979" s="365">
        <f>+R855</f>
        <v>1.32</v>
      </c>
      <c r="J979" s="365">
        <f>+S855</f>
        <v>1.0095238095238095</v>
      </c>
      <c r="K979" s="221">
        <f>+E979*G979*I979*J979</f>
        <v>3864.4571428571426</v>
      </c>
      <c r="L979" s="47" t="s">
        <v>699</v>
      </c>
      <c r="M979" s="25"/>
      <c r="N979" s="26"/>
      <c r="O979" s="2"/>
      <c r="P979" s="27"/>
      <c r="Q979" s="26"/>
      <c r="T979" s="28"/>
    </row>
    <row r="980" spans="1:20" ht="30" customHeight="1" x14ac:dyDescent="0.45">
      <c r="A980" s="47" t="s">
        <v>662</v>
      </c>
      <c r="B980" s="1018" t="s">
        <v>663</v>
      </c>
      <c r="C980" s="1019"/>
      <c r="D980" s="1020"/>
      <c r="E980" s="383">
        <f>+P857</f>
        <v>157.58000000000001</v>
      </c>
      <c r="F980" s="222" t="s">
        <v>88</v>
      </c>
      <c r="G980" s="222">
        <v>32</v>
      </c>
      <c r="H980" s="351" t="s">
        <v>705</v>
      </c>
      <c r="I980" s="365">
        <f>+R857</f>
        <v>1.32</v>
      </c>
      <c r="J980" s="365">
        <f>+S857</f>
        <v>1.0095238095238095</v>
      </c>
      <c r="K980" s="221">
        <f>+E980*G980*I980*J980</f>
        <v>6719.5713828571434</v>
      </c>
      <c r="L980" s="47" t="s">
        <v>699</v>
      </c>
      <c r="M980" s="25"/>
      <c r="N980" s="26"/>
      <c r="O980" s="2"/>
      <c r="P980" s="27"/>
      <c r="Q980" s="26"/>
      <c r="T980" s="28"/>
    </row>
    <row r="981" spans="1:20" ht="30" customHeight="1" x14ac:dyDescent="0.45">
      <c r="A981" s="47" t="s">
        <v>665</v>
      </c>
      <c r="B981" s="1018" t="s">
        <v>749</v>
      </c>
      <c r="C981" s="1019"/>
      <c r="D981" s="1020"/>
      <c r="E981" s="383">
        <f>+P858</f>
        <v>19.62</v>
      </c>
      <c r="F981" s="222" t="s">
        <v>113</v>
      </c>
      <c r="G981" s="222">
        <f>8*101</f>
        <v>808</v>
      </c>
      <c r="H981" s="351" t="s">
        <v>707</v>
      </c>
      <c r="I981" s="365">
        <f>+R858</f>
        <v>1.32</v>
      </c>
      <c r="J981" s="365">
        <f>+S858</f>
        <v>1.0095238095238095</v>
      </c>
      <c r="K981" s="221">
        <f>+E981*G981*I981*J981</f>
        <v>21125.201554285715</v>
      </c>
      <c r="L981" s="47" t="s">
        <v>699</v>
      </c>
      <c r="M981" s="25"/>
      <c r="N981" s="26"/>
      <c r="O981" s="2"/>
      <c r="P981" s="27"/>
      <c r="Q981" s="26"/>
      <c r="T981" s="28"/>
    </row>
    <row r="982" spans="1:20" ht="30" customHeight="1" x14ac:dyDescent="0.45">
      <c r="A982" s="47">
        <v>93210</v>
      </c>
      <c r="B982" s="1018" t="s">
        <v>750</v>
      </c>
      <c r="C982" s="1019"/>
      <c r="D982" s="1020"/>
      <c r="E982" s="383">
        <f>+P869</f>
        <v>89.16</v>
      </c>
      <c r="F982" s="222" t="s">
        <v>29</v>
      </c>
      <c r="G982" s="354">
        <v>27.8125</v>
      </c>
      <c r="H982" s="351" t="s">
        <v>710</v>
      </c>
      <c r="I982" s="458">
        <f>+R869</f>
        <v>0.93771935922451721</v>
      </c>
      <c r="J982" s="47"/>
      <c r="K982" s="221">
        <f>+E982*G982*I982</f>
        <v>2325.3213025289865</v>
      </c>
      <c r="L982" s="47" t="s">
        <v>699</v>
      </c>
      <c r="M982" s="25"/>
      <c r="N982" s="26"/>
      <c r="O982" s="2"/>
      <c r="P982" s="27"/>
      <c r="Q982" s="26"/>
      <c r="T982" s="28"/>
    </row>
    <row r="983" spans="1:20" ht="30" customHeight="1" x14ac:dyDescent="0.45">
      <c r="A983" s="47">
        <v>93410</v>
      </c>
      <c r="B983" s="1018" t="s">
        <v>751</v>
      </c>
      <c r="C983" s="1019"/>
      <c r="D983" s="1020"/>
      <c r="E983" s="383">
        <f>+P867</f>
        <v>11.04</v>
      </c>
      <c r="F983" s="222" t="s">
        <v>29</v>
      </c>
      <c r="G983" s="354">
        <f>2.61*8</f>
        <v>20.88</v>
      </c>
      <c r="H983" s="351" t="s">
        <v>710</v>
      </c>
      <c r="I983" s="458">
        <f>+R867</f>
        <v>0.93771935922451721</v>
      </c>
      <c r="J983" s="47"/>
      <c r="K983" s="221">
        <f>+E983*G983*I983</f>
        <v>216.15856563551139</v>
      </c>
      <c r="L983" s="47" t="s">
        <v>699</v>
      </c>
      <c r="M983" s="25"/>
      <c r="N983" s="26"/>
      <c r="O983" s="2"/>
      <c r="P983" s="27"/>
      <c r="Q983" s="26"/>
      <c r="T983" s="28"/>
    </row>
    <row r="984" spans="1:20" ht="30" customHeight="1" x14ac:dyDescent="0.45">
      <c r="A984" s="977" t="s">
        <v>712</v>
      </c>
      <c r="B984" s="978"/>
      <c r="C984" s="978"/>
      <c r="D984" s="979"/>
      <c r="E984" s="221"/>
      <c r="F984" s="47"/>
      <c r="G984" s="58"/>
      <c r="H984" s="179"/>
      <c r="I984" s="47"/>
      <c r="J984" s="47" t="s">
        <v>360</v>
      </c>
      <c r="K984" s="221">
        <f>SUM(K977:K983)</f>
        <v>46173.553605307352</v>
      </c>
      <c r="L984" s="47" t="s">
        <v>699</v>
      </c>
      <c r="M984" s="25"/>
      <c r="N984" s="26"/>
      <c r="O984" s="2"/>
      <c r="P984" s="27"/>
      <c r="Q984" s="26"/>
      <c r="T984" s="28"/>
    </row>
    <row r="985" spans="1:20" ht="30" customHeight="1" thickBot="1" x14ac:dyDescent="0.5">
      <c r="A985" s="1352"/>
      <c r="B985" s="1353"/>
      <c r="C985" s="1353"/>
      <c r="D985" s="1354"/>
      <c r="E985" s="58"/>
      <c r="F985" s="58"/>
      <c r="G985" s="1032" t="s">
        <v>288</v>
      </c>
      <c r="H985" s="1033"/>
      <c r="I985" s="1034"/>
      <c r="J985" s="213">
        <f>VLOOKUP(B975,'[1]Mil Cost Premiums for PUCs'!$A$4:$R$278,18,FALSE)</f>
        <v>1.0485669999999998</v>
      </c>
      <c r="K985" s="216">
        <f>+K984*J985</f>
        <v>48416.064583256302</v>
      </c>
      <c r="L985" s="47" t="s">
        <v>699</v>
      </c>
      <c r="M985" s="25"/>
      <c r="N985" s="26"/>
      <c r="O985" s="2"/>
      <c r="P985" s="27"/>
      <c r="Q985" s="26"/>
      <c r="T985" s="28"/>
    </row>
    <row r="986" spans="1:20" ht="30" customHeight="1" thickBot="1" x14ac:dyDescent="0.5">
      <c r="A986" s="999"/>
      <c r="B986" s="1000"/>
      <c r="C986" s="1000"/>
      <c r="D986" s="1000"/>
      <c r="E986" s="1000"/>
      <c r="F986" s="1000"/>
      <c r="G986" s="1000"/>
      <c r="H986" s="1000"/>
      <c r="I986" s="1000"/>
      <c r="J986" s="1000"/>
      <c r="K986" s="1000"/>
      <c r="L986" s="1001"/>
      <c r="M986" s="37"/>
      <c r="N986" s="26"/>
      <c r="O986" s="2"/>
      <c r="P986" s="27"/>
      <c r="Q986" s="26"/>
      <c r="T986" s="28"/>
    </row>
    <row r="987" spans="1:20" ht="30" customHeight="1" x14ac:dyDescent="0.45">
      <c r="A987" s="9" t="s">
        <v>4</v>
      </c>
      <c r="B987" s="10">
        <v>1758</v>
      </c>
      <c r="C987" s="983" t="s">
        <v>752</v>
      </c>
      <c r="D987" s="984"/>
      <c r="E987" s="13" t="s">
        <v>7</v>
      </c>
      <c r="F987" s="14" t="s">
        <v>699</v>
      </c>
      <c r="G987" s="15" t="s">
        <v>753</v>
      </c>
      <c r="H987" s="370">
        <v>10</v>
      </c>
      <c r="I987" s="13" t="s">
        <v>9</v>
      </c>
      <c r="J987" s="1355" t="s">
        <v>701</v>
      </c>
      <c r="K987" s="1355"/>
      <c r="L987" s="1356"/>
      <c r="N987" s="26"/>
      <c r="O987" s="2"/>
      <c r="P987" s="27"/>
      <c r="Q987" s="26"/>
      <c r="T987" s="28"/>
    </row>
    <row r="988" spans="1:20" ht="30" customHeight="1" x14ac:dyDescent="0.45">
      <c r="A988" s="19" t="s">
        <v>702</v>
      </c>
      <c r="B988" s="987" t="s">
        <v>293</v>
      </c>
      <c r="C988" s="988"/>
      <c r="D988" s="989"/>
      <c r="E988" s="220" t="s">
        <v>13</v>
      </c>
      <c r="F988" s="220" t="s">
        <v>14</v>
      </c>
      <c r="G988" s="990" t="s">
        <v>15</v>
      </c>
      <c r="H988" s="991"/>
      <c r="I988" s="19" t="s">
        <v>278</v>
      </c>
      <c r="J988" s="277" t="s">
        <v>285</v>
      </c>
      <c r="K988" s="992" t="s">
        <v>17</v>
      </c>
      <c r="L988" s="993"/>
      <c r="M988" s="25"/>
      <c r="O988" s="2"/>
      <c r="P988" s="27"/>
      <c r="Q988" s="26"/>
      <c r="T988" s="28"/>
    </row>
    <row r="989" spans="1:20" ht="30" customHeight="1" x14ac:dyDescent="0.45">
      <c r="A989" s="19"/>
      <c r="B989" s="1092" t="s">
        <v>754</v>
      </c>
      <c r="C989" s="1092"/>
      <c r="D989" s="1092"/>
      <c r="E989" s="220"/>
      <c r="F989" s="220"/>
      <c r="G989" s="98"/>
      <c r="H989" s="99"/>
      <c r="I989" s="460"/>
      <c r="J989" s="460"/>
      <c r="K989" s="220"/>
      <c r="L989" s="220"/>
      <c r="M989" s="25"/>
      <c r="O989" s="2"/>
      <c r="P989" s="27"/>
      <c r="Q989" s="26"/>
      <c r="T989" s="28"/>
    </row>
    <row r="990" spans="1:20" ht="30" customHeight="1" x14ac:dyDescent="0.45">
      <c r="A990" s="47" t="s">
        <v>646</v>
      </c>
      <c r="B990" s="1092" t="s">
        <v>755</v>
      </c>
      <c r="C990" s="1092"/>
      <c r="D990" s="1092"/>
      <c r="E990" s="383">
        <f>+P849</f>
        <v>11.775</v>
      </c>
      <c r="F990" s="47" t="s">
        <v>35</v>
      </c>
      <c r="G990" s="424">
        <f>3*62</f>
        <v>186</v>
      </c>
      <c r="H990" s="351" t="s">
        <v>704</v>
      </c>
      <c r="I990" s="365">
        <f>+R849</f>
        <v>1.1100000000000001</v>
      </c>
      <c r="J990" s="365">
        <f>+S849</f>
        <v>1.0095238095238095</v>
      </c>
      <c r="K990" s="221">
        <f t="shared" ref="K990:K1000" si="11">+E990*G990*I990*J990</f>
        <v>2454.2195142857145</v>
      </c>
      <c r="L990" s="47" t="s">
        <v>699</v>
      </c>
      <c r="M990" s="25"/>
      <c r="N990" s="26"/>
      <c r="O990" s="2"/>
      <c r="P990" s="27"/>
      <c r="Q990" s="26"/>
      <c r="T990" s="28"/>
    </row>
    <row r="991" spans="1:20" ht="30" customHeight="1" x14ac:dyDescent="0.45">
      <c r="A991" s="47" t="s">
        <v>646</v>
      </c>
      <c r="B991" s="1092" t="s">
        <v>756</v>
      </c>
      <c r="C991" s="1092"/>
      <c r="D991" s="1092"/>
      <c r="E991" s="383">
        <f>+P849</f>
        <v>11.775</v>
      </c>
      <c r="F991" s="47" t="s">
        <v>35</v>
      </c>
      <c r="G991" s="424">
        <f>5*94</f>
        <v>470</v>
      </c>
      <c r="H991" s="351" t="s">
        <v>704</v>
      </c>
      <c r="I991" s="365">
        <f t="shared" ref="I991:J993" si="12">+R849</f>
        <v>1.1100000000000001</v>
      </c>
      <c r="J991" s="365">
        <f t="shared" si="12"/>
        <v>1.0095238095238095</v>
      </c>
      <c r="K991" s="221">
        <f t="shared" si="11"/>
        <v>6201.5224285714294</v>
      </c>
      <c r="L991" s="47" t="s">
        <v>699</v>
      </c>
      <c r="M991" s="25"/>
      <c r="N991" s="26"/>
      <c r="O991" s="2"/>
      <c r="P991" s="27"/>
      <c r="Q991" s="26"/>
      <c r="T991" s="28"/>
    </row>
    <row r="992" spans="1:20" ht="30" customHeight="1" x14ac:dyDescent="0.45">
      <c r="A992" s="47" t="s">
        <v>646</v>
      </c>
      <c r="B992" s="1092" t="s">
        <v>757</v>
      </c>
      <c r="C992" s="1092"/>
      <c r="D992" s="1092"/>
      <c r="E992" s="383">
        <f>+P850</f>
        <v>14.375</v>
      </c>
      <c r="F992" s="47" t="s">
        <v>35</v>
      </c>
      <c r="G992" s="424">
        <f>2*468</f>
        <v>936</v>
      </c>
      <c r="H992" s="351" t="s">
        <v>704</v>
      </c>
      <c r="I992" s="365">
        <f t="shared" si="12"/>
        <v>1.1100000000000001</v>
      </c>
      <c r="J992" s="365">
        <f t="shared" si="12"/>
        <v>1.0095238095238095</v>
      </c>
      <c r="K992" s="221">
        <f t="shared" si="11"/>
        <v>15077.288571428571</v>
      </c>
      <c r="L992" s="47" t="s">
        <v>699</v>
      </c>
      <c r="M992" s="25"/>
      <c r="N992" s="26"/>
      <c r="O992" s="2"/>
      <c r="P992" s="27"/>
      <c r="Q992" s="26"/>
      <c r="T992" s="28"/>
    </row>
    <row r="993" spans="1:20" ht="30" customHeight="1" x14ac:dyDescent="0.45">
      <c r="A993" s="47" t="s">
        <v>484</v>
      </c>
      <c r="B993" s="1092" t="s">
        <v>758</v>
      </c>
      <c r="C993" s="1092"/>
      <c r="D993" s="1092"/>
      <c r="E993" s="383">
        <f>+P851</f>
        <v>20.25</v>
      </c>
      <c r="F993" s="47" t="s">
        <v>35</v>
      </c>
      <c r="G993" s="465">
        <f>80.7*2</f>
        <v>161.4</v>
      </c>
      <c r="H993" s="351" t="s">
        <v>704</v>
      </c>
      <c r="I993" s="365">
        <f t="shared" si="12"/>
        <v>1.28</v>
      </c>
      <c r="J993" s="365">
        <f t="shared" si="12"/>
        <v>1.0095238095238095</v>
      </c>
      <c r="K993" s="221">
        <f t="shared" si="11"/>
        <v>4223.3307428571434</v>
      </c>
      <c r="L993" s="47" t="s">
        <v>699</v>
      </c>
      <c r="M993" s="25"/>
      <c r="N993" s="26"/>
      <c r="O993" s="2"/>
      <c r="P993" s="27"/>
      <c r="Q993" s="26"/>
      <c r="T993" s="28"/>
    </row>
    <row r="994" spans="1:20" ht="30" customHeight="1" x14ac:dyDescent="0.45">
      <c r="A994" s="47" t="s">
        <v>282</v>
      </c>
      <c r="B994" s="1092" t="s">
        <v>657</v>
      </c>
      <c r="C994" s="1092"/>
      <c r="D994" s="1092"/>
      <c r="E994" s="383">
        <f>+P854</f>
        <v>920</v>
      </c>
      <c r="F994" s="222" t="s">
        <v>88</v>
      </c>
      <c r="G994" s="424">
        <v>12</v>
      </c>
      <c r="H994" s="351" t="s">
        <v>705</v>
      </c>
      <c r="I994" s="365">
        <f>+R854</f>
        <v>1.32</v>
      </c>
      <c r="J994" s="365">
        <f>+S854</f>
        <v>1.0095238095238095</v>
      </c>
      <c r="K994" s="221">
        <f t="shared" si="11"/>
        <v>14711.588571428572</v>
      </c>
      <c r="L994" s="47" t="s">
        <v>699</v>
      </c>
      <c r="M994" s="25"/>
      <c r="N994" s="26"/>
      <c r="O994" s="2"/>
      <c r="P994" s="27"/>
      <c r="Q994" s="26"/>
      <c r="T994" s="28"/>
    </row>
    <row r="995" spans="1:20" ht="30" customHeight="1" x14ac:dyDescent="0.45">
      <c r="A995" s="47" t="s">
        <v>470</v>
      </c>
      <c r="B995" s="1092" t="s">
        <v>669</v>
      </c>
      <c r="C995" s="1092"/>
      <c r="D995" s="1092"/>
      <c r="E995" s="383">
        <f>+P860</f>
        <v>21.1</v>
      </c>
      <c r="F995" s="222" t="s">
        <v>113</v>
      </c>
      <c r="G995" s="424">
        <f>2*50</f>
        <v>100</v>
      </c>
      <c r="H995" s="351" t="s">
        <v>707</v>
      </c>
      <c r="I995" s="365">
        <f>+R860</f>
        <v>1.26</v>
      </c>
      <c r="J995" s="365">
        <f>+S860</f>
        <v>1.0095238095238095</v>
      </c>
      <c r="K995" s="221">
        <f t="shared" si="11"/>
        <v>2683.9199999999996</v>
      </c>
      <c r="L995" s="47" t="s">
        <v>699</v>
      </c>
      <c r="M995" s="25"/>
      <c r="N995" s="26"/>
      <c r="O995" s="2"/>
      <c r="P995" s="27"/>
      <c r="Q995" s="26"/>
      <c r="T995" s="28"/>
    </row>
    <row r="996" spans="1:20" ht="30" customHeight="1" x14ac:dyDescent="0.45">
      <c r="A996" s="47" t="s">
        <v>470</v>
      </c>
      <c r="B996" s="1092" t="s">
        <v>741</v>
      </c>
      <c r="C996" s="1092"/>
      <c r="D996" s="1092"/>
      <c r="E996" s="383">
        <f>+P861</f>
        <v>3352.5</v>
      </c>
      <c r="F996" s="222" t="s">
        <v>88</v>
      </c>
      <c r="G996" s="424">
        <v>2</v>
      </c>
      <c r="H996" s="351" t="s">
        <v>714</v>
      </c>
      <c r="I996" s="365">
        <f>+R861</f>
        <v>1.26</v>
      </c>
      <c r="J996" s="365">
        <f>+S861</f>
        <v>1.0095238095238095</v>
      </c>
      <c r="K996" s="221">
        <f t="shared" si="11"/>
        <v>8528.7599999999984</v>
      </c>
      <c r="L996" s="47" t="s">
        <v>699</v>
      </c>
      <c r="M996" s="25"/>
      <c r="N996" s="437"/>
      <c r="O996" s="2"/>
      <c r="P996" s="27"/>
      <c r="Q996" s="26"/>
      <c r="T996" s="28"/>
    </row>
    <row r="997" spans="1:20" ht="30" customHeight="1" x14ac:dyDescent="0.45">
      <c r="A997" s="47" t="s">
        <v>282</v>
      </c>
      <c r="B997" s="1092" t="s">
        <v>759</v>
      </c>
      <c r="C997" s="1092"/>
      <c r="D997" s="1092"/>
      <c r="E997" s="383">
        <f>+P856</f>
        <v>1125</v>
      </c>
      <c r="F997" s="222" t="s">
        <v>88</v>
      </c>
      <c r="G997" s="424">
        <v>12</v>
      </c>
      <c r="H997" s="351" t="s">
        <v>705</v>
      </c>
      <c r="I997" s="365">
        <f t="shared" ref="I997:J999" si="13">+R856</f>
        <v>1.32</v>
      </c>
      <c r="J997" s="365">
        <f t="shared" si="13"/>
        <v>1.0095238095238095</v>
      </c>
      <c r="K997" s="221">
        <f t="shared" si="11"/>
        <v>17989.714285714286</v>
      </c>
      <c r="L997" s="47" t="s">
        <v>699</v>
      </c>
      <c r="M997" s="25"/>
      <c r="N997" s="437"/>
      <c r="O997" s="2"/>
      <c r="P997" s="27"/>
      <c r="Q997" s="26"/>
      <c r="T997" s="28"/>
    </row>
    <row r="998" spans="1:20" ht="30" customHeight="1" x14ac:dyDescent="0.45">
      <c r="A998" s="47" t="s">
        <v>662</v>
      </c>
      <c r="B998" s="1092" t="s">
        <v>760</v>
      </c>
      <c r="C998" s="1092"/>
      <c r="D998" s="1092"/>
      <c r="E998" s="383">
        <f>+P857</f>
        <v>157.58000000000001</v>
      </c>
      <c r="F998" s="222" t="s">
        <v>88</v>
      </c>
      <c r="G998" s="424">
        <f>5*12</f>
        <v>60</v>
      </c>
      <c r="H998" s="351" t="s">
        <v>705</v>
      </c>
      <c r="I998" s="365">
        <f t="shared" si="13"/>
        <v>1.32</v>
      </c>
      <c r="J998" s="365">
        <f t="shared" si="13"/>
        <v>1.0095238095238095</v>
      </c>
      <c r="K998" s="221">
        <f t="shared" si="11"/>
        <v>12599.196342857143</v>
      </c>
      <c r="L998" s="47" t="s">
        <v>699</v>
      </c>
      <c r="M998" s="25"/>
      <c r="N998" s="437"/>
      <c r="O998" s="2"/>
      <c r="P998" s="27"/>
      <c r="Q998" s="26"/>
      <c r="T998" s="28"/>
    </row>
    <row r="999" spans="1:20" ht="30" customHeight="1" x14ac:dyDescent="0.45">
      <c r="A999" s="47" t="s">
        <v>665</v>
      </c>
      <c r="B999" s="1018" t="s">
        <v>761</v>
      </c>
      <c r="C999" s="1019"/>
      <c r="D999" s="1020"/>
      <c r="E999" s="383">
        <f>+P858</f>
        <v>19.62</v>
      </c>
      <c r="F999" s="222" t="s">
        <v>113</v>
      </c>
      <c r="G999" s="424">
        <v>2961</v>
      </c>
      <c r="H999" s="351" t="s">
        <v>707</v>
      </c>
      <c r="I999" s="365">
        <f t="shared" si="13"/>
        <v>1.32</v>
      </c>
      <c r="J999" s="365">
        <f t="shared" si="13"/>
        <v>1.0095238095238095</v>
      </c>
      <c r="K999" s="221">
        <f t="shared" si="11"/>
        <v>77415.497279999996</v>
      </c>
      <c r="L999" s="47" t="s">
        <v>699</v>
      </c>
      <c r="M999" s="25"/>
      <c r="N999" s="437"/>
      <c r="O999" s="2"/>
      <c r="P999" s="27"/>
      <c r="Q999" s="26"/>
      <c r="T999" s="28"/>
    </row>
    <row r="1000" spans="1:20" ht="30" customHeight="1" x14ac:dyDescent="0.45">
      <c r="A1000" s="47" t="s">
        <v>644</v>
      </c>
      <c r="B1000" s="1018" t="s">
        <v>744</v>
      </c>
      <c r="C1000" s="1019"/>
      <c r="D1000" s="1020"/>
      <c r="E1000" s="334">
        <f>+P852</f>
        <v>5.29</v>
      </c>
      <c r="F1000" s="222" t="s">
        <v>35</v>
      </c>
      <c r="G1000" s="424">
        <f>32*9</f>
        <v>288</v>
      </c>
      <c r="H1000" s="351" t="s">
        <v>704</v>
      </c>
      <c r="I1000" s="365">
        <f>+R848</f>
        <v>1.1200000000000001</v>
      </c>
      <c r="J1000" s="365">
        <f>+S852</f>
        <v>1.0095238095238095</v>
      </c>
      <c r="K1000" s="221">
        <f t="shared" si="11"/>
        <v>1722.5932800000003</v>
      </c>
      <c r="L1000" s="47" t="s">
        <v>699</v>
      </c>
      <c r="M1000" s="25"/>
      <c r="N1000" s="26"/>
      <c r="O1000" s="2"/>
      <c r="P1000" s="27"/>
      <c r="Q1000" s="26"/>
      <c r="T1000" s="28"/>
    </row>
    <row r="1001" spans="1:20" ht="30" customHeight="1" x14ac:dyDescent="0.45">
      <c r="A1001" s="47">
        <v>93410</v>
      </c>
      <c r="B1001" s="1018" t="s">
        <v>762</v>
      </c>
      <c r="C1001" s="1019"/>
      <c r="D1001" s="1020"/>
      <c r="E1001" s="383">
        <f>+P867</f>
        <v>11.04</v>
      </c>
      <c r="F1001" s="222" t="s">
        <v>29</v>
      </c>
      <c r="G1001" s="465">
        <v>39.200000000000003</v>
      </c>
      <c r="H1001" s="351" t="s">
        <v>710</v>
      </c>
      <c r="I1001" s="458">
        <f>+R867</f>
        <v>0.93771935922451721</v>
      </c>
      <c r="J1001" s="365"/>
      <c r="K1001" s="221">
        <f>+E1001*G1001*I1001</f>
        <v>405.81493165287583</v>
      </c>
      <c r="L1001" s="47" t="s">
        <v>699</v>
      </c>
      <c r="M1001" s="25"/>
      <c r="N1001" s="26"/>
      <c r="O1001" s="2"/>
      <c r="P1001" s="27"/>
      <c r="Q1001" s="26"/>
      <c r="T1001" s="28"/>
    </row>
    <row r="1002" spans="1:20" ht="30" customHeight="1" x14ac:dyDescent="0.45">
      <c r="A1002" s="47">
        <v>93210</v>
      </c>
      <c r="B1002" s="1018" t="s">
        <v>763</v>
      </c>
      <c r="C1002" s="1019"/>
      <c r="D1002" s="1020"/>
      <c r="E1002" s="383">
        <f>+P869</f>
        <v>89.16</v>
      </c>
      <c r="F1002" s="222" t="s">
        <v>29</v>
      </c>
      <c r="G1002" s="465">
        <v>3.9</v>
      </c>
      <c r="H1002" s="351" t="s">
        <v>710</v>
      </c>
      <c r="I1002" s="458">
        <f>+R869</f>
        <v>0.93771935922451721</v>
      </c>
      <c r="J1002" s="365"/>
      <c r="K1002" s="221">
        <f>+E1002*G1002*I1002</f>
        <v>326.06752646698601</v>
      </c>
      <c r="L1002" s="47" t="s">
        <v>699</v>
      </c>
      <c r="M1002" s="25"/>
      <c r="N1002" s="26"/>
      <c r="O1002" s="2"/>
      <c r="P1002" s="27"/>
      <c r="Q1002" s="26"/>
      <c r="T1002" s="28"/>
    </row>
    <row r="1003" spans="1:20" ht="30" customHeight="1" x14ac:dyDescent="0.45">
      <c r="A1003" s="977" t="s">
        <v>712</v>
      </c>
      <c r="B1003" s="978"/>
      <c r="C1003" s="978"/>
      <c r="D1003" s="979"/>
      <c r="E1003" s="221"/>
      <c r="F1003" s="47"/>
      <c r="G1003" s="58"/>
      <c r="H1003" s="179"/>
      <c r="I1003" s="47"/>
      <c r="J1003" s="47" t="s">
        <v>360</v>
      </c>
      <c r="K1003" s="221">
        <f>SUM(K990:K1002)</f>
        <v>164339.51347526276</v>
      </c>
      <c r="L1003" s="47" t="s">
        <v>699</v>
      </c>
      <c r="M1003" s="25"/>
      <c r="N1003" s="26"/>
      <c r="O1003" s="2"/>
      <c r="P1003" s="27"/>
      <c r="Q1003" s="26"/>
      <c r="T1003" s="28"/>
    </row>
    <row r="1004" spans="1:20" ht="30" customHeight="1" thickBot="1" x14ac:dyDescent="0.5">
      <c r="A1004" s="1352"/>
      <c r="B1004" s="1353"/>
      <c r="C1004" s="1353"/>
      <c r="D1004" s="1354"/>
      <c r="E1004" s="58"/>
      <c r="F1004" s="58"/>
      <c r="G1004" s="1032" t="s">
        <v>288</v>
      </c>
      <c r="H1004" s="1033"/>
      <c r="I1004" s="1034"/>
      <c r="J1004" s="213">
        <f>VLOOKUP(B987,'[1]Mil Cost Premiums for PUCs'!$A$4:$R$278,18,FALSE)</f>
        <v>1.0485669999999998</v>
      </c>
      <c r="K1004" s="216">
        <f>+K1003*J1004</f>
        <v>172320.99062621582</v>
      </c>
      <c r="L1004" s="47" t="s">
        <v>699</v>
      </c>
      <c r="N1004" s="26"/>
      <c r="O1004" s="2"/>
      <c r="P1004" s="27"/>
      <c r="Q1004" s="26"/>
      <c r="T1004" s="28"/>
    </row>
    <row r="1005" spans="1:20" ht="30" customHeight="1" thickBot="1" x14ac:dyDescent="0.5">
      <c r="A1005" s="999"/>
      <c r="B1005" s="1000"/>
      <c r="C1005" s="1000"/>
      <c r="D1005" s="1000"/>
      <c r="E1005" s="1000"/>
      <c r="F1005" s="1000"/>
      <c r="G1005" s="1000"/>
      <c r="H1005" s="1000"/>
      <c r="I1005" s="1000"/>
      <c r="J1005" s="1000"/>
      <c r="K1005" s="1000"/>
      <c r="L1005" s="1001"/>
      <c r="M1005" s="25"/>
      <c r="N1005" s="26"/>
      <c r="O1005" s="2"/>
      <c r="P1005" s="27"/>
      <c r="Q1005" s="26"/>
      <c r="T1005" s="28"/>
    </row>
    <row r="1006" spans="1:20" ht="30" customHeight="1" x14ac:dyDescent="0.45">
      <c r="A1006" s="9" t="s">
        <v>4</v>
      </c>
      <c r="B1006" s="10">
        <v>1760</v>
      </c>
      <c r="C1006" s="1028" t="s">
        <v>764</v>
      </c>
      <c r="D1006" s="1029"/>
      <c r="E1006" s="13" t="s">
        <v>7</v>
      </c>
      <c r="F1006" s="192" t="s">
        <v>699</v>
      </c>
      <c r="G1006" s="15" t="s">
        <v>700</v>
      </c>
      <c r="H1006" s="370">
        <v>4</v>
      </c>
      <c r="I1006" s="13" t="s">
        <v>9</v>
      </c>
      <c r="J1006" s="1355" t="s">
        <v>701</v>
      </c>
      <c r="K1006" s="1355"/>
      <c r="L1006" s="1356"/>
      <c r="M1006" s="25"/>
      <c r="N1006" s="26"/>
      <c r="O1006" s="2"/>
      <c r="P1006" s="27"/>
      <c r="Q1006" s="26"/>
      <c r="T1006" s="28"/>
    </row>
    <row r="1007" spans="1:20" ht="30" customHeight="1" x14ac:dyDescent="0.45">
      <c r="A1007" s="19" t="s">
        <v>702</v>
      </c>
      <c r="B1007" s="987" t="s">
        <v>293</v>
      </c>
      <c r="C1007" s="988"/>
      <c r="D1007" s="989"/>
      <c r="E1007" s="220" t="s">
        <v>13</v>
      </c>
      <c r="F1007" s="220" t="s">
        <v>14</v>
      </c>
      <c r="G1007" s="990" t="s">
        <v>15</v>
      </c>
      <c r="H1007" s="991"/>
      <c r="I1007" s="277" t="s">
        <v>278</v>
      </c>
      <c r="J1007" s="277"/>
      <c r="K1007" s="992" t="s">
        <v>17</v>
      </c>
      <c r="L1007" s="993"/>
      <c r="M1007" s="25"/>
      <c r="N1007" s="26"/>
      <c r="O1007" s="2"/>
      <c r="P1007" s="27"/>
      <c r="Q1007" s="26"/>
      <c r="T1007" s="28"/>
    </row>
    <row r="1008" spans="1:20" ht="30" customHeight="1" x14ac:dyDescent="0.45">
      <c r="A1008" s="47">
        <v>85110</v>
      </c>
      <c r="B1008" s="1018" t="s">
        <v>765</v>
      </c>
      <c r="C1008" s="1019"/>
      <c r="D1008" s="1020"/>
      <c r="E1008" s="383">
        <f>+P870/9</f>
        <v>14.533333333333335</v>
      </c>
      <c r="F1008" s="47" t="s">
        <v>35</v>
      </c>
      <c r="G1008" s="424">
        <v>481</v>
      </c>
      <c r="H1008" s="351" t="s">
        <v>704</v>
      </c>
      <c r="I1008" s="458">
        <f>+R870</f>
        <v>0.93771935922451721</v>
      </c>
      <c r="J1008" s="365"/>
      <c r="K1008" s="221">
        <f>+E1008*G1008*I1008</f>
        <v>6555.158437970962</v>
      </c>
      <c r="L1008" s="47" t="s">
        <v>699</v>
      </c>
      <c r="M1008" s="25"/>
      <c r="N1008" s="26"/>
      <c r="O1008" s="2"/>
      <c r="P1008" s="27"/>
      <c r="Q1008" s="26"/>
      <c r="T1008" s="28"/>
    </row>
    <row r="1009" spans="1:20" ht="30" customHeight="1" x14ac:dyDescent="0.45">
      <c r="A1009" s="47">
        <v>93410</v>
      </c>
      <c r="B1009" s="1018" t="s">
        <v>766</v>
      </c>
      <c r="C1009" s="1019"/>
      <c r="D1009" s="1020"/>
      <c r="E1009" s="383">
        <f>+P867</f>
        <v>11.04</v>
      </c>
      <c r="F1009" s="222" t="s">
        <v>29</v>
      </c>
      <c r="G1009" s="424">
        <f>1936/4</f>
        <v>484</v>
      </c>
      <c r="H1009" s="351" t="s">
        <v>710</v>
      </c>
      <c r="I1009" s="458">
        <f>+R867</f>
        <v>0.93771935922451721</v>
      </c>
      <c r="J1009" s="47"/>
      <c r="K1009" s="221">
        <f>+E1009*G1009*I1009</f>
        <v>5010.5721153059158</v>
      </c>
      <c r="L1009" s="47" t="s">
        <v>699</v>
      </c>
      <c r="M1009" s="25"/>
      <c r="N1009" s="26"/>
      <c r="O1009" s="2"/>
      <c r="P1009" s="27"/>
      <c r="Q1009" s="26"/>
      <c r="T1009" s="28"/>
    </row>
    <row r="1010" spans="1:20" ht="30" customHeight="1" x14ac:dyDescent="0.45">
      <c r="A1010" s="47">
        <v>93210</v>
      </c>
      <c r="B1010" s="1018" t="s">
        <v>767</v>
      </c>
      <c r="C1010" s="1019"/>
      <c r="D1010" s="1020"/>
      <c r="E1010" s="383">
        <f>+P869</f>
        <v>89.16</v>
      </c>
      <c r="F1010" s="222" t="s">
        <v>29</v>
      </c>
      <c r="G1010" s="424">
        <f>327/4</f>
        <v>81.75</v>
      </c>
      <c r="H1010" s="351" t="s">
        <v>710</v>
      </c>
      <c r="I1010" s="458">
        <f>+R869</f>
        <v>0.93771935922451721</v>
      </c>
      <c r="J1010" s="47"/>
      <c r="K1010" s="221">
        <f>+E1010*G1010*I1010</f>
        <v>6834.8769970964377</v>
      </c>
      <c r="L1010" s="47" t="s">
        <v>699</v>
      </c>
      <c r="M1010" s="25"/>
      <c r="N1010" s="26"/>
      <c r="O1010" s="2"/>
      <c r="P1010" s="27"/>
      <c r="Q1010" s="26"/>
      <c r="T1010" s="28"/>
    </row>
    <row r="1011" spans="1:20" ht="30" customHeight="1" x14ac:dyDescent="0.45">
      <c r="A1011" s="977" t="s">
        <v>712</v>
      </c>
      <c r="B1011" s="978"/>
      <c r="C1011" s="978"/>
      <c r="D1011" s="979"/>
      <c r="E1011" s="221"/>
      <c r="F1011" s="47"/>
      <c r="G1011" s="58"/>
      <c r="H1011" s="179"/>
      <c r="I1011" s="47"/>
      <c r="J1011" s="47" t="s">
        <v>360</v>
      </c>
      <c r="K1011" s="221">
        <f>SUM(K1008:K1010)</f>
        <v>18400.607550373315</v>
      </c>
      <c r="L1011" s="47" t="s">
        <v>699</v>
      </c>
      <c r="M1011" s="25"/>
      <c r="N1011" s="26"/>
      <c r="O1011" s="2"/>
      <c r="P1011" s="27"/>
      <c r="Q1011" s="26"/>
      <c r="T1011" s="28"/>
    </row>
    <row r="1012" spans="1:20" ht="30" customHeight="1" thickBot="1" x14ac:dyDescent="0.5">
      <c r="A1012" s="1352"/>
      <c r="B1012" s="1353"/>
      <c r="C1012" s="1353"/>
      <c r="D1012" s="1354"/>
      <c r="E1012" s="58"/>
      <c r="F1012" s="58"/>
      <c r="G1012" s="1032" t="s">
        <v>288</v>
      </c>
      <c r="H1012" s="1033"/>
      <c r="I1012" s="1034"/>
      <c r="J1012" s="213">
        <f>VLOOKUP(B1006,'[1]Mil Cost Premiums for PUCs'!$A$4:$R$278,18,FALSE)</f>
        <v>1.0485669999999998</v>
      </c>
      <c r="K1012" s="216">
        <f>+K1011*J1012</f>
        <v>19294.269857272291</v>
      </c>
      <c r="L1012" s="47" t="s">
        <v>699</v>
      </c>
      <c r="M1012" s="25"/>
      <c r="N1012" s="26"/>
      <c r="O1012" s="2"/>
      <c r="P1012" s="27"/>
      <c r="Q1012" s="26"/>
      <c r="T1012" s="28"/>
    </row>
    <row r="1013" spans="1:20" ht="30" customHeight="1" thickBot="1" x14ac:dyDescent="0.5">
      <c r="A1013" s="999"/>
      <c r="B1013" s="1000"/>
      <c r="C1013" s="1000"/>
      <c r="D1013" s="1000"/>
      <c r="E1013" s="1000"/>
      <c r="F1013" s="1000"/>
      <c r="G1013" s="1000"/>
      <c r="H1013" s="1000"/>
      <c r="I1013" s="1000"/>
      <c r="J1013" s="1000"/>
      <c r="K1013" s="1000"/>
      <c r="L1013" s="1001"/>
      <c r="M1013" s="25"/>
      <c r="N1013" s="26"/>
      <c r="O1013" s="2"/>
      <c r="P1013" s="27"/>
      <c r="Q1013" s="26"/>
      <c r="T1013" s="28"/>
    </row>
    <row r="1014" spans="1:20" ht="30" customHeight="1" x14ac:dyDescent="0.45">
      <c r="A1014" s="9" t="s">
        <v>4</v>
      </c>
      <c r="B1014" s="10">
        <v>1761</v>
      </c>
      <c r="C1014" s="983" t="s">
        <v>768</v>
      </c>
      <c r="D1014" s="984"/>
      <c r="E1014" s="13" t="s">
        <v>7</v>
      </c>
      <c r="F1014" s="14" t="s">
        <v>699</v>
      </c>
      <c r="G1014" s="15" t="s">
        <v>700</v>
      </c>
      <c r="H1014" s="370">
        <v>4</v>
      </c>
      <c r="I1014" s="13" t="s">
        <v>9</v>
      </c>
      <c r="J1014" s="1355" t="s">
        <v>701</v>
      </c>
      <c r="K1014" s="1355"/>
      <c r="L1014" s="1356"/>
      <c r="M1014" s="25"/>
      <c r="N1014" s="26"/>
      <c r="O1014" s="2"/>
      <c r="P1014" s="27"/>
      <c r="Q1014" s="26"/>
      <c r="T1014" s="28"/>
    </row>
    <row r="1015" spans="1:20" ht="30" customHeight="1" x14ac:dyDescent="0.45">
      <c r="A1015" s="19" t="s">
        <v>702</v>
      </c>
      <c r="B1015" s="987" t="s">
        <v>293</v>
      </c>
      <c r="C1015" s="988"/>
      <c r="D1015" s="989"/>
      <c r="E1015" s="220" t="s">
        <v>13</v>
      </c>
      <c r="F1015" s="220" t="s">
        <v>14</v>
      </c>
      <c r="G1015" s="990" t="s">
        <v>15</v>
      </c>
      <c r="H1015" s="991"/>
      <c r="I1015" s="277" t="s">
        <v>278</v>
      </c>
      <c r="J1015" s="277" t="s">
        <v>285</v>
      </c>
      <c r="K1015" s="992" t="s">
        <v>17</v>
      </c>
      <c r="L1015" s="993"/>
      <c r="M1015" s="25"/>
      <c r="N1015" s="26"/>
      <c r="O1015" s="2"/>
      <c r="P1015" s="27"/>
      <c r="Q1015" s="26"/>
      <c r="T1015" s="28"/>
    </row>
    <row r="1016" spans="1:20" ht="30" customHeight="1" x14ac:dyDescent="0.45">
      <c r="A1016" s="47" t="s">
        <v>644</v>
      </c>
      <c r="B1016" s="1018" t="s">
        <v>645</v>
      </c>
      <c r="C1016" s="1019"/>
      <c r="D1016" s="1020"/>
      <c r="E1016" s="334">
        <f>+P848</f>
        <v>3983</v>
      </c>
      <c r="F1016" s="222" t="s">
        <v>88</v>
      </c>
      <c r="G1016" s="222"/>
      <c r="H1016" s="351"/>
      <c r="I1016" s="47">
        <f>+R848</f>
        <v>1.1200000000000001</v>
      </c>
      <c r="J1016" s="365">
        <f>S848</f>
        <v>1.0095238095238095</v>
      </c>
      <c r="K1016" s="221">
        <f>+E1016*J1016*I1016</f>
        <v>4503.445333333334</v>
      </c>
      <c r="L1016" s="47" t="s">
        <v>699</v>
      </c>
      <c r="M1016" s="25"/>
      <c r="N1016" s="26"/>
      <c r="O1016" s="2"/>
      <c r="P1016" s="27"/>
      <c r="Q1016" s="26"/>
      <c r="T1016" s="28"/>
    </row>
    <row r="1017" spans="1:20" ht="30" customHeight="1" x14ac:dyDescent="0.45">
      <c r="A1017" s="47">
        <v>93410</v>
      </c>
      <c r="B1017" s="1018" t="s">
        <v>769</v>
      </c>
      <c r="C1017" s="1019"/>
      <c r="D1017" s="1020"/>
      <c r="E1017" s="383">
        <f>+P867</f>
        <v>11.04</v>
      </c>
      <c r="F1017" s="222" t="s">
        <v>29</v>
      </c>
      <c r="G1017" s="424">
        <f>2.6*4</f>
        <v>10.4</v>
      </c>
      <c r="H1017" s="351" t="s">
        <v>710</v>
      </c>
      <c r="I1017" s="458">
        <f>+R867</f>
        <v>0.93771935922451721</v>
      </c>
      <c r="J1017" s="47"/>
      <c r="K1017" s="221">
        <f>+E1017*G1017*I1017</f>
        <v>107.66518594872215</v>
      </c>
      <c r="L1017" s="47" t="s">
        <v>699</v>
      </c>
      <c r="M1017" s="25"/>
      <c r="N1017" s="26"/>
      <c r="O1017" s="2"/>
      <c r="P1017" s="27"/>
      <c r="Q1017" s="26"/>
      <c r="T1017" s="28"/>
    </row>
    <row r="1018" spans="1:20" ht="30" customHeight="1" x14ac:dyDescent="0.45">
      <c r="A1018" s="47">
        <v>93410</v>
      </c>
      <c r="B1018" s="1018" t="s">
        <v>770</v>
      </c>
      <c r="C1018" s="1019"/>
      <c r="D1018" s="1020"/>
      <c r="E1018" s="383">
        <f>+P867</f>
        <v>11.04</v>
      </c>
      <c r="F1018" s="222" t="s">
        <v>29</v>
      </c>
      <c r="G1018" s="424">
        <v>26</v>
      </c>
      <c r="H1018" s="351" t="s">
        <v>710</v>
      </c>
      <c r="I1018" s="458">
        <f>+R867</f>
        <v>0.93771935922451721</v>
      </c>
      <c r="J1018" s="47"/>
      <c r="K1018" s="221">
        <f>+E1018*G1018*I1018</f>
        <v>269.1629648718054</v>
      </c>
      <c r="L1018" s="47" t="s">
        <v>699</v>
      </c>
      <c r="M1018" s="25"/>
      <c r="N1018" s="435"/>
      <c r="O1018" s="2"/>
      <c r="P1018" s="27"/>
      <c r="Q1018" s="26"/>
      <c r="T1018" s="28"/>
    </row>
    <row r="1019" spans="1:20" ht="30" customHeight="1" x14ac:dyDescent="0.45">
      <c r="A1019" s="47">
        <v>93210</v>
      </c>
      <c r="B1019" s="1018" t="s">
        <v>771</v>
      </c>
      <c r="C1019" s="1019"/>
      <c r="D1019" s="1020"/>
      <c r="E1019" s="383">
        <f>+P869</f>
        <v>89.16</v>
      </c>
      <c r="F1019" s="222" t="s">
        <v>29</v>
      </c>
      <c r="G1019" s="424">
        <v>26</v>
      </c>
      <c r="H1019" s="351" t="s">
        <v>710</v>
      </c>
      <c r="I1019" s="458">
        <f>+R869</f>
        <v>0.93771935922451721</v>
      </c>
      <c r="J1019" s="47"/>
      <c r="K1019" s="221">
        <f>+E1019*G1019*I1019</f>
        <v>2173.7835097799066</v>
      </c>
      <c r="L1019" s="47" t="s">
        <v>699</v>
      </c>
      <c r="M1019" s="25"/>
      <c r="N1019" s="26"/>
      <c r="O1019" s="2"/>
      <c r="P1019" s="27"/>
      <c r="Q1019" s="26"/>
      <c r="T1019" s="28"/>
    </row>
    <row r="1020" spans="1:20" ht="30" customHeight="1" x14ac:dyDescent="0.45">
      <c r="A1020" s="977" t="s">
        <v>712</v>
      </c>
      <c r="B1020" s="978"/>
      <c r="C1020" s="978"/>
      <c r="D1020" s="979"/>
      <c r="E1020" s="221"/>
      <c r="F1020" s="47"/>
      <c r="G1020" s="58"/>
      <c r="H1020" s="179"/>
      <c r="I1020" s="47"/>
      <c r="J1020" s="47" t="s">
        <v>360</v>
      </c>
      <c r="K1020" s="221">
        <f>SUM(K1016:K1019)</f>
        <v>7054.0569939337674</v>
      </c>
      <c r="L1020" s="47" t="s">
        <v>699</v>
      </c>
      <c r="N1020" s="26"/>
      <c r="O1020" s="2"/>
      <c r="P1020" s="27"/>
      <c r="Q1020" s="26"/>
      <c r="T1020" s="28"/>
    </row>
    <row r="1021" spans="1:20" ht="30" customHeight="1" thickBot="1" x14ac:dyDescent="0.5">
      <c r="A1021" s="1352"/>
      <c r="B1021" s="1353"/>
      <c r="C1021" s="1353"/>
      <c r="D1021" s="1354"/>
      <c r="E1021" s="58"/>
      <c r="F1021" s="58"/>
      <c r="G1021" s="1032" t="s">
        <v>288</v>
      </c>
      <c r="H1021" s="1033"/>
      <c r="I1021" s="1034"/>
      <c r="J1021" s="213">
        <f>VLOOKUP(B1014,'[1]Mil Cost Premiums for PUCs'!$A$4:$R$278,18,FALSE)</f>
        <v>1.0485669999999998</v>
      </c>
      <c r="K1021" s="216">
        <f>+K1020*J1021</f>
        <v>7396.6513799581471</v>
      </c>
      <c r="L1021" s="47" t="s">
        <v>699</v>
      </c>
      <c r="M1021" s="25"/>
      <c r="N1021" s="26"/>
      <c r="O1021" s="2"/>
      <c r="P1021" s="27"/>
      <c r="Q1021" s="26"/>
      <c r="T1021" s="28"/>
    </row>
    <row r="1022" spans="1:20" ht="30" customHeight="1" thickBot="1" x14ac:dyDescent="0.5">
      <c r="A1022" s="999"/>
      <c r="B1022" s="1000"/>
      <c r="C1022" s="1000"/>
      <c r="D1022" s="1000"/>
      <c r="E1022" s="1000"/>
      <c r="F1022" s="1000"/>
      <c r="G1022" s="1000"/>
      <c r="H1022" s="1000"/>
      <c r="I1022" s="1000"/>
      <c r="J1022" s="1000"/>
      <c r="K1022" s="1000"/>
      <c r="L1022" s="1001"/>
      <c r="M1022" s="25"/>
      <c r="N1022" s="26"/>
      <c r="O1022" s="2"/>
      <c r="P1022" s="27"/>
      <c r="Q1022" s="26"/>
      <c r="T1022" s="28"/>
    </row>
    <row r="1023" spans="1:20" ht="30" customHeight="1" x14ac:dyDescent="0.45">
      <c r="A1023" s="9" t="s">
        <v>4</v>
      </c>
      <c r="B1023" s="10">
        <v>1762</v>
      </c>
      <c r="C1023" s="1002" t="s">
        <v>772</v>
      </c>
      <c r="D1023" s="1003"/>
      <c r="E1023" s="13" t="s">
        <v>7</v>
      </c>
      <c r="F1023" s="14" t="s">
        <v>773</v>
      </c>
      <c r="G1023" s="15" t="s">
        <v>700</v>
      </c>
      <c r="H1023" s="370">
        <v>2</v>
      </c>
      <c r="I1023" s="13" t="s">
        <v>9</v>
      </c>
      <c r="J1023" s="1355" t="s">
        <v>701</v>
      </c>
      <c r="K1023" s="1355"/>
      <c r="L1023" s="1356"/>
      <c r="M1023" s="25"/>
      <c r="N1023" s="26"/>
      <c r="O1023" s="2"/>
      <c r="P1023" s="27"/>
      <c r="Q1023" s="26"/>
      <c r="T1023" s="28"/>
    </row>
    <row r="1024" spans="1:20" ht="30" customHeight="1" x14ac:dyDescent="0.45">
      <c r="A1024" s="19" t="s">
        <v>11</v>
      </c>
      <c r="B1024" s="987" t="s">
        <v>293</v>
      </c>
      <c r="C1024" s="988"/>
      <c r="D1024" s="989"/>
      <c r="E1024" s="220" t="s">
        <v>13</v>
      </c>
      <c r="F1024" s="220" t="s">
        <v>14</v>
      </c>
      <c r="G1024" s="990" t="s">
        <v>15</v>
      </c>
      <c r="H1024" s="991"/>
      <c r="I1024" s="277" t="s">
        <v>278</v>
      </c>
      <c r="J1024" s="277"/>
      <c r="K1024" s="992" t="s">
        <v>17</v>
      </c>
      <c r="L1024" s="993"/>
      <c r="M1024" s="25"/>
      <c r="N1024" s="26"/>
      <c r="O1024" s="2"/>
      <c r="P1024" s="27"/>
      <c r="Q1024" s="26"/>
      <c r="T1024" s="28"/>
    </row>
    <row r="1025" spans="1:20" ht="30" customHeight="1" x14ac:dyDescent="0.45">
      <c r="A1025" s="47">
        <v>85110</v>
      </c>
      <c r="B1025" s="1018" t="s">
        <v>774</v>
      </c>
      <c r="C1025" s="1019"/>
      <c r="D1025" s="1020"/>
      <c r="E1025" s="383">
        <f>+P866/9</f>
        <v>16.503333333333334</v>
      </c>
      <c r="F1025" s="47" t="s">
        <v>35</v>
      </c>
      <c r="G1025" s="424">
        <v>128</v>
      </c>
      <c r="H1025" s="351" t="s">
        <v>775</v>
      </c>
      <c r="I1025" s="392">
        <f>+R866</f>
        <v>0.93771935922451721</v>
      </c>
      <c r="J1025" s="47"/>
      <c r="K1025" s="221">
        <f>+E1025*G1025*I1025</f>
        <v>1980.8633802754496</v>
      </c>
      <c r="L1025" s="47" t="s">
        <v>773</v>
      </c>
      <c r="M1025" s="25"/>
      <c r="N1025" s="26"/>
      <c r="O1025" s="2"/>
      <c r="P1025" s="27"/>
      <c r="Q1025" s="26"/>
      <c r="T1025" s="28"/>
    </row>
    <row r="1026" spans="1:20" ht="30" customHeight="1" x14ac:dyDescent="0.45">
      <c r="A1026" s="47">
        <v>93410</v>
      </c>
      <c r="B1026" s="1018" t="s">
        <v>776</v>
      </c>
      <c r="C1026" s="1019"/>
      <c r="D1026" s="1020"/>
      <c r="E1026" s="383">
        <f>+P867</f>
        <v>11.04</v>
      </c>
      <c r="F1026" s="222" t="s">
        <v>29</v>
      </c>
      <c r="G1026" s="424">
        <v>52</v>
      </c>
      <c r="H1026" s="351" t="s">
        <v>777</v>
      </c>
      <c r="I1026" s="392">
        <f>+R867</f>
        <v>0.93771935922451721</v>
      </c>
      <c r="J1026" s="47"/>
      <c r="K1026" s="221">
        <f>+E1026*G1026*I1026</f>
        <v>538.3259297436108</v>
      </c>
      <c r="L1026" s="47" t="s">
        <v>773</v>
      </c>
      <c r="M1026" s="25"/>
      <c r="N1026" s="26"/>
      <c r="O1026" s="2"/>
      <c r="P1026" s="27"/>
      <c r="Q1026" s="26"/>
      <c r="T1026" s="28"/>
    </row>
    <row r="1027" spans="1:20" ht="30" customHeight="1" x14ac:dyDescent="0.45">
      <c r="A1027" s="47">
        <v>93210</v>
      </c>
      <c r="B1027" s="1018" t="s">
        <v>778</v>
      </c>
      <c r="C1027" s="1019"/>
      <c r="D1027" s="1020"/>
      <c r="E1027" s="383">
        <f>+P869</f>
        <v>89.16</v>
      </c>
      <c r="F1027" s="222" t="s">
        <v>29</v>
      </c>
      <c r="G1027" s="424">
        <v>20</v>
      </c>
      <c r="H1027" s="351" t="s">
        <v>777</v>
      </c>
      <c r="I1027" s="392">
        <f>+R869</f>
        <v>0.93771935922451721</v>
      </c>
      <c r="J1027" s="47"/>
      <c r="K1027" s="221">
        <f>+E1027*G1027*I1027</f>
        <v>1672.1411613691589</v>
      </c>
      <c r="L1027" s="47" t="s">
        <v>773</v>
      </c>
      <c r="M1027" s="25"/>
      <c r="N1027" s="26"/>
      <c r="O1027" s="2"/>
      <c r="P1027" s="27"/>
      <c r="Q1027" s="26"/>
      <c r="T1027" s="28"/>
    </row>
    <row r="1028" spans="1:20" ht="30" customHeight="1" x14ac:dyDescent="0.45">
      <c r="A1028" s="977" t="s">
        <v>712</v>
      </c>
      <c r="B1028" s="978"/>
      <c r="C1028" s="978"/>
      <c r="D1028" s="979"/>
      <c r="E1028" s="221"/>
      <c r="F1028" s="47"/>
      <c r="G1028" s="58"/>
      <c r="H1028" s="179"/>
      <c r="I1028" s="47"/>
      <c r="J1028" s="47" t="s">
        <v>360</v>
      </c>
      <c r="K1028" s="221">
        <f>SUM(K1025:K1027)</f>
        <v>4191.3304713882189</v>
      </c>
      <c r="L1028" s="47" t="s">
        <v>773</v>
      </c>
      <c r="M1028" s="25"/>
      <c r="N1028" s="26"/>
      <c r="O1028" s="2"/>
      <c r="P1028" s="27"/>
      <c r="Q1028" s="26"/>
      <c r="T1028" s="28"/>
    </row>
    <row r="1029" spans="1:20" ht="30" customHeight="1" thickBot="1" x14ac:dyDescent="0.5">
      <c r="A1029" s="1352"/>
      <c r="B1029" s="1353"/>
      <c r="C1029" s="1353"/>
      <c r="D1029" s="1354"/>
      <c r="E1029" s="58"/>
      <c r="F1029" s="58"/>
      <c r="G1029" s="58"/>
      <c r="H1029" s="58"/>
      <c r="I1029" s="58"/>
      <c r="J1029" s="85" t="s">
        <v>39</v>
      </c>
      <c r="K1029" s="216">
        <f>+K1028</f>
        <v>4191.3304713882189</v>
      </c>
      <c r="L1029" s="47" t="s">
        <v>773</v>
      </c>
      <c r="M1029" s="25"/>
      <c r="N1029" s="26"/>
      <c r="O1029" s="2"/>
      <c r="P1029" s="27"/>
      <c r="Q1029" s="26"/>
      <c r="T1029" s="28"/>
    </row>
    <row r="1030" spans="1:20" ht="30" customHeight="1" thickBot="1" x14ac:dyDescent="0.5">
      <c r="A1030" s="999"/>
      <c r="B1030" s="1000"/>
      <c r="C1030" s="1000"/>
      <c r="D1030" s="1000"/>
      <c r="E1030" s="1000"/>
      <c r="F1030" s="1000"/>
      <c r="G1030" s="1000"/>
      <c r="H1030" s="1000"/>
      <c r="I1030" s="1000"/>
      <c r="J1030" s="1000"/>
      <c r="K1030" s="1000"/>
      <c r="L1030" s="1001"/>
      <c r="M1030" s="25"/>
      <c r="N1030" s="437"/>
      <c r="O1030" s="2"/>
      <c r="P1030" s="27"/>
      <c r="Q1030" s="26"/>
      <c r="T1030" s="28"/>
    </row>
    <row r="1031" spans="1:20" ht="30" customHeight="1" x14ac:dyDescent="0.45">
      <c r="A1031" s="9" t="s">
        <v>4</v>
      </c>
      <c r="B1031" s="10">
        <v>1763</v>
      </c>
      <c r="C1031" s="983" t="s">
        <v>779</v>
      </c>
      <c r="D1031" s="984"/>
      <c r="E1031" s="13" t="s">
        <v>7</v>
      </c>
      <c r="F1031" s="192" t="s">
        <v>699</v>
      </c>
      <c r="G1031" s="15" t="s">
        <v>700</v>
      </c>
      <c r="H1031" s="370">
        <v>1</v>
      </c>
      <c r="I1031" s="13" t="s">
        <v>9</v>
      </c>
      <c r="J1031" s="1355" t="s">
        <v>701</v>
      </c>
      <c r="K1031" s="1355"/>
      <c r="L1031" s="1356"/>
      <c r="M1031" s="25"/>
      <c r="N1031" s="26"/>
      <c r="O1031" s="2"/>
      <c r="P1031" s="27"/>
      <c r="Q1031" s="26"/>
      <c r="T1031" s="28"/>
    </row>
    <row r="1032" spans="1:20" ht="30" customHeight="1" x14ac:dyDescent="0.45">
      <c r="A1032" s="19" t="s">
        <v>702</v>
      </c>
      <c r="B1032" s="987" t="s">
        <v>293</v>
      </c>
      <c r="C1032" s="988"/>
      <c r="D1032" s="989"/>
      <c r="E1032" s="220" t="s">
        <v>13</v>
      </c>
      <c r="F1032" s="220" t="s">
        <v>14</v>
      </c>
      <c r="G1032" s="990" t="s">
        <v>15</v>
      </c>
      <c r="H1032" s="991"/>
      <c r="I1032" s="19" t="s">
        <v>278</v>
      </c>
      <c r="J1032" s="19" t="s">
        <v>285</v>
      </c>
      <c r="K1032" s="992" t="s">
        <v>17</v>
      </c>
      <c r="L1032" s="993"/>
      <c r="M1032" s="25"/>
      <c r="N1032" s="26"/>
      <c r="O1032" s="2"/>
      <c r="P1032" s="27"/>
      <c r="Q1032" s="26"/>
      <c r="T1032" s="28"/>
    </row>
    <row r="1033" spans="1:20" ht="30" customHeight="1" x14ac:dyDescent="0.45">
      <c r="A1033" s="19"/>
      <c r="B1033" s="1030" t="s">
        <v>780</v>
      </c>
      <c r="C1033" s="1030"/>
      <c r="D1033" s="1030"/>
      <c r="E1033" s="220"/>
      <c r="F1033" s="220"/>
      <c r="G1033" s="98"/>
      <c r="H1033" s="99"/>
      <c r="I1033" s="466"/>
      <c r="J1033" s="466"/>
      <c r="K1033" s="220"/>
      <c r="L1033" s="220"/>
      <c r="M1033" s="25"/>
      <c r="N1033" s="26"/>
      <c r="O1033" s="2"/>
      <c r="P1033" s="27"/>
      <c r="Q1033" s="26"/>
      <c r="T1033" s="28"/>
    </row>
    <row r="1034" spans="1:20" ht="30" customHeight="1" x14ac:dyDescent="0.45">
      <c r="A1034" s="47" t="s">
        <v>646</v>
      </c>
      <c r="B1034" s="1092" t="s">
        <v>781</v>
      </c>
      <c r="C1034" s="1092"/>
      <c r="D1034" s="1092"/>
      <c r="E1034" s="383">
        <f>+P850</f>
        <v>14.375</v>
      </c>
      <c r="F1034" s="47" t="s">
        <v>35</v>
      </c>
      <c r="G1034" s="424">
        <f>9*468</f>
        <v>4212</v>
      </c>
      <c r="H1034" s="351" t="s">
        <v>704</v>
      </c>
      <c r="I1034" s="365">
        <f>+R850</f>
        <v>1.1100000000000001</v>
      </c>
      <c r="J1034" s="365">
        <f>+S850</f>
        <v>1.0095238095238095</v>
      </c>
      <c r="K1034" s="221">
        <f t="shared" ref="K1034:K1042" si="14">+E1034*G1034*I1034*J1034</f>
        <v>67847.798571428575</v>
      </c>
      <c r="L1034" s="47" t="s">
        <v>699</v>
      </c>
      <c r="M1034" s="25"/>
      <c r="N1034" s="26"/>
      <c r="O1034" s="2"/>
      <c r="P1034" s="27"/>
      <c r="Q1034" s="26"/>
      <c r="T1034" s="28"/>
    </row>
    <row r="1035" spans="1:20" ht="30" customHeight="1" x14ac:dyDescent="0.45">
      <c r="A1035" s="47" t="s">
        <v>484</v>
      </c>
      <c r="B1035" s="1092" t="s">
        <v>782</v>
      </c>
      <c r="C1035" s="1092"/>
      <c r="D1035" s="1092"/>
      <c r="E1035" s="383">
        <f>+P851</f>
        <v>20.25</v>
      </c>
      <c r="F1035" s="47" t="s">
        <v>35</v>
      </c>
      <c r="G1035" s="424">
        <f>2153*2</f>
        <v>4306</v>
      </c>
      <c r="H1035" s="351" t="s">
        <v>704</v>
      </c>
      <c r="I1035" s="365">
        <f>+R851</f>
        <v>1.28</v>
      </c>
      <c r="J1035" s="365">
        <f>+S851</f>
        <v>1.0095238095238095</v>
      </c>
      <c r="K1035" s="221">
        <f t="shared" si="14"/>
        <v>112674.48685714285</v>
      </c>
      <c r="L1035" s="47" t="s">
        <v>699</v>
      </c>
      <c r="M1035" s="25"/>
      <c r="N1035" s="26"/>
      <c r="O1035" s="2"/>
      <c r="P1035" s="27"/>
      <c r="Q1035" s="26"/>
      <c r="T1035" s="28"/>
    </row>
    <row r="1036" spans="1:20" ht="30" customHeight="1" x14ac:dyDescent="0.45">
      <c r="A1036" s="47" t="s">
        <v>282</v>
      </c>
      <c r="B1036" s="1092" t="s">
        <v>657</v>
      </c>
      <c r="C1036" s="1092"/>
      <c r="D1036" s="1092"/>
      <c r="E1036" s="383">
        <f>+P854</f>
        <v>920</v>
      </c>
      <c r="F1036" s="222" t="s">
        <v>88</v>
      </c>
      <c r="G1036" s="424">
        <v>11</v>
      </c>
      <c r="H1036" s="351" t="s">
        <v>705</v>
      </c>
      <c r="I1036" s="365">
        <f>+R854</f>
        <v>1.32</v>
      </c>
      <c r="J1036" s="365">
        <f>+S854</f>
        <v>1.0095238095238095</v>
      </c>
      <c r="K1036" s="221">
        <f t="shared" si="14"/>
        <v>13485.622857142858</v>
      </c>
      <c r="L1036" s="47" t="s">
        <v>699</v>
      </c>
      <c r="M1036" s="25"/>
      <c r="N1036" s="26"/>
      <c r="O1036" s="2"/>
      <c r="P1036" s="27"/>
      <c r="Q1036" s="26"/>
      <c r="T1036" s="28"/>
    </row>
    <row r="1037" spans="1:20" ht="30" customHeight="1" x14ac:dyDescent="0.45">
      <c r="A1037" s="47" t="s">
        <v>470</v>
      </c>
      <c r="B1037" s="1092" t="s">
        <v>783</v>
      </c>
      <c r="C1037" s="1092"/>
      <c r="D1037" s="1092"/>
      <c r="E1037" s="383">
        <f>+P860</f>
        <v>21.1</v>
      </c>
      <c r="F1037" s="222" t="s">
        <v>113</v>
      </c>
      <c r="G1037" s="424">
        <f>656*2</f>
        <v>1312</v>
      </c>
      <c r="H1037" s="351" t="s">
        <v>707</v>
      </c>
      <c r="I1037" s="365">
        <f>+R860</f>
        <v>1.26</v>
      </c>
      <c r="J1037" s="365">
        <f>+S860</f>
        <v>1.0095238095238095</v>
      </c>
      <c r="K1037" s="221">
        <f t="shared" si="14"/>
        <v>35213.030400000003</v>
      </c>
      <c r="L1037" s="47" t="s">
        <v>699</v>
      </c>
      <c r="M1037" s="25"/>
      <c r="N1037" s="26"/>
      <c r="O1037" s="2"/>
      <c r="P1037" s="27"/>
      <c r="Q1037" s="26"/>
      <c r="T1037" s="28"/>
    </row>
    <row r="1038" spans="1:20" ht="30" customHeight="1" x14ac:dyDescent="0.45">
      <c r="A1038" s="47" t="s">
        <v>470</v>
      </c>
      <c r="B1038" s="1092" t="s">
        <v>784</v>
      </c>
      <c r="C1038" s="1092"/>
      <c r="D1038" s="1092"/>
      <c r="E1038" s="383">
        <f>+P861</f>
        <v>3352.5</v>
      </c>
      <c r="F1038" s="222" t="s">
        <v>88</v>
      </c>
      <c r="G1038" s="424">
        <v>2</v>
      </c>
      <c r="H1038" s="351" t="s">
        <v>714</v>
      </c>
      <c r="I1038" s="365">
        <f>+R861</f>
        <v>1.26</v>
      </c>
      <c r="J1038" s="365">
        <f>+S861</f>
        <v>1.0095238095238095</v>
      </c>
      <c r="K1038" s="221">
        <f t="shared" si="14"/>
        <v>8528.7599999999984</v>
      </c>
      <c r="L1038" s="47" t="s">
        <v>699</v>
      </c>
      <c r="M1038" s="25"/>
      <c r="N1038" s="26"/>
      <c r="O1038" s="2"/>
      <c r="P1038" s="27"/>
      <c r="Q1038" s="26"/>
      <c r="T1038" s="28"/>
    </row>
    <row r="1039" spans="1:20" ht="30" customHeight="1" x14ac:dyDescent="0.45">
      <c r="A1039" s="47" t="s">
        <v>282</v>
      </c>
      <c r="B1039" s="1092" t="s">
        <v>759</v>
      </c>
      <c r="C1039" s="1092"/>
      <c r="D1039" s="1092"/>
      <c r="E1039" s="383">
        <f>+P856</f>
        <v>1125</v>
      </c>
      <c r="F1039" s="222" t="s">
        <v>88</v>
      </c>
      <c r="G1039" s="424">
        <v>11</v>
      </c>
      <c r="H1039" s="351" t="s">
        <v>705</v>
      </c>
      <c r="I1039" s="365">
        <f t="shared" ref="I1039:J1041" si="15">+R856</f>
        <v>1.32</v>
      </c>
      <c r="J1039" s="365">
        <f t="shared" si="15"/>
        <v>1.0095238095238095</v>
      </c>
      <c r="K1039" s="221">
        <f t="shared" si="14"/>
        <v>16490.571428571428</v>
      </c>
      <c r="L1039" s="47" t="s">
        <v>699</v>
      </c>
      <c r="M1039" s="25"/>
      <c r="N1039" s="26"/>
      <c r="O1039" s="2"/>
      <c r="P1039" s="27"/>
      <c r="Q1039" s="26"/>
      <c r="T1039" s="28"/>
    </row>
    <row r="1040" spans="1:20" ht="30" customHeight="1" x14ac:dyDescent="0.45">
      <c r="A1040" s="47" t="s">
        <v>662</v>
      </c>
      <c r="B1040" s="1092" t="s">
        <v>785</v>
      </c>
      <c r="C1040" s="1092"/>
      <c r="D1040" s="1092"/>
      <c r="E1040" s="383">
        <f>+P857</f>
        <v>157.58000000000001</v>
      </c>
      <c r="F1040" s="222" t="s">
        <v>88</v>
      </c>
      <c r="G1040" s="424">
        <v>53</v>
      </c>
      <c r="H1040" s="351" t="s">
        <v>705</v>
      </c>
      <c r="I1040" s="365">
        <f t="shared" si="15"/>
        <v>1.32</v>
      </c>
      <c r="J1040" s="365">
        <f t="shared" si="15"/>
        <v>1.0095238095238095</v>
      </c>
      <c r="K1040" s="221">
        <f t="shared" si="14"/>
        <v>11129.290102857143</v>
      </c>
      <c r="L1040" s="47" t="s">
        <v>699</v>
      </c>
      <c r="M1040" s="25"/>
      <c r="N1040" s="26"/>
      <c r="O1040" s="2"/>
      <c r="P1040" s="27"/>
      <c r="Q1040" s="26"/>
      <c r="T1040" s="28"/>
    </row>
    <row r="1041" spans="1:20" ht="30" customHeight="1" x14ac:dyDescent="0.45">
      <c r="A1041" s="47" t="s">
        <v>665</v>
      </c>
      <c r="B1041" s="1018" t="s">
        <v>786</v>
      </c>
      <c r="C1041" s="1019"/>
      <c r="D1041" s="1020"/>
      <c r="E1041" s="383">
        <f>+P858</f>
        <v>19.62</v>
      </c>
      <c r="F1041" s="222" t="s">
        <v>113</v>
      </c>
      <c r="G1041" s="424">
        <v>20825</v>
      </c>
      <c r="H1041" s="351" t="s">
        <v>707</v>
      </c>
      <c r="I1041" s="365">
        <f t="shared" si="15"/>
        <v>1.32</v>
      </c>
      <c r="J1041" s="365">
        <f t="shared" si="15"/>
        <v>1.0095238095238095</v>
      </c>
      <c r="K1041" s="221">
        <f t="shared" si="14"/>
        <v>544470.696</v>
      </c>
      <c r="L1041" s="47" t="s">
        <v>699</v>
      </c>
      <c r="M1041" s="25"/>
      <c r="N1041" s="26"/>
      <c r="O1041" s="2"/>
      <c r="P1041" s="27"/>
      <c r="Q1041" s="26"/>
      <c r="T1041" s="28"/>
    </row>
    <row r="1042" spans="1:20" ht="30" customHeight="1" x14ac:dyDescent="0.45">
      <c r="A1042" s="47" t="s">
        <v>646</v>
      </c>
      <c r="B1042" s="1018" t="s">
        <v>787</v>
      </c>
      <c r="C1042" s="1019"/>
      <c r="D1042" s="1020"/>
      <c r="E1042" s="334">
        <f>+P851</f>
        <v>20.25</v>
      </c>
      <c r="F1042" s="222" t="s">
        <v>35</v>
      </c>
      <c r="G1042" s="424">
        <v>192</v>
      </c>
      <c r="H1042" s="351" t="s">
        <v>704</v>
      </c>
      <c r="I1042" s="365">
        <f>+R851</f>
        <v>1.28</v>
      </c>
      <c r="J1042" s="365">
        <f>+S851</f>
        <v>1.0095238095238095</v>
      </c>
      <c r="K1042" s="221">
        <f t="shared" si="14"/>
        <v>5024.0365714285717</v>
      </c>
      <c r="L1042" s="47" t="s">
        <v>699</v>
      </c>
      <c r="M1042" s="25"/>
      <c r="N1042" s="26"/>
      <c r="O1042" s="2"/>
      <c r="P1042" s="27"/>
      <c r="Q1042" s="26"/>
      <c r="T1042" s="28"/>
    </row>
    <row r="1043" spans="1:20" ht="30" customHeight="1" x14ac:dyDescent="0.45">
      <c r="A1043" s="47">
        <v>93410</v>
      </c>
      <c r="B1043" s="1018" t="s">
        <v>788</v>
      </c>
      <c r="C1043" s="1019"/>
      <c r="D1043" s="1020"/>
      <c r="E1043" s="383">
        <f>+P867</f>
        <v>11.04</v>
      </c>
      <c r="F1043" s="222" t="s">
        <v>29</v>
      </c>
      <c r="G1043" s="424">
        <v>523</v>
      </c>
      <c r="H1043" s="351" t="s">
        <v>710</v>
      </c>
      <c r="I1043" s="392">
        <f>+R867</f>
        <v>0.93771935922451721</v>
      </c>
      <c r="J1043" s="47"/>
      <c r="K1043" s="221">
        <f>+E1043*G1043*I1043</f>
        <v>5414.3165626136233</v>
      </c>
      <c r="L1043" s="47" t="s">
        <v>699</v>
      </c>
      <c r="M1043" s="25"/>
      <c r="N1043" s="26"/>
      <c r="O1043" s="2"/>
      <c r="P1043" s="27"/>
      <c r="Q1043" s="26"/>
      <c r="T1043" s="28"/>
    </row>
    <row r="1044" spans="1:20" ht="30" customHeight="1" x14ac:dyDescent="0.45">
      <c r="A1044" s="977" t="s">
        <v>712</v>
      </c>
      <c r="B1044" s="978"/>
      <c r="C1044" s="978"/>
      <c r="D1044" s="979"/>
      <c r="E1044" s="221"/>
      <c r="F1044" s="47"/>
      <c r="G1044" s="58"/>
      <c r="H1044" s="179"/>
      <c r="I1044" s="47"/>
      <c r="J1044" s="47" t="s">
        <v>360</v>
      </c>
      <c r="K1044" s="221">
        <f>SUM(K1034:K1043)</f>
        <v>820278.60935118492</v>
      </c>
      <c r="L1044" s="47" t="s">
        <v>699</v>
      </c>
      <c r="N1044" s="26"/>
      <c r="O1044" s="2"/>
      <c r="P1044" s="27"/>
      <c r="Q1044" s="26"/>
      <c r="T1044" s="28"/>
    </row>
    <row r="1045" spans="1:20" ht="30" customHeight="1" thickBot="1" x14ac:dyDescent="0.5">
      <c r="A1045" s="1352"/>
      <c r="B1045" s="1353"/>
      <c r="C1045" s="1353"/>
      <c r="D1045" s="1354"/>
      <c r="E1045" s="58"/>
      <c r="F1045" s="58"/>
      <c r="G1045" s="1032" t="s">
        <v>288</v>
      </c>
      <c r="H1045" s="1033"/>
      <c r="I1045" s="1034"/>
      <c r="J1045" s="213">
        <f>VLOOKUP(B1031,'[1]Mil Cost Premiums for PUCs'!$A$4:$R$278,18,FALSE)</f>
        <v>1.0485669999999998</v>
      </c>
      <c r="K1045" s="216">
        <f>+K1044*J1045</f>
        <v>860117.08057154377</v>
      </c>
      <c r="L1045" s="47" t="s">
        <v>699</v>
      </c>
      <c r="M1045" s="25"/>
      <c r="N1045" s="26"/>
      <c r="O1045" s="2"/>
      <c r="P1045" s="27"/>
      <c r="Q1045" s="26"/>
      <c r="T1045" s="28"/>
    </row>
    <row r="1046" spans="1:20" ht="30" customHeight="1" thickBot="1" x14ac:dyDescent="0.5">
      <c r="A1046" s="999"/>
      <c r="B1046" s="1000"/>
      <c r="C1046" s="1000"/>
      <c r="D1046" s="1000"/>
      <c r="E1046" s="1000"/>
      <c r="F1046" s="1000"/>
      <c r="G1046" s="1000"/>
      <c r="H1046" s="1000"/>
      <c r="I1046" s="1000"/>
      <c r="J1046" s="1000"/>
      <c r="K1046" s="1000"/>
      <c r="L1046" s="1001"/>
      <c r="M1046" s="25"/>
      <c r="N1046" s="26"/>
      <c r="O1046" s="2"/>
      <c r="P1046" s="27"/>
      <c r="Q1046" s="26"/>
      <c r="T1046" s="28"/>
    </row>
    <row r="1047" spans="1:20" ht="30" customHeight="1" x14ac:dyDescent="0.45">
      <c r="A1047" s="9" t="s">
        <v>4</v>
      </c>
      <c r="B1047" s="10">
        <v>1764</v>
      </c>
      <c r="C1047" s="983" t="s">
        <v>789</v>
      </c>
      <c r="D1047" s="984"/>
      <c r="E1047" s="13" t="s">
        <v>7</v>
      </c>
      <c r="F1047" s="192" t="s">
        <v>773</v>
      </c>
      <c r="G1047" s="467" t="s">
        <v>790</v>
      </c>
      <c r="H1047" s="370">
        <v>1</v>
      </c>
      <c r="I1047" s="13" t="s">
        <v>9</v>
      </c>
      <c r="J1047" s="1355" t="s">
        <v>701</v>
      </c>
      <c r="K1047" s="1355"/>
      <c r="L1047" s="1356"/>
      <c r="M1047" s="25"/>
      <c r="N1047" s="26"/>
      <c r="O1047" s="2"/>
      <c r="P1047" s="27"/>
      <c r="Q1047" s="26"/>
      <c r="T1047" s="28"/>
    </row>
    <row r="1048" spans="1:20" ht="30" customHeight="1" x14ac:dyDescent="0.45">
      <c r="A1048" s="19" t="s">
        <v>702</v>
      </c>
      <c r="B1048" s="987" t="s">
        <v>293</v>
      </c>
      <c r="C1048" s="988"/>
      <c r="D1048" s="989"/>
      <c r="E1048" s="220" t="s">
        <v>13</v>
      </c>
      <c r="F1048" s="220" t="s">
        <v>14</v>
      </c>
      <c r="G1048" s="990" t="s">
        <v>15</v>
      </c>
      <c r="H1048" s="991"/>
      <c r="I1048" s="19" t="s">
        <v>278</v>
      </c>
      <c r="J1048" s="277" t="s">
        <v>285</v>
      </c>
      <c r="K1048" s="992" t="s">
        <v>17</v>
      </c>
      <c r="L1048" s="993"/>
      <c r="M1048" s="25"/>
      <c r="N1048" s="26"/>
      <c r="O1048" s="2"/>
      <c r="P1048" s="27"/>
      <c r="Q1048" s="26"/>
      <c r="T1048" s="28"/>
    </row>
    <row r="1049" spans="1:20" ht="30" customHeight="1" x14ac:dyDescent="0.45">
      <c r="A1049" s="19"/>
      <c r="B1049" s="1008" t="s">
        <v>791</v>
      </c>
      <c r="C1049" s="1009"/>
      <c r="D1049" s="1010"/>
      <c r="E1049" s="220"/>
      <c r="F1049" s="220"/>
      <c r="G1049" s="98"/>
      <c r="H1049" s="99"/>
      <c r="I1049" s="466"/>
      <c r="J1049" s="460"/>
      <c r="K1049" s="220"/>
      <c r="L1049" s="220"/>
      <c r="M1049" s="25"/>
      <c r="N1049" s="26"/>
      <c r="O1049" s="2"/>
      <c r="P1049" s="27"/>
      <c r="Q1049" s="26"/>
      <c r="T1049" s="28"/>
    </row>
    <row r="1050" spans="1:20" ht="30" customHeight="1" x14ac:dyDescent="0.45">
      <c r="A1050" s="47" t="s">
        <v>646</v>
      </c>
      <c r="B1050" s="1092" t="s">
        <v>792</v>
      </c>
      <c r="C1050" s="1092"/>
      <c r="D1050" s="1092"/>
      <c r="E1050" s="383">
        <f>+P850</f>
        <v>14.375</v>
      </c>
      <c r="F1050" s="47" t="s">
        <v>35</v>
      </c>
      <c r="G1050" s="424">
        <f>12*468</f>
        <v>5616</v>
      </c>
      <c r="H1050" s="351" t="s">
        <v>775</v>
      </c>
      <c r="I1050" s="365">
        <f>+R850</f>
        <v>1.1100000000000001</v>
      </c>
      <c r="J1050" s="365">
        <f>+S850</f>
        <v>1.0095238095238095</v>
      </c>
      <c r="K1050" s="221">
        <f t="shared" ref="K1050:K1057" si="16">+E1050*G1050*I1050*J1050</f>
        <v>90463.731428571424</v>
      </c>
      <c r="L1050" s="47" t="s">
        <v>773</v>
      </c>
      <c r="M1050" s="25"/>
      <c r="N1050" s="26"/>
      <c r="O1050" s="2"/>
      <c r="P1050" s="27"/>
      <c r="Q1050" s="26"/>
      <c r="T1050" s="28"/>
    </row>
    <row r="1051" spans="1:20" ht="30" customHeight="1" x14ac:dyDescent="0.45">
      <c r="A1051" s="47" t="s">
        <v>484</v>
      </c>
      <c r="B1051" s="1092" t="s">
        <v>793</v>
      </c>
      <c r="C1051" s="1092"/>
      <c r="D1051" s="1092"/>
      <c r="E1051" s="383">
        <f>+P851</f>
        <v>20.25</v>
      </c>
      <c r="F1051" s="47" t="s">
        <v>35</v>
      </c>
      <c r="G1051" s="424">
        <f>3767*5</f>
        <v>18835</v>
      </c>
      <c r="H1051" s="351" t="s">
        <v>775</v>
      </c>
      <c r="I1051" s="365">
        <f>+R851</f>
        <v>1.28</v>
      </c>
      <c r="J1051" s="365">
        <f>+S851</f>
        <v>1.0095238095238095</v>
      </c>
      <c r="K1051" s="221">
        <f t="shared" si="16"/>
        <v>492852.7542857143</v>
      </c>
      <c r="L1051" s="47" t="s">
        <v>773</v>
      </c>
      <c r="M1051" s="25"/>
      <c r="N1051" s="26"/>
      <c r="O1051" s="2"/>
      <c r="P1051" s="27"/>
      <c r="Q1051" s="26"/>
      <c r="T1051" s="28"/>
    </row>
    <row r="1052" spans="1:20" ht="30" customHeight="1" x14ac:dyDescent="0.45">
      <c r="A1052" s="47" t="s">
        <v>282</v>
      </c>
      <c r="B1052" s="1092" t="s">
        <v>657</v>
      </c>
      <c r="C1052" s="1092"/>
      <c r="D1052" s="1092"/>
      <c r="E1052" s="383">
        <f>+P854</f>
        <v>920</v>
      </c>
      <c r="F1052" s="222" t="s">
        <v>88</v>
      </c>
      <c r="G1052" s="424">
        <v>17</v>
      </c>
      <c r="H1052" s="351" t="s">
        <v>794</v>
      </c>
      <c r="I1052" s="365">
        <f>+R854</f>
        <v>1.32</v>
      </c>
      <c r="J1052" s="365">
        <f>+S854</f>
        <v>1.0095238095238095</v>
      </c>
      <c r="K1052" s="221">
        <f t="shared" si="16"/>
        <v>20841.417142857143</v>
      </c>
      <c r="L1052" s="47" t="s">
        <v>773</v>
      </c>
      <c r="M1052" s="25"/>
      <c r="N1052" s="26"/>
      <c r="O1052" s="2"/>
      <c r="P1052" s="27"/>
      <c r="Q1052" s="26"/>
      <c r="T1052" s="28"/>
    </row>
    <row r="1053" spans="1:20" ht="30" customHeight="1" x14ac:dyDescent="0.45">
      <c r="A1053" s="47" t="s">
        <v>470</v>
      </c>
      <c r="B1053" s="1092" t="s">
        <v>795</v>
      </c>
      <c r="C1053" s="1092"/>
      <c r="D1053" s="1092"/>
      <c r="E1053" s="383">
        <f>+P860</f>
        <v>21.1</v>
      </c>
      <c r="F1053" s="222" t="s">
        <v>113</v>
      </c>
      <c r="G1053" s="424">
        <f>1148*5</f>
        <v>5740</v>
      </c>
      <c r="H1053" s="351" t="s">
        <v>796</v>
      </c>
      <c r="I1053" s="365">
        <f>+R860</f>
        <v>1.26</v>
      </c>
      <c r="J1053" s="365">
        <f>+S860</f>
        <v>1.0095238095238095</v>
      </c>
      <c r="K1053" s="221">
        <f t="shared" si="16"/>
        <v>154057.008</v>
      </c>
      <c r="L1053" s="47" t="s">
        <v>773</v>
      </c>
      <c r="M1053" s="25"/>
      <c r="N1053" s="26"/>
      <c r="O1053" s="2"/>
      <c r="P1053" s="27"/>
      <c r="Q1053" s="26"/>
      <c r="T1053" s="28"/>
    </row>
    <row r="1054" spans="1:20" ht="30" customHeight="1" x14ac:dyDescent="0.45">
      <c r="A1054" s="47" t="s">
        <v>470</v>
      </c>
      <c r="B1054" s="1092" t="s">
        <v>784</v>
      </c>
      <c r="C1054" s="1092"/>
      <c r="D1054" s="1092"/>
      <c r="E1054" s="383">
        <f>+P861</f>
        <v>3352.5</v>
      </c>
      <c r="F1054" s="222" t="s">
        <v>88</v>
      </c>
      <c r="G1054" s="424">
        <v>5</v>
      </c>
      <c r="H1054" s="351" t="s">
        <v>794</v>
      </c>
      <c r="I1054" s="365">
        <f>+R861</f>
        <v>1.26</v>
      </c>
      <c r="J1054" s="365">
        <f>+S861</f>
        <v>1.0095238095238095</v>
      </c>
      <c r="K1054" s="221">
        <f t="shared" si="16"/>
        <v>21321.899999999998</v>
      </c>
      <c r="L1054" s="47" t="s">
        <v>773</v>
      </c>
      <c r="M1054" s="25"/>
      <c r="N1054" s="26"/>
      <c r="O1054" s="2"/>
      <c r="P1054" s="27"/>
      <c r="Q1054" s="26"/>
      <c r="T1054" s="28"/>
    </row>
    <row r="1055" spans="1:20" ht="30" customHeight="1" x14ac:dyDescent="0.45">
      <c r="A1055" s="47" t="s">
        <v>282</v>
      </c>
      <c r="B1055" s="1092" t="s">
        <v>759</v>
      </c>
      <c r="C1055" s="1092"/>
      <c r="D1055" s="1092"/>
      <c r="E1055" s="383">
        <f>+P856</f>
        <v>1125</v>
      </c>
      <c r="F1055" s="222" t="s">
        <v>88</v>
      </c>
      <c r="G1055" s="424">
        <v>17</v>
      </c>
      <c r="H1055" s="351" t="s">
        <v>794</v>
      </c>
      <c r="I1055" s="365">
        <f t="shared" ref="I1055:J1057" si="17">+R856</f>
        <v>1.32</v>
      </c>
      <c r="J1055" s="365">
        <f t="shared" si="17"/>
        <v>1.0095238095238095</v>
      </c>
      <c r="K1055" s="221">
        <f t="shared" si="16"/>
        <v>25485.428571428569</v>
      </c>
      <c r="L1055" s="47" t="s">
        <v>773</v>
      </c>
      <c r="M1055" s="25"/>
      <c r="N1055" s="26"/>
      <c r="O1055" s="2"/>
      <c r="P1055" s="27"/>
      <c r="Q1055" s="26"/>
      <c r="T1055" s="28"/>
    </row>
    <row r="1056" spans="1:20" ht="30" customHeight="1" x14ac:dyDescent="0.45">
      <c r="A1056" s="47" t="s">
        <v>662</v>
      </c>
      <c r="B1056" s="1092" t="s">
        <v>785</v>
      </c>
      <c r="C1056" s="1092"/>
      <c r="D1056" s="1092"/>
      <c r="E1056" s="383">
        <f>+P857</f>
        <v>157.58000000000001</v>
      </c>
      <c r="F1056" s="222" t="s">
        <v>88</v>
      </c>
      <c r="G1056" s="424">
        <v>80</v>
      </c>
      <c r="H1056" s="351" t="s">
        <v>794</v>
      </c>
      <c r="I1056" s="365">
        <f t="shared" si="17"/>
        <v>1.32</v>
      </c>
      <c r="J1056" s="365">
        <f t="shared" si="17"/>
        <v>1.0095238095238095</v>
      </c>
      <c r="K1056" s="221">
        <f t="shared" si="16"/>
        <v>16798.928457142862</v>
      </c>
      <c r="L1056" s="47" t="s">
        <v>773</v>
      </c>
      <c r="M1056" s="25"/>
      <c r="N1056" s="26"/>
      <c r="O1056" s="2"/>
      <c r="P1056" s="27"/>
      <c r="Q1056" s="26"/>
      <c r="T1056" s="28"/>
    </row>
    <row r="1057" spans="1:20" ht="30" customHeight="1" x14ac:dyDescent="0.45">
      <c r="A1057" s="47" t="s">
        <v>665</v>
      </c>
      <c r="B1057" s="1092" t="s">
        <v>797</v>
      </c>
      <c r="C1057" s="1092"/>
      <c r="D1057" s="1092"/>
      <c r="E1057" s="383">
        <f>+P858</f>
        <v>19.62</v>
      </c>
      <c r="F1057" s="222" t="s">
        <v>113</v>
      </c>
      <c r="G1057" s="424">
        <f>6761*17</f>
        <v>114937</v>
      </c>
      <c r="H1057" s="351" t="s">
        <v>796</v>
      </c>
      <c r="I1057" s="365">
        <f t="shared" si="17"/>
        <v>1.32</v>
      </c>
      <c r="J1057" s="365">
        <f t="shared" si="17"/>
        <v>1.0095238095238095</v>
      </c>
      <c r="K1057" s="221">
        <f t="shared" si="16"/>
        <v>3005033.776045714</v>
      </c>
      <c r="L1057" s="47" t="s">
        <v>773</v>
      </c>
      <c r="M1057" s="25"/>
      <c r="N1057" s="26"/>
      <c r="O1057" s="2"/>
      <c r="P1057" s="27"/>
      <c r="Q1057" s="26"/>
      <c r="T1057" s="28"/>
    </row>
    <row r="1058" spans="1:20" ht="30" customHeight="1" x14ac:dyDescent="0.45">
      <c r="A1058" s="47">
        <v>93410</v>
      </c>
      <c r="B1058" s="1018" t="s">
        <v>798</v>
      </c>
      <c r="C1058" s="1019"/>
      <c r="D1058" s="1020"/>
      <c r="E1058" s="334">
        <f>+P868</f>
        <v>2.78</v>
      </c>
      <c r="F1058" s="222" t="s">
        <v>8</v>
      </c>
      <c r="G1058" s="424">
        <v>11525</v>
      </c>
      <c r="H1058" s="351" t="s">
        <v>799</v>
      </c>
      <c r="I1058" s="392">
        <f>+R868</f>
        <v>0.93771935922451721</v>
      </c>
      <c r="J1058" s="365"/>
      <c r="K1058" s="221">
        <f>+E1058*G1058*I1058</f>
        <v>30044.059409873917</v>
      </c>
      <c r="L1058" s="47" t="s">
        <v>773</v>
      </c>
      <c r="M1058" s="25"/>
      <c r="N1058" s="437"/>
      <c r="O1058" s="2"/>
      <c r="P1058" s="27"/>
      <c r="Q1058" s="26"/>
      <c r="T1058" s="28"/>
    </row>
    <row r="1059" spans="1:20" ht="30" customHeight="1" x14ac:dyDescent="0.45">
      <c r="A1059" s="47" t="s">
        <v>646</v>
      </c>
      <c r="B1059" s="1018" t="s">
        <v>800</v>
      </c>
      <c r="C1059" s="1019"/>
      <c r="D1059" s="1020"/>
      <c r="E1059" s="383">
        <f>+P850</f>
        <v>14.375</v>
      </c>
      <c r="F1059" s="47" t="s">
        <v>35</v>
      </c>
      <c r="G1059" s="424">
        <f>481*6</f>
        <v>2886</v>
      </c>
      <c r="H1059" s="351" t="s">
        <v>775</v>
      </c>
      <c r="I1059" s="365">
        <f>+R850</f>
        <v>1.1100000000000001</v>
      </c>
      <c r="J1059" s="365">
        <f>+S850</f>
        <v>1.0095238095238095</v>
      </c>
      <c r="K1059" s="221">
        <f>+E1059*G1059*I1059*J1059</f>
        <v>46488.306428571428</v>
      </c>
      <c r="L1059" s="47" t="s">
        <v>773</v>
      </c>
      <c r="M1059" s="25"/>
      <c r="N1059" s="437"/>
      <c r="O1059" s="2"/>
      <c r="P1059" s="27"/>
      <c r="Q1059" s="26"/>
      <c r="T1059" s="28"/>
    </row>
    <row r="1060" spans="1:20" ht="30" customHeight="1" x14ac:dyDescent="0.45">
      <c r="A1060" s="47">
        <v>93410</v>
      </c>
      <c r="B1060" s="1018" t="s">
        <v>801</v>
      </c>
      <c r="C1060" s="1019"/>
      <c r="D1060" s="1020"/>
      <c r="E1060" s="383">
        <f>+P867</f>
        <v>11.04</v>
      </c>
      <c r="F1060" s="222" t="s">
        <v>29</v>
      </c>
      <c r="G1060" s="424">
        <v>4709</v>
      </c>
      <c r="H1060" s="351" t="s">
        <v>777</v>
      </c>
      <c r="I1060" s="392">
        <f>+R867</f>
        <v>0.93771935922451721</v>
      </c>
      <c r="J1060" s="47"/>
      <c r="K1060" s="221">
        <f>+E1060*G1060*I1060</f>
        <v>48749.553906974288</v>
      </c>
      <c r="L1060" s="47" t="s">
        <v>773</v>
      </c>
      <c r="M1060" s="25"/>
      <c r="N1060" s="26"/>
      <c r="O1060" s="2"/>
      <c r="P1060" s="27"/>
      <c r="Q1060" s="26"/>
      <c r="T1060" s="28"/>
    </row>
    <row r="1061" spans="1:20" ht="30" customHeight="1" x14ac:dyDescent="0.45">
      <c r="A1061" s="47">
        <v>93210</v>
      </c>
      <c r="B1061" s="1018" t="s">
        <v>802</v>
      </c>
      <c r="C1061" s="1019"/>
      <c r="D1061" s="1020"/>
      <c r="E1061" s="383">
        <f>+P869</f>
        <v>89.16</v>
      </c>
      <c r="F1061" s="222" t="s">
        <v>29</v>
      </c>
      <c r="G1061" s="424">
        <v>1063</v>
      </c>
      <c r="H1061" s="351" t="s">
        <v>777</v>
      </c>
      <c r="I1061" s="392">
        <f>+R869</f>
        <v>0.93771935922451721</v>
      </c>
      <c r="J1061" s="47"/>
      <c r="K1061" s="221">
        <f>+E1061*G1061*I1061</f>
        <v>88874.302726770809</v>
      </c>
      <c r="L1061" s="47" t="s">
        <v>773</v>
      </c>
      <c r="M1061" s="25"/>
      <c r="N1061" s="26"/>
      <c r="O1061" s="2"/>
      <c r="P1061" s="27"/>
      <c r="Q1061" s="26"/>
      <c r="T1061" s="28"/>
    </row>
    <row r="1062" spans="1:20" ht="30" customHeight="1" x14ac:dyDescent="0.45">
      <c r="A1062" s="977" t="s">
        <v>712</v>
      </c>
      <c r="B1062" s="978"/>
      <c r="C1062" s="978"/>
      <c r="D1062" s="979"/>
      <c r="E1062" s="221"/>
      <c r="F1062" s="47"/>
      <c r="G1062" s="58"/>
      <c r="H1062" s="179"/>
      <c r="I1062" s="47"/>
      <c r="J1062" s="47" t="s">
        <v>360</v>
      </c>
      <c r="K1062" s="221">
        <f>SUM(K1050:K1061)</f>
        <v>4041011.1664036186</v>
      </c>
      <c r="L1062" s="47" t="s">
        <v>773</v>
      </c>
      <c r="M1062" s="25"/>
      <c r="N1062" s="26"/>
      <c r="O1062" s="2"/>
      <c r="P1062" s="27"/>
      <c r="Q1062" s="26"/>
      <c r="T1062" s="28"/>
    </row>
    <row r="1063" spans="1:20" ht="30" customHeight="1" thickBot="1" x14ac:dyDescent="0.5">
      <c r="A1063" s="1352"/>
      <c r="B1063" s="1353"/>
      <c r="C1063" s="1353"/>
      <c r="D1063" s="1354"/>
      <c r="E1063" s="58"/>
      <c r="F1063" s="58"/>
      <c r="G1063" s="1032" t="s">
        <v>288</v>
      </c>
      <c r="H1063" s="1033"/>
      <c r="I1063" s="1034"/>
      <c r="J1063" s="213">
        <f>VLOOKUP(B1047,'[1]Mil Cost Premiums for PUCs'!$A$4:$R$278,18,FALSE)</f>
        <v>1.0485669999999998</v>
      </c>
      <c r="K1063" s="216">
        <f>+K1062*J1063</f>
        <v>4237270.9557223422</v>
      </c>
      <c r="L1063" s="47" t="s">
        <v>773</v>
      </c>
      <c r="M1063" s="25"/>
      <c r="N1063" s="26"/>
      <c r="O1063" s="2"/>
      <c r="P1063" s="27"/>
      <c r="Q1063" s="26"/>
      <c r="T1063" s="28"/>
    </row>
    <row r="1064" spans="1:20" ht="30" customHeight="1" thickBot="1" x14ac:dyDescent="0.5">
      <c r="A1064" s="999"/>
      <c r="B1064" s="1000"/>
      <c r="C1064" s="1000"/>
      <c r="D1064" s="1000"/>
      <c r="E1064" s="1000"/>
      <c r="F1064" s="1000"/>
      <c r="G1064" s="1000"/>
      <c r="H1064" s="1000"/>
      <c r="I1064" s="1000"/>
      <c r="J1064" s="1000"/>
      <c r="K1064" s="1000"/>
      <c r="L1064" s="1001"/>
      <c r="M1064" s="25"/>
      <c r="N1064" s="26"/>
      <c r="O1064" s="2"/>
      <c r="P1064" s="27"/>
      <c r="Q1064" s="26"/>
      <c r="T1064" s="28"/>
    </row>
    <row r="1065" spans="1:20" ht="30" customHeight="1" x14ac:dyDescent="0.45">
      <c r="A1065" s="9" t="s">
        <v>4</v>
      </c>
      <c r="B1065" s="10">
        <v>1765</v>
      </c>
      <c r="C1065" s="983" t="s">
        <v>803</v>
      </c>
      <c r="D1065" s="984"/>
      <c r="E1065" s="13" t="s">
        <v>7</v>
      </c>
      <c r="F1065" s="14" t="s">
        <v>88</v>
      </c>
      <c r="G1065" s="15" t="s">
        <v>148</v>
      </c>
      <c r="H1065" s="370">
        <v>1</v>
      </c>
      <c r="I1065" s="13" t="s">
        <v>9</v>
      </c>
      <c r="J1065" s="1355" t="s">
        <v>701</v>
      </c>
      <c r="K1065" s="1355"/>
      <c r="L1065" s="1356"/>
      <c r="M1065" s="25"/>
      <c r="N1065" s="26"/>
      <c r="O1065" s="2"/>
      <c r="P1065" s="27"/>
      <c r="Q1065" s="26"/>
      <c r="T1065" s="28"/>
    </row>
    <row r="1066" spans="1:20" ht="30" customHeight="1" x14ac:dyDescent="0.45">
      <c r="A1066" s="19" t="s">
        <v>702</v>
      </c>
      <c r="B1066" s="987" t="s">
        <v>293</v>
      </c>
      <c r="C1066" s="988"/>
      <c r="D1066" s="989"/>
      <c r="E1066" s="220" t="s">
        <v>13</v>
      </c>
      <c r="F1066" s="220" t="s">
        <v>14</v>
      </c>
      <c r="G1066" s="990" t="s">
        <v>15</v>
      </c>
      <c r="H1066" s="991"/>
      <c r="I1066" s="19" t="s">
        <v>278</v>
      </c>
      <c r="J1066" s="19" t="s">
        <v>285</v>
      </c>
      <c r="K1066" s="992" t="s">
        <v>17</v>
      </c>
      <c r="L1066" s="993"/>
      <c r="N1066" s="26"/>
      <c r="O1066" s="2"/>
      <c r="P1066" s="27"/>
      <c r="Q1066" s="26"/>
      <c r="T1066" s="28"/>
    </row>
    <row r="1067" spans="1:20" ht="30" customHeight="1" x14ac:dyDescent="0.45">
      <c r="A1067" s="19"/>
      <c r="B1067" s="1008" t="s">
        <v>804</v>
      </c>
      <c r="C1067" s="1009"/>
      <c r="D1067" s="1010"/>
      <c r="E1067" s="220"/>
      <c r="F1067" s="220"/>
      <c r="G1067" s="98"/>
      <c r="H1067" s="99"/>
      <c r="I1067" s="466"/>
      <c r="J1067" s="466"/>
      <c r="K1067" s="220"/>
      <c r="L1067" s="220"/>
      <c r="M1067" s="25"/>
      <c r="N1067" s="26"/>
      <c r="O1067" s="2"/>
      <c r="P1067" s="27"/>
      <c r="Q1067" s="26"/>
      <c r="T1067" s="28"/>
    </row>
    <row r="1068" spans="1:20" ht="30" customHeight="1" x14ac:dyDescent="0.45">
      <c r="A1068" s="47" t="s">
        <v>646</v>
      </c>
      <c r="B1068" s="1018" t="s">
        <v>805</v>
      </c>
      <c r="C1068" s="1019"/>
      <c r="D1068" s="1020"/>
      <c r="E1068" s="383">
        <f>+P850</f>
        <v>14.375</v>
      </c>
      <c r="F1068" s="47" t="s">
        <v>35</v>
      </c>
      <c r="G1068" s="424">
        <f>6*468</f>
        <v>2808</v>
      </c>
      <c r="H1068" s="351" t="s">
        <v>806</v>
      </c>
      <c r="I1068" s="365">
        <f>+R850</f>
        <v>1.1100000000000001</v>
      </c>
      <c r="J1068" s="365">
        <f>+S850</f>
        <v>1.0095238095238095</v>
      </c>
      <c r="K1068" s="221">
        <f>+E1068*G1068*I1068*J1068</f>
        <v>45231.865714285712</v>
      </c>
      <c r="L1068" s="47" t="s">
        <v>88</v>
      </c>
      <c r="M1068" s="25"/>
      <c r="N1068" s="26"/>
      <c r="O1068" s="2"/>
      <c r="P1068" s="27"/>
      <c r="Q1068" s="26"/>
      <c r="T1068" s="28"/>
    </row>
    <row r="1069" spans="1:20" ht="30" customHeight="1" x14ac:dyDescent="0.45">
      <c r="A1069" s="47" t="s">
        <v>282</v>
      </c>
      <c r="B1069" s="1018" t="s">
        <v>657</v>
      </c>
      <c r="C1069" s="1019"/>
      <c r="D1069" s="1020"/>
      <c r="E1069" s="383">
        <f>+P854</f>
        <v>920</v>
      </c>
      <c r="F1069" s="222" t="s">
        <v>88</v>
      </c>
      <c r="G1069" s="424">
        <v>6</v>
      </c>
      <c r="H1069" s="351" t="s">
        <v>807</v>
      </c>
      <c r="I1069" s="365">
        <f>+R854</f>
        <v>1.32</v>
      </c>
      <c r="J1069" s="365">
        <f>+S854</f>
        <v>1.0095238095238095</v>
      </c>
      <c r="K1069" s="221">
        <f>+E1069*G1069*I1069*J1069</f>
        <v>7355.7942857142862</v>
      </c>
      <c r="L1069" s="47" t="s">
        <v>88</v>
      </c>
      <c r="M1069" s="25"/>
      <c r="N1069" s="26"/>
      <c r="O1069" s="2"/>
      <c r="P1069" s="27"/>
      <c r="Q1069" s="26"/>
      <c r="T1069" s="28"/>
    </row>
    <row r="1070" spans="1:20" ht="30" customHeight="1" x14ac:dyDescent="0.45">
      <c r="A1070" s="47" t="s">
        <v>282</v>
      </c>
      <c r="B1070" s="1018" t="s">
        <v>759</v>
      </c>
      <c r="C1070" s="1019"/>
      <c r="D1070" s="1020"/>
      <c r="E1070" s="383">
        <f>+P856</f>
        <v>1125</v>
      </c>
      <c r="F1070" s="222" t="s">
        <v>88</v>
      </c>
      <c r="G1070" s="424">
        <v>6</v>
      </c>
      <c r="H1070" s="351" t="s">
        <v>807</v>
      </c>
      <c r="I1070" s="365">
        <f t="shared" ref="I1070:J1072" si="18">+R856</f>
        <v>1.32</v>
      </c>
      <c r="J1070" s="365">
        <f t="shared" si="18"/>
        <v>1.0095238095238095</v>
      </c>
      <c r="K1070" s="221">
        <f>+E1070*G1070*I1070*J1070</f>
        <v>8994.8571428571431</v>
      </c>
      <c r="L1070" s="47" t="s">
        <v>88</v>
      </c>
      <c r="M1070" s="25"/>
      <c r="N1070" s="26"/>
      <c r="O1070" s="2"/>
      <c r="P1070" s="27"/>
      <c r="Q1070" s="26"/>
      <c r="T1070" s="28"/>
    </row>
    <row r="1071" spans="1:20" ht="30" customHeight="1" x14ac:dyDescent="0.45">
      <c r="A1071" s="47" t="s">
        <v>662</v>
      </c>
      <c r="B1071" s="1092" t="s">
        <v>808</v>
      </c>
      <c r="C1071" s="1092"/>
      <c r="D1071" s="1092"/>
      <c r="E1071" s="383">
        <f>+P857</f>
        <v>157.58000000000001</v>
      </c>
      <c r="F1071" s="222" t="s">
        <v>88</v>
      </c>
      <c r="G1071" s="424">
        <f>18*5</f>
        <v>90</v>
      </c>
      <c r="H1071" s="351" t="s">
        <v>807</v>
      </c>
      <c r="I1071" s="365">
        <f t="shared" si="18"/>
        <v>1.32</v>
      </c>
      <c r="J1071" s="365">
        <f t="shared" si="18"/>
        <v>1.0095238095238095</v>
      </c>
      <c r="K1071" s="221">
        <f>+E1071*G1071*I1071*J1071</f>
        <v>18898.794514285713</v>
      </c>
      <c r="L1071" s="47" t="s">
        <v>88</v>
      </c>
      <c r="M1071" s="25"/>
      <c r="N1071" s="26"/>
      <c r="O1071" s="2"/>
      <c r="P1071" s="27"/>
      <c r="Q1071" s="26"/>
      <c r="T1071" s="28"/>
    </row>
    <row r="1072" spans="1:20" ht="30" customHeight="1" x14ac:dyDescent="0.45">
      <c r="A1072" s="47" t="s">
        <v>665</v>
      </c>
      <c r="B1072" s="1018" t="s">
        <v>809</v>
      </c>
      <c r="C1072" s="1019"/>
      <c r="D1072" s="1020"/>
      <c r="E1072" s="383">
        <f>+P858</f>
        <v>19.62</v>
      </c>
      <c r="F1072" s="222" t="s">
        <v>113</v>
      </c>
      <c r="G1072" s="424">
        <f>2560*18</f>
        <v>46080</v>
      </c>
      <c r="H1072" s="351" t="s">
        <v>810</v>
      </c>
      <c r="I1072" s="365">
        <f t="shared" si="18"/>
        <v>1.32</v>
      </c>
      <c r="J1072" s="365">
        <f t="shared" si="18"/>
        <v>1.0095238095238095</v>
      </c>
      <c r="K1072" s="221">
        <f>+E1072*G1072*I1072*J1072</f>
        <v>1204763.9698285714</v>
      </c>
      <c r="L1072" s="47" t="s">
        <v>88</v>
      </c>
      <c r="M1072" s="25"/>
      <c r="N1072" s="26"/>
      <c r="O1072" s="2"/>
      <c r="P1072" s="27"/>
      <c r="Q1072" s="26"/>
      <c r="T1072" s="28"/>
    </row>
    <row r="1073" spans="1:20" ht="30" customHeight="1" x14ac:dyDescent="0.45">
      <c r="A1073" s="47">
        <v>93410</v>
      </c>
      <c r="B1073" s="1018" t="s">
        <v>798</v>
      </c>
      <c r="C1073" s="1019"/>
      <c r="D1073" s="1020"/>
      <c r="E1073" s="334">
        <f>+P868</f>
        <v>2.78</v>
      </c>
      <c r="F1073" s="222" t="s">
        <v>8</v>
      </c>
      <c r="G1073" s="424">
        <v>11525</v>
      </c>
      <c r="H1073" s="351" t="s">
        <v>811</v>
      </c>
      <c r="I1073" s="392">
        <f>+R868</f>
        <v>0.93771935922451721</v>
      </c>
      <c r="J1073" s="365"/>
      <c r="K1073" s="221">
        <f>+E1073*G1073*I1073</f>
        <v>30044.059409873917</v>
      </c>
      <c r="L1073" s="47" t="s">
        <v>88</v>
      </c>
      <c r="M1073" s="25"/>
      <c r="N1073" s="26"/>
      <c r="O1073" s="2"/>
      <c r="P1073" s="27"/>
      <c r="Q1073" s="26"/>
      <c r="T1073" s="28"/>
    </row>
    <row r="1074" spans="1:20" ht="30" customHeight="1" x14ac:dyDescent="0.45">
      <c r="A1074" s="47" t="s">
        <v>646</v>
      </c>
      <c r="B1074" s="1018" t="s">
        <v>812</v>
      </c>
      <c r="C1074" s="1019"/>
      <c r="D1074" s="1020"/>
      <c r="E1074" s="383">
        <f>+P850</f>
        <v>14.375</v>
      </c>
      <c r="F1074" s="47" t="s">
        <v>35</v>
      </c>
      <c r="G1074" s="424">
        <f>481*6</f>
        <v>2886</v>
      </c>
      <c r="H1074" s="351" t="s">
        <v>806</v>
      </c>
      <c r="I1074" s="365">
        <f>+R850</f>
        <v>1.1100000000000001</v>
      </c>
      <c r="J1074" s="365">
        <f>+S850</f>
        <v>1.0095238095238095</v>
      </c>
      <c r="K1074" s="221">
        <f>+E1074*G1074*I1074*J1074</f>
        <v>46488.306428571428</v>
      </c>
      <c r="L1074" s="47" t="s">
        <v>88</v>
      </c>
      <c r="M1074" s="25"/>
      <c r="N1074" s="26"/>
      <c r="O1074" s="2"/>
      <c r="P1074" s="27"/>
      <c r="Q1074" s="26"/>
      <c r="T1074" s="28"/>
    </row>
    <row r="1075" spans="1:20" ht="30" customHeight="1" x14ac:dyDescent="0.45">
      <c r="A1075" s="47">
        <v>93410</v>
      </c>
      <c r="B1075" s="1018" t="s">
        <v>813</v>
      </c>
      <c r="C1075" s="1019"/>
      <c r="D1075" s="1020"/>
      <c r="E1075" s="383">
        <f>+P867</f>
        <v>11.04</v>
      </c>
      <c r="F1075" s="222" t="s">
        <v>29</v>
      </c>
      <c r="G1075" s="424">
        <v>279</v>
      </c>
      <c r="H1075" s="351" t="s">
        <v>814</v>
      </c>
      <c r="I1075" s="392">
        <f>+R867</f>
        <v>0.93771935922451721</v>
      </c>
      <c r="J1075" s="47"/>
      <c r="K1075" s="221">
        <f>+E1075*G1075*I1075</f>
        <v>2888.325661508989</v>
      </c>
      <c r="L1075" s="47" t="s">
        <v>88</v>
      </c>
      <c r="M1075" s="25"/>
      <c r="N1075" s="26"/>
      <c r="O1075" s="2"/>
      <c r="P1075" s="27"/>
      <c r="Q1075" s="26"/>
      <c r="T1075" s="28"/>
    </row>
    <row r="1076" spans="1:20" ht="30" customHeight="1" x14ac:dyDescent="0.45">
      <c r="A1076" s="47">
        <v>93210</v>
      </c>
      <c r="B1076" s="1018" t="s">
        <v>815</v>
      </c>
      <c r="C1076" s="1019"/>
      <c r="D1076" s="1020"/>
      <c r="E1076" s="383">
        <f>+P869</f>
        <v>89.16</v>
      </c>
      <c r="F1076" s="222" t="s">
        <v>29</v>
      </c>
      <c r="G1076" s="424">
        <v>215</v>
      </c>
      <c r="H1076" s="351" t="s">
        <v>814</v>
      </c>
      <c r="I1076" s="392">
        <f>+R869</f>
        <v>0.93771935922451721</v>
      </c>
      <c r="J1076" s="47"/>
      <c r="K1076" s="221">
        <f>+E1076*G1076*I1076</f>
        <v>17975.517484718457</v>
      </c>
      <c r="L1076" s="47" t="s">
        <v>88</v>
      </c>
      <c r="M1076" s="25"/>
      <c r="N1076" s="26"/>
      <c r="O1076" s="2"/>
      <c r="P1076" s="27"/>
      <c r="Q1076" s="26"/>
      <c r="T1076" s="28"/>
    </row>
    <row r="1077" spans="1:20" ht="30" customHeight="1" x14ac:dyDescent="0.45">
      <c r="A1077" s="977" t="s">
        <v>712</v>
      </c>
      <c r="B1077" s="978"/>
      <c r="C1077" s="978"/>
      <c r="D1077" s="979"/>
      <c r="E1077" s="221"/>
      <c r="F1077" s="47"/>
      <c r="G1077" s="58"/>
      <c r="H1077" s="179"/>
      <c r="I1077" s="47"/>
      <c r="J1077" s="47" t="s">
        <v>360</v>
      </c>
      <c r="K1077" s="221">
        <f>SUM(K1068:K1076)</f>
        <v>1382641.4904703873</v>
      </c>
      <c r="L1077" s="47" t="s">
        <v>88</v>
      </c>
      <c r="N1077" s="26"/>
      <c r="O1077" s="2"/>
      <c r="P1077" s="27"/>
      <c r="Q1077" s="26"/>
      <c r="T1077" s="28"/>
    </row>
    <row r="1078" spans="1:20" ht="30" customHeight="1" thickBot="1" x14ac:dyDescent="0.5">
      <c r="A1078" s="1352"/>
      <c r="B1078" s="1353"/>
      <c r="C1078" s="1353"/>
      <c r="D1078" s="1354"/>
      <c r="E1078" s="58"/>
      <c r="F1078" s="58"/>
      <c r="G1078" s="1032" t="s">
        <v>288</v>
      </c>
      <c r="H1078" s="1033"/>
      <c r="I1078" s="1034"/>
      <c r="J1078" s="213">
        <f>VLOOKUP(B1065,'[1]Mil Cost Premiums for PUCs'!$A$4:$R$278,18,FALSE)</f>
        <v>1.0485669999999998</v>
      </c>
      <c r="K1078" s="216">
        <f>+K1077*J1078</f>
        <v>1449792.2397380623</v>
      </c>
      <c r="L1078" s="47" t="s">
        <v>88</v>
      </c>
      <c r="M1078" s="25"/>
      <c r="O1078" s="2"/>
      <c r="P1078" s="27"/>
      <c r="Q1078" s="26"/>
      <c r="T1078" s="28"/>
    </row>
    <row r="1079" spans="1:20" ht="30" customHeight="1" thickBot="1" x14ac:dyDescent="0.5">
      <c r="A1079" s="999"/>
      <c r="B1079" s="1000"/>
      <c r="C1079" s="1000"/>
      <c r="D1079" s="1000"/>
      <c r="E1079" s="1000"/>
      <c r="F1079" s="1000"/>
      <c r="G1079" s="1000"/>
      <c r="H1079" s="1000"/>
      <c r="I1079" s="1000"/>
      <c r="J1079" s="1000"/>
      <c r="K1079" s="1000"/>
      <c r="L1079" s="1001"/>
      <c r="M1079" s="25"/>
      <c r="N1079" s="26"/>
      <c r="O1079" s="2"/>
      <c r="P1079" s="27"/>
      <c r="Q1079" s="26"/>
      <c r="T1079" s="28"/>
    </row>
    <row r="1080" spans="1:20" ht="30" customHeight="1" x14ac:dyDescent="0.45">
      <c r="A1080" s="9" t="s">
        <v>4</v>
      </c>
      <c r="B1080" s="10">
        <v>1766</v>
      </c>
      <c r="C1080" s="983" t="s">
        <v>816</v>
      </c>
      <c r="D1080" s="984"/>
      <c r="E1080" s="13" t="s">
        <v>7</v>
      </c>
      <c r="F1080" s="14" t="s">
        <v>88</v>
      </c>
      <c r="G1080" s="467" t="s">
        <v>817</v>
      </c>
      <c r="H1080" s="370">
        <v>1</v>
      </c>
      <c r="I1080" s="13" t="s">
        <v>9</v>
      </c>
      <c r="J1080" s="1355" t="s">
        <v>701</v>
      </c>
      <c r="K1080" s="1355"/>
      <c r="L1080" s="1356"/>
      <c r="M1080" s="25"/>
      <c r="N1080" s="26"/>
      <c r="O1080" s="2"/>
      <c r="P1080" s="27"/>
      <c r="Q1080" s="26"/>
      <c r="T1080" s="28"/>
    </row>
    <row r="1081" spans="1:20" ht="30" customHeight="1" x14ac:dyDescent="0.45">
      <c r="A1081" s="19" t="s">
        <v>702</v>
      </c>
      <c r="B1081" s="987" t="s">
        <v>293</v>
      </c>
      <c r="C1081" s="988"/>
      <c r="D1081" s="989"/>
      <c r="E1081" s="220" t="s">
        <v>13</v>
      </c>
      <c r="F1081" s="220" t="s">
        <v>14</v>
      </c>
      <c r="G1081" s="990" t="s">
        <v>15</v>
      </c>
      <c r="H1081" s="991"/>
      <c r="I1081" s="19" t="s">
        <v>278</v>
      </c>
      <c r="J1081" s="277" t="s">
        <v>285</v>
      </c>
      <c r="K1081" s="992" t="s">
        <v>17</v>
      </c>
      <c r="L1081" s="993"/>
      <c r="M1081" s="25"/>
      <c r="N1081" s="26"/>
      <c r="O1081" s="2"/>
      <c r="P1081" s="27"/>
      <c r="Q1081" s="26"/>
      <c r="T1081" s="28"/>
    </row>
    <row r="1082" spans="1:20" ht="30" customHeight="1" x14ac:dyDescent="0.45">
      <c r="A1082" s="19"/>
      <c r="B1082" s="1008" t="s">
        <v>818</v>
      </c>
      <c r="C1082" s="1009"/>
      <c r="D1082" s="1010"/>
      <c r="E1082" s="220"/>
      <c r="F1082" s="220"/>
      <c r="G1082" s="98"/>
      <c r="H1082" s="99"/>
      <c r="I1082" s="460"/>
      <c r="J1082" s="460"/>
      <c r="K1082" s="220"/>
      <c r="L1082" s="220"/>
      <c r="M1082" s="25"/>
      <c r="N1082" s="26"/>
      <c r="O1082" s="2"/>
      <c r="P1082" s="27"/>
      <c r="Q1082" s="26"/>
      <c r="T1082" s="28"/>
    </row>
    <row r="1083" spans="1:20" ht="30" customHeight="1" x14ac:dyDescent="0.45">
      <c r="A1083" s="47" t="s">
        <v>646</v>
      </c>
      <c r="B1083" s="1018" t="s">
        <v>819</v>
      </c>
      <c r="C1083" s="1019"/>
      <c r="D1083" s="1020"/>
      <c r="E1083" s="383">
        <f>+P849</f>
        <v>11.775</v>
      </c>
      <c r="F1083" s="47" t="s">
        <v>35</v>
      </c>
      <c r="G1083" s="424">
        <f>42*62</f>
        <v>2604</v>
      </c>
      <c r="H1083" s="351" t="s">
        <v>806</v>
      </c>
      <c r="I1083" s="365">
        <f>+R849</f>
        <v>1.1100000000000001</v>
      </c>
      <c r="J1083" s="365">
        <f>+S849</f>
        <v>1.0095238095238095</v>
      </c>
      <c r="K1083" s="221">
        <f t="shared" ref="K1083:K1094" si="19">+E1083*G1083*I1083*J1083</f>
        <v>34359.073200000006</v>
      </c>
      <c r="L1083" s="47" t="s">
        <v>88</v>
      </c>
      <c r="M1083" s="25"/>
      <c r="N1083" s="26"/>
      <c r="O1083" s="2"/>
      <c r="P1083" s="27"/>
      <c r="Q1083" s="26"/>
      <c r="T1083" s="28"/>
    </row>
    <row r="1084" spans="1:20" ht="30" customHeight="1" x14ac:dyDescent="0.45">
      <c r="A1084" s="47" t="s">
        <v>282</v>
      </c>
      <c r="B1084" s="1018" t="s">
        <v>656</v>
      </c>
      <c r="C1084" s="1019"/>
      <c r="D1084" s="1020"/>
      <c r="E1084" s="383">
        <f>+P853</f>
        <v>504.5</v>
      </c>
      <c r="F1084" s="222" t="s">
        <v>88</v>
      </c>
      <c r="G1084" s="424">
        <v>42</v>
      </c>
      <c r="H1084" s="351" t="s">
        <v>807</v>
      </c>
      <c r="I1084" s="365">
        <f>+R853</f>
        <v>1.32</v>
      </c>
      <c r="J1084" s="365">
        <f>+S853</f>
        <v>1.0095238095238095</v>
      </c>
      <c r="K1084" s="221">
        <f t="shared" si="19"/>
        <v>28235.856</v>
      </c>
      <c r="L1084" s="47" t="s">
        <v>88</v>
      </c>
      <c r="M1084" s="25"/>
      <c r="N1084" s="26"/>
      <c r="O1084" s="2"/>
      <c r="P1084" s="27"/>
      <c r="Q1084" s="26"/>
      <c r="T1084" s="28"/>
    </row>
    <row r="1085" spans="1:20" ht="30" customHeight="1" x14ac:dyDescent="0.45">
      <c r="A1085" s="47" t="s">
        <v>282</v>
      </c>
      <c r="B1085" s="1092" t="s">
        <v>658</v>
      </c>
      <c r="C1085" s="1092"/>
      <c r="D1085" s="1092"/>
      <c r="E1085" s="383">
        <f>+P855</f>
        <v>362.5</v>
      </c>
      <c r="F1085" s="222" t="s">
        <v>88</v>
      </c>
      <c r="G1085" s="424">
        <v>42</v>
      </c>
      <c r="H1085" s="351" t="s">
        <v>807</v>
      </c>
      <c r="I1085" s="365">
        <f>+R855</f>
        <v>1.32</v>
      </c>
      <c r="J1085" s="365">
        <f>+S855</f>
        <v>1.0095238095238095</v>
      </c>
      <c r="K1085" s="221">
        <f t="shared" si="19"/>
        <v>20288.399999999998</v>
      </c>
      <c r="L1085" s="47" t="s">
        <v>88</v>
      </c>
      <c r="M1085" s="25"/>
      <c r="N1085" s="435"/>
      <c r="O1085" s="2"/>
      <c r="P1085" s="27"/>
      <c r="Q1085" s="26"/>
      <c r="T1085" s="28"/>
    </row>
    <row r="1086" spans="1:20" ht="30" customHeight="1" x14ac:dyDescent="0.45">
      <c r="A1086" s="47" t="s">
        <v>646</v>
      </c>
      <c r="B1086" s="1092" t="s">
        <v>820</v>
      </c>
      <c r="C1086" s="1092"/>
      <c r="D1086" s="1092"/>
      <c r="E1086" s="383">
        <f>+P850</f>
        <v>14.375</v>
      </c>
      <c r="F1086" s="47" t="s">
        <v>35</v>
      </c>
      <c r="G1086" s="424">
        <f>25*468</f>
        <v>11700</v>
      </c>
      <c r="H1086" s="351" t="s">
        <v>806</v>
      </c>
      <c r="I1086" s="365">
        <f>+R850</f>
        <v>1.1100000000000001</v>
      </c>
      <c r="J1086" s="365">
        <f>+S850</f>
        <v>1.0095238095238095</v>
      </c>
      <c r="K1086" s="221">
        <f t="shared" si="19"/>
        <v>188466.10714285716</v>
      </c>
      <c r="L1086" s="47" t="s">
        <v>88</v>
      </c>
      <c r="M1086" s="25"/>
      <c r="N1086" s="468"/>
      <c r="O1086" s="2"/>
      <c r="P1086" s="27"/>
      <c r="Q1086" s="26"/>
      <c r="T1086" s="28"/>
    </row>
    <row r="1087" spans="1:20" ht="30" customHeight="1" x14ac:dyDescent="0.45">
      <c r="A1087" s="47" t="s">
        <v>484</v>
      </c>
      <c r="B1087" s="1092" t="s">
        <v>821</v>
      </c>
      <c r="C1087" s="1092"/>
      <c r="D1087" s="1092"/>
      <c r="E1087" s="383">
        <f>+P851</f>
        <v>20.25</v>
      </c>
      <c r="F1087" s="47" t="s">
        <v>35</v>
      </c>
      <c r="G1087" s="424">
        <f>2152*4</f>
        <v>8608</v>
      </c>
      <c r="H1087" s="351" t="s">
        <v>806</v>
      </c>
      <c r="I1087" s="365">
        <f>+R851</f>
        <v>1.28</v>
      </c>
      <c r="J1087" s="365">
        <f>+S851</f>
        <v>1.0095238095238095</v>
      </c>
      <c r="K1087" s="221">
        <f t="shared" si="19"/>
        <v>225244.30628571429</v>
      </c>
      <c r="L1087" s="47" t="s">
        <v>88</v>
      </c>
      <c r="M1087" s="25"/>
      <c r="N1087" s="26"/>
      <c r="O1087" s="2"/>
      <c r="P1087" s="27"/>
      <c r="Q1087" s="26"/>
      <c r="T1087" s="28"/>
    </row>
    <row r="1088" spans="1:20" ht="30" customHeight="1" x14ac:dyDescent="0.45">
      <c r="A1088" s="47" t="s">
        <v>484</v>
      </c>
      <c r="B1088" s="1092" t="s">
        <v>822</v>
      </c>
      <c r="C1088" s="1092"/>
      <c r="D1088" s="1092"/>
      <c r="E1088" s="383">
        <f>+P851</f>
        <v>20.25</v>
      </c>
      <c r="F1088" s="47" t="s">
        <v>35</v>
      </c>
      <c r="G1088" s="424">
        <f>80.7*7</f>
        <v>564.9</v>
      </c>
      <c r="H1088" s="351" t="s">
        <v>806</v>
      </c>
      <c r="I1088" s="365">
        <f>+R851</f>
        <v>1.28</v>
      </c>
      <c r="J1088" s="365">
        <f>+S851</f>
        <v>1.0095238095238095</v>
      </c>
      <c r="K1088" s="221">
        <f t="shared" si="19"/>
        <v>14781.6576</v>
      </c>
      <c r="L1088" s="47" t="s">
        <v>88</v>
      </c>
      <c r="M1088" s="25"/>
      <c r="N1088" s="26"/>
      <c r="O1088" s="2"/>
      <c r="P1088" s="27"/>
      <c r="Q1088" s="26"/>
      <c r="T1088" s="28"/>
    </row>
    <row r="1089" spans="1:20" ht="30" customHeight="1" x14ac:dyDescent="0.45">
      <c r="A1089" s="47" t="s">
        <v>282</v>
      </c>
      <c r="B1089" s="1092" t="s">
        <v>657</v>
      </c>
      <c r="C1089" s="1092"/>
      <c r="D1089" s="1092"/>
      <c r="E1089" s="383">
        <f>+P854</f>
        <v>920</v>
      </c>
      <c r="F1089" s="222" t="s">
        <v>88</v>
      </c>
      <c r="G1089" s="424">
        <v>36</v>
      </c>
      <c r="H1089" s="351" t="s">
        <v>807</v>
      </c>
      <c r="I1089" s="365">
        <f>+R854</f>
        <v>1.32</v>
      </c>
      <c r="J1089" s="365">
        <f>+S854</f>
        <v>1.0095238095238095</v>
      </c>
      <c r="K1089" s="221">
        <f t="shared" si="19"/>
        <v>44134.765714285713</v>
      </c>
      <c r="L1089" s="47" t="s">
        <v>88</v>
      </c>
      <c r="M1089" s="25"/>
      <c r="N1089" s="26"/>
      <c r="O1089" s="2"/>
      <c r="P1089" s="27"/>
      <c r="Q1089" s="26"/>
      <c r="T1089" s="28"/>
    </row>
    <row r="1090" spans="1:20" ht="30" customHeight="1" x14ac:dyDescent="0.45">
      <c r="A1090" s="47" t="s">
        <v>470</v>
      </c>
      <c r="B1090" s="1092" t="s">
        <v>823</v>
      </c>
      <c r="C1090" s="1092"/>
      <c r="D1090" s="1092"/>
      <c r="E1090" s="383">
        <f>+P860</f>
        <v>21.1</v>
      </c>
      <c r="F1090" s="222" t="s">
        <v>113</v>
      </c>
      <c r="G1090" s="424">
        <v>2967</v>
      </c>
      <c r="H1090" s="351" t="s">
        <v>810</v>
      </c>
      <c r="I1090" s="365">
        <f>+R860</f>
        <v>1.26</v>
      </c>
      <c r="J1090" s="365">
        <f>+S860</f>
        <v>1.0095238095238095</v>
      </c>
      <c r="K1090" s="221">
        <f t="shared" si="19"/>
        <v>79631.906400000007</v>
      </c>
      <c r="L1090" s="47" t="s">
        <v>88</v>
      </c>
      <c r="M1090" s="25"/>
      <c r="N1090" s="26"/>
      <c r="O1090" s="2"/>
      <c r="P1090" s="27"/>
      <c r="Q1090" s="26"/>
      <c r="T1090" s="28"/>
    </row>
    <row r="1091" spans="1:20" ht="30" customHeight="1" x14ac:dyDescent="0.45">
      <c r="A1091" s="47" t="s">
        <v>470</v>
      </c>
      <c r="B1091" s="1092" t="s">
        <v>824</v>
      </c>
      <c r="C1091" s="1092"/>
      <c r="D1091" s="1092"/>
      <c r="E1091" s="383">
        <f>+P861</f>
        <v>3352.5</v>
      </c>
      <c r="F1091" s="222" t="s">
        <v>88</v>
      </c>
      <c r="G1091" s="424">
        <v>11</v>
      </c>
      <c r="H1091" s="351" t="s">
        <v>807</v>
      </c>
      <c r="I1091" s="365">
        <f>+R861</f>
        <v>1.26</v>
      </c>
      <c r="J1091" s="365">
        <f>+S861</f>
        <v>1.0095238095238095</v>
      </c>
      <c r="K1091" s="221">
        <f t="shared" si="19"/>
        <v>46908.18</v>
      </c>
      <c r="L1091" s="47" t="s">
        <v>88</v>
      </c>
      <c r="M1091" s="25"/>
      <c r="N1091" s="26"/>
      <c r="O1091" s="2"/>
      <c r="P1091" s="27"/>
      <c r="Q1091" s="26"/>
      <c r="T1091" s="28"/>
    </row>
    <row r="1092" spans="1:20" ht="30" customHeight="1" x14ac:dyDescent="0.45">
      <c r="A1092" s="47" t="s">
        <v>282</v>
      </c>
      <c r="B1092" s="1092" t="s">
        <v>759</v>
      </c>
      <c r="C1092" s="1092"/>
      <c r="D1092" s="1092"/>
      <c r="E1092" s="383">
        <f>+P856</f>
        <v>1125</v>
      </c>
      <c r="F1092" s="222" t="s">
        <v>88</v>
      </c>
      <c r="G1092" s="424">
        <v>36</v>
      </c>
      <c r="H1092" s="351" t="s">
        <v>807</v>
      </c>
      <c r="I1092" s="365">
        <f t="shared" ref="I1092:J1094" si="20">+R856</f>
        <v>1.32</v>
      </c>
      <c r="J1092" s="365">
        <f t="shared" si="20"/>
        <v>1.0095238095238095</v>
      </c>
      <c r="K1092" s="221">
        <f t="shared" si="19"/>
        <v>53969.142857142855</v>
      </c>
      <c r="L1092" s="47" t="s">
        <v>88</v>
      </c>
      <c r="M1092" s="25"/>
      <c r="N1092" s="26"/>
      <c r="O1092" s="2"/>
      <c r="P1092" s="27"/>
      <c r="Q1092" s="26"/>
      <c r="T1092" s="28"/>
    </row>
    <row r="1093" spans="1:20" ht="30" customHeight="1" x14ac:dyDescent="0.45">
      <c r="A1093" s="47" t="s">
        <v>662</v>
      </c>
      <c r="B1093" s="1092" t="s">
        <v>825</v>
      </c>
      <c r="C1093" s="1092"/>
      <c r="D1093" s="1092"/>
      <c r="E1093" s="383">
        <f>+P857</f>
        <v>157.58000000000001</v>
      </c>
      <c r="F1093" s="222" t="s">
        <v>88</v>
      </c>
      <c r="G1093" s="469">
        <f>(5*25)+(4*53)</f>
        <v>337</v>
      </c>
      <c r="H1093" s="351" t="s">
        <v>807</v>
      </c>
      <c r="I1093" s="365">
        <f t="shared" si="20"/>
        <v>1.32</v>
      </c>
      <c r="J1093" s="365">
        <f t="shared" si="20"/>
        <v>1.0095238095238095</v>
      </c>
      <c r="K1093" s="221">
        <f t="shared" si="19"/>
        <v>70765.486125714291</v>
      </c>
      <c r="L1093" s="47" t="s">
        <v>88</v>
      </c>
      <c r="M1093" s="25"/>
      <c r="N1093" s="26"/>
      <c r="O1093" s="2"/>
      <c r="P1093" s="27"/>
      <c r="Q1093" s="26"/>
      <c r="T1093" s="28"/>
    </row>
    <row r="1094" spans="1:20" ht="30" customHeight="1" x14ac:dyDescent="0.45">
      <c r="A1094" s="47" t="s">
        <v>665</v>
      </c>
      <c r="B1094" s="1018" t="s">
        <v>826</v>
      </c>
      <c r="C1094" s="1019"/>
      <c r="D1094" s="1020"/>
      <c r="E1094" s="383">
        <f>+P858</f>
        <v>19.62</v>
      </c>
      <c r="F1094" s="222" t="s">
        <v>113</v>
      </c>
      <c r="G1094" s="424">
        <f>5105*78</f>
        <v>398190</v>
      </c>
      <c r="H1094" s="351" t="s">
        <v>810</v>
      </c>
      <c r="I1094" s="365">
        <f t="shared" si="20"/>
        <v>1.32</v>
      </c>
      <c r="J1094" s="365">
        <f t="shared" si="20"/>
        <v>1.0095238095238095</v>
      </c>
      <c r="K1094" s="221">
        <f t="shared" si="19"/>
        <v>10410698.028342858</v>
      </c>
      <c r="L1094" s="47" t="s">
        <v>88</v>
      </c>
      <c r="M1094" s="25"/>
      <c r="N1094" s="26"/>
      <c r="O1094" s="2"/>
      <c r="P1094" s="27"/>
      <c r="Q1094" s="26"/>
      <c r="T1094" s="28"/>
    </row>
    <row r="1095" spans="1:20" ht="30" customHeight="1" x14ac:dyDescent="0.45">
      <c r="A1095" s="47">
        <v>93410</v>
      </c>
      <c r="B1095" s="1018" t="s">
        <v>827</v>
      </c>
      <c r="C1095" s="1019"/>
      <c r="D1095" s="1020"/>
      <c r="E1095" s="334">
        <f>+P868</f>
        <v>2.78</v>
      </c>
      <c r="F1095" s="222" t="s">
        <v>8</v>
      </c>
      <c r="G1095" s="424">
        <v>2488</v>
      </c>
      <c r="H1095" s="351" t="s">
        <v>811</v>
      </c>
      <c r="I1095" s="447">
        <f>+R868</f>
        <v>0.93771935922451721</v>
      </c>
      <c r="J1095" s="47"/>
      <c r="K1095" s="221">
        <f>+E1095*G1095*I1095</f>
        <v>6485.8672287866639</v>
      </c>
      <c r="L1095" s="47" t="s">
        <v>88</v>
      </c>
      <c r="M1095" s="25"/>
      <c r="N1095" s="26"/>
      <c r="O1095" s="2"/>
      <c r="P1095" s="27"/>
      <c r="Q1095" s="26"/>
      <c r="T1095" s="28"/>
    </row>
    <row r="1096" spans="1:20" ht="30" customHeight="1" x14ac:dyDescent="0.45">
      <c r="A1096" s="47" t="s">
        <v>646</v>
      </c>
      <c r="B1096" s="1018" t="s">
        <v>828</v>
      </c>
      <c r="C1096" s="1019"/>
      <c r="D1096" s="1020"/>
      <c r="E1096" s="383">
        <f>+P850</f>
        <v>14.375</v>
      </c>
      <c r="F1096" s="47" t="s">
        <v>35</v>
      </c>
      <c r="G1096" s="424">
        <f>481*2</f>
        <v>962</v>
      </c>
      <c r="H1096" s="351" t="s">
        <v>806</v>
      </c>
      <c r="I1096" s="47">
        <f>+R850</f>
        <v>1.1100000000000001</v>
      </c>
      <c r="J1096" s="365">
        <f>+S850</f>
        <v>1.0095238095238095</v>
      </c>
      <c r="K1096" s="221">
        <f>+E1096*G1096*I1096*J1096</f>
        <v>15496.102142857144</v>
      </c>
      <c r="L1096" s="47" t="s">
        <v>88</v>
      </c>
      <c r="M1096" s="25"/>
      <c r="N1096" s="26"/>
      <c r="O1096" s="2"/>
      <c r="P1096" s="27"/>
      <c r="Q1096" s="26"/>
      <c r="T1096" s="28"/>
    </row>
    <row r="1097" spans="1:20" ht="30" customHeight="1" x14ac:dyDescent="0.45">
      <c r="A1097" s="47" t="s">
        <v>646</v>
      </c>
      <c r="B1097" s="1018" t="s">
        <v>829</v>
      </c>
      <c r="C1097" s="1019"/>
      <c r="D1097" s="1020"/>
      <c r="E1097" s="383">
        <f>+P849</f>
        <v>11.775</v>
      </c>
      <c r="F1097" s="47" t="s">
        <v>35</v>
      </c>
      <c r="G1097" s="424">
        <f>128*10</f>
        <v>1280</v>
      </c>
      <c r="H1097" s="351" t="s">
        <v>806</v>
      </c>
      <c r="I1097" s="47">
        <f>+R849</f>
        <v>1.1100000000000001</v>
      </c>
      <c r="J1097" s="365">
        <f>+S849</f>
        <v>1.0095238095238095</v>
      </c>
      <c r="K1097" s="221">
        <f>+E1097*G1097*I1097*J1097</f>
        <v>16889.252571428573</v>
      </c>
      <c r="L1097" s="47" t="s">
        <v>88</v>
      </c>
      <c r="M1097" s="25"/>
      <c r="N1097" s="26"/>
      <c r="O1097" s="2"/>
      <c r="P1097" s="27"/>
      <c r="Q1097" s="26"/>
      <c r="T1097" s="28"/>
    </row>
    <row r="1098" spans="1:20" ht="30" customHeight="1" x14ac:dyDescent="0.45">
      <c r="A1098" s="47">
        <v>93410</v>
      </c>
      <c r="B1098" s="1018" t="s">
        <v>830</v>
      </c>
      <c r="C1098" s="1019"/>
      <c r="D1098" s="1020"/>
      <c r="E1098" s="383">
        <f>+P867</f>
        <v>11.04</v>
      </c>
      <c r="F1098" s="222" t="s">
        <v>29</v>
      </c>
      <c r="G1098" s="424">
        <v>3662</v>
      </c>
      <c r="H1098" s="351" t="s">
        <v>814</v>
      </c>
      <c r="I1098" s="447">
        <f>+R867</f>
        <v>0.93771935922451721</v>
      </c>
      <c r="J1098" s="47"/>
      <c r="K1098" s="221">
        <f>+E1098*G1098*I1098</f>
        <v>37910.568360021207</v>
      </c>
      <c r="L1098" s="47" t="s">
        <v>88</v>
      </c>
      <c r="N1098" s="437"/>
      <c r="O1098" s="2"/>
      <c r="P1098" s="27"/>
      <c r="Q1098" s="26"/>
      <c r="T1098" s="28"/>
    </row>
    <row r="1099" spans="1:20" ht="30" customHeight="1" x14ac:dyDescent="0.45">
      <c r="A1099" s="47">
        <v>93210</v>
      </c>
      <c r="B1099" s="1018" t="s">
        <v>831</v>
      </c>
      <c r="C1099" s="1019"/>
      <c r="D1099" s="1020"/>
      <c r="E1099" s="383">
        <f>+P869</f>
        <v>89.16</v>
      </c>
      <c r="F1099" s="222" t="s">
        <v>29</v>
      </c>
      <c r="G1099" s="424">
        <v>1063</v>
      </c>
      <c r="H1099" s="351" t="s">
        <v>814</v>
      </c>
      <c r="I1099" s="447">
        <f>+R869</f>
        <v>0.93771935922451721</v>
      </c>
      <c r="J1099" s="47"/>
      <c r="K1099" s="221">
        <f>+E1099*G1099*I1099</f>
        <v>88874.302726770809</v>
      </c>
      <c r="L1099" s="47" t="s">
        <v>88</v>
      </c>
      <c r="M1099" s="25"/>
      <c r="N1099" s="437"/>
      <c r="O1099" s="2"/>
      <c r="P1099" s="27"/>
      <c r="Q1099" s="26"/>
      <c r="T1099" s="28"/>
    </row>
    <row r="1100" spans="1:20" ht="30" customHeight="1" x14ac:dyDescent="0.45">
      <c r="A1100" s="977" t="s">
        <v>712</v>
      </c>
      <c r="B1100" s="978"/>
      <c r="C1100" s="978"/>
      <c r="D1100" s="979"/>
      <c r="E1100" s="221"/>
      <c r="F1100" s="47"/>
      <c r="G1100" s="58"/>
      <c r="H1100" s="179"/>
      <c r="I1100" s="47"/>
      <c r="J1100" s="47" t="s">
        <v>360</v>
      </c>
      <c r="K1100" s="221">
        <f>SUM(K1083:K1099)</f>
        <v>11383139.002698438</v>
      </c>
      <c r="L1100" s="47" t="s">
        <v>88</v>
      </c>
      <c r="M1100" s="25"/>
      <c r="N1100" s="26"/>
      <c r="O1100" s="2"/>
      <c r="P1100" s="27"/>
      <c r="Q1100" s="26"/>
      <c r="T1100" s="28"/>
    </row>
    <row r="1101" spans="1:20" ht="30" customHeight="1" thickBot="1" x14ac:dyDescent="0.5">
      <c r="A1101" s="1352"/>
      <c r="B1101" s="1353"/>
      <c r="C1101" s="1353"/>
      <c r="D1101" s="1354"/>
      <c r="E1101" s="58"/>
      <c r="F1101" s="58"/>
      <c r="G1101" s="1032" t="s">
        <v>288</v>
      </c>
      <c r="H1101" s="1033"/>
      <c r="I1101" s="1034"/>
      <c r="J1101" s="213">
        <f>VLOOKUP(B1080,'[1]Mil Cost Premiums for PUCs'!$A$4:$R$278,18,FALSE)</f>
        <v>1.0485669999999998</v>
      </c>
      <c r="K1101" s="216">
        <f>+K1100*J1101</f>
        <v>11935983.91464249</v>
      </c>
      <c r="L1101" s="47" t="s">
        <v>88</v>
      </c>
      <c r="M1101" s="25"/>
      <c r="N1101" s="26"/>
      <c r="O1101" s="2"/>
      <c r="P1101" s="27"/>
      <c r="Q1101" s="26"/>
      <c r="T1101" s="28"/>
    </row>
    <row r="1102" spans="1:20" ht="30" customHeight="1" thickBot="1" x14ac:dyDescent="0.5">
      <c r="A1102" s="999"/>
      <c r="B1102" s="1000"/>
      <c r="C1102" s="1000"/>
      <c r="D1102" s="1000"/>
      <c r="E1102" s="1000"/>
      <c r="F1102" s="1000"/>
      <c r="G1102" s="1000"/>
      <c r="H1102" s="1000"/>
      <c r="I1102" s="1000"/>
      <c r="J1102" s="1000"/>
      <c r="K1102" s="1000"/>
      <c r="L1102" s="1001"/>
      <c r="M1102" s="25"/>
      <c r="N1102" s="26"/>
      <c r="O1102" s="2"/>
      <c r="P1102" s="27"/>
      <c r="Q1102" s="26"/>
      <c r="T1102" s="28"/>
    </row>
    <row r="1103" spans="1:20" ht="30" customHeight="1" x14ac:dyDescent="0.45">
      <c r="A1103" s="9" t="s">
        <v>4</v>
      </c>
      <c r="B1103" s="10">
        <v>1767</v>
      </c>
      <c r="C1103" s="983" t="s">
        <v>832</v>
      </c>
      <c r="D1103" s="984"/>
      <c r="E1103" s="13" t="s">
        <v>7</v>
      </c>
      <c r="F1103" s="14" t="s">
        <v>88</v>
      </c>
      <c r="G1103" s="15" t="s">
        <v>148</v>
      </c>
      <c r="H1103" s="370" t="s">
        <v>676</v>
      </c>
      <c r="I1103" s="13" t="s">
        <v>9</v>
      </c>
      <c r="J1103" s="985" t="s">
        <v>833</v>
      </c>
      <c r="K1103" s="985"/>
      <c r="L1103" s="986"/>
      <c r="M1103" s="25"/>
      <c r="O1103" s="2"/>
      <c r="P1103" s="27"/>
      <c r="Q1103" s="26"/>
      <c r="T1103" s="28"/>
    </row>
    <row r="1104" spans="1:20" ht="30" customHeight="1" x14ac:dyDescent="0.45">
      <c r="A1104" s="19" t="s">
        <v>11</v>
      </c>
      <c r="B1104" s="987" t="s">
        <v>293</v>
      </c>
      <c r="C1104" s="988"/>
      <c r="D1104" s="989"/>
      <c r="E1104" s="220" t="s">
        <v>13</v>
      </c>
      <c r="F1104" s="220" t="s">
        <v>14</v>
      </c>
      <c r="G1104" s="990" t="s">
        <v>15</v>
      </c>
      <c r="H1104" s="991"/>
      <c r="I1104" s="19" t="s">
        <v>278</v>
      </c>
      <c r="J1104" s="277" t="s">
        <v>285</v>
      </c>
      <c r="K1104" s="992" t="s">
        <v>17</v>
      </c>
      <c r="L1104" s="993"/>
      <c r="M1104" s="25"/>
      <c r="N1104" s="26"/>
      <c r="O1104" s="2"/>
      <c r="P1104" s="27"/>
      <c r="Q1104" s="26"/>
      <c r="T1104" s="28"/>
    </row>
    <row r="1105" spans="1:20" ht="30" customHeight="1" thickBot="1" x14ac:dyDescent="0.5">
      <c r="A1105" s="132"/>
      <c r="B1105" s="977"/>
      <c r="C1105" s="978"/>
      <c r="D1105" s="979"/>
      <c r="E1105" s="470"/>
      <c r="F1105" s="470"/>
      <c r="G1105" s="471"/>
      <c r="H1105" s="472"/>
      <c r="I1105" s="473"/>
      <c r="J1105" s="473"/>
      <c r="K1105" s="474" t="s">
        <v>676</v>
      </c>
      <c r="L1105" s="474" t="s">
        <v>88</v>
      </c>
      <c r="M1105" s="25"/>
      <c r="N1105" s="26"/>
      <c r="O1105" s="2"/>
      <c r="P1105" s="27"/>
      <c r="Q1105" s="26"/>
      <c r="T1105" s="28"/>
    </row>
    <row r="1106" spans="1:20" ht="30" customHeight="1" thickBot="1" x14ac:dyDescent="0.5">
      <c r="A1106" s="980"/>
      <c r="B1106" s="981"/>
      <c r="C1106" s="981"/>
      <c r="D1106" s="981"/>
      <c r="E1106" s="981"/>
      <c r="F1106" s="981"/>
      <c r="G1106" s="981"/>
      <c r="H1106" s="981"/>
      <c r="I1106" s="981"/>
      <c r="J1106" s="981"/>
      <c r="K1106" s="981"/>
      <c r="L1106" s="982"/>
      <c r="M1106" s="25"/>
      <c r="N1106" s="475"/>
      <c r="O1106" s="2"/>
      <c r="P1106" s="27"/>
      <c r="Q1106" s="26"/>
      <c r="T1106" s="28"/>
    </row>
    <row r="1107" spans="1:20" ht="30" customHeight="1" x14ac:dyDescent="0.45">
      <c r="A1107" s="93" t="s">
        <v>4</v>
      </c>
      <c r="B1107" s="76">
        <v>1768</v>
      </c>
      <c r="C1107" s="1073" t="s">
        <v>834</v>
      </c>
      <c r="D1107" s="1074"/>
      <c r="E1107" s="94" t="s">
        <v>7</v>
      </c>
      <c r="F1107" s="95" t="s">
        <v>88</v>
      </c>
      <c r="G1107" s="97" t="s">
        <v>148</v>
      </c>
      <c r="H1107" s="461">
        <v>1</v>
      </c>
      <c r="I1107" s="94" t="s">
        <v>9</v>
      </c>
      <c r="J1107" s="1355" t="s">
        <v>701</v>
      </c>
      <c r="K1107" s="1355"/>
      <c r="L1107" s="1356"/>
      <c r="M1107" s="25"/>
      <c r="N1107" s="435"/>
      <c r="O1107" s="2"/>
      <c r="P1107" s="27"/>
      <c r="Q1107" s="26"/>
      <c r="T1107" s="28"/>
    </row>
    <row r="1108" spans="1:20" ht="45" customHeight="1" x14ac:dyDescent="0.45">
      <c r="A1108" s="19" t="s">
        <v>11</v>
      </c>
      <c r="B1108" s="987" t="s">
        <v>293</v>
      </c>
      <c r="C1108" s="988"/>
      <c r="D1108" s="989"/>
      <c r="E1108" s="220" t="s">
        <v>13</v>
      </c>
      <c r="F1108" s="220" t="s">
        <v>14</v>
      </c>
      <c r="G1108" s="990" t="s">
        <v>15</v>
      </c>
      <c r="H1108" s="991"/>
      <c r="I1108" s="19" t="s">
        <v>278</v>
      </c>
      <c r="J1108" s="277" t="s">
        <v>285</v>
      </c>
      <c r="K1108" s="992" t="s">
        <v>17</v>
      </c>
      <c r="L1108" s="993"/>
      <c r="M1108" s="25"/>
      <c r="N1108" s="26"/>
      <c r="O1108" s="2"/>
      <c r="P1108" s="27"/>
      <c r="Q1108" s="26"/>
      <c r="T1108" s="28"/>
    </row>
    <row r="1109" spans="1:20" ht="30" customHeight="1" x14ac:dyDescent="0.45">
      <c r="A1109" s="19"/>
      <c r="B1109" s="1018" t="s">
        <v>835</v>
      </c>
      <c r="C1109" s="1019"/>
      <c r="D1109" s="1020"/>
      <c r="E1109" s="220"/>
      <c r="F1109" s="220"/>
      <c r="G1109" s="98"/>
      <c r="H1109" s="99"/>
      <c r="I1109" s="460"/>
      <c r="J1109" s="460"/>
      <c r="K1109" s="220"/>
      <c r="L1109" s="220"/>
      <c r="M1109" s="25"/>
      <c r="N1109" s="26"/>
      <c r="O1109" s="2"/>
      <c r="P1109" s="27"/>
      <c r="Q1109" s="26"/>
      <c r="T1109" s="28"/>
    </row>
    <row r="1110" spans="1:20" ht="30" customHeight="1" x14ac:dyDescent="0.45">
      <c r="A1110" s="47">
        <v>93410</v>
      </c>
      <c r="B1110" s="1018" t="s">
        <v>813</v>
      </c>
      <c r="C1110" s="1019"/>
      <c r="D1110" s="1020"/>
      <c r="E1110" s="383">
        <f>+P867</f>
        <v>11.04</v>
      </c>
      <c r="F1110" s="222" t="s">
        <v>29</v>
      </c>
      <c r="G1110" s="354">
        <v>279</v>
      </c>
      <c r="H1110" s="351" t="s">
        <v>814</v>
      </c>
      <c r="I1110" s="392">
        <f>+R867</f>
        <v>0.93771935922451721</v>
      </c>
      <c r="J1110" s="47"/>
      <c r="K1110" s="221">
        <f>+E1110*G1110*I1110</f>
        <v>2888.325661508989</v>
      </c>
      <c r="L1110" s="47" t="s">
        <v>88</v>
      </c>
      <c r="M1110" s="25"/>
      <c r="N1110" s="435"/>
      <c r="O1110" s="2"/>
      <c r="P1110" s="27"/>
      <c r="Q1110" s="26"/>
      <c r="T1110" s="28"/>
    </row>
    <row r="1111" spans="1:20" ht="30" customHeight="1" x14ac:dyDescent="0.45">
      <c r="A1111" s="47">
        <v>93210</v>
      </c>
      <c r="B1111" s="1018" t="s">
        <v>815</v>
      </c>
      <c r="C1111" s="1019"/>
      <c r="D1111" s="1020"/>
      <c r="E1111" s="383">
        <f>+P869</f>
        <v>89.16</v>
      </c>
      <c r="F1111" s="222" t="s">
        <v>29</v>
      </c>
      <c r="G1111" s="354">
        <v>215</v>
      </c>
      <c r="H1111" s="351" t="s">
        <v>814</v>
      </c>
      <c r="I1111" s="392">
        <f>+R869</f>
        <v>0.93771935922451721</v>
      </c>
      <c r="J1111" s="47"/>
      <c r="K1111" s="221">
        <f>+E1111*G1111*I1111</f>
        <v>17975.517484718457</v>
      </c>
      <c r="L1111" s="47" t="s">
        <v>88</v>
      </c>
      <c r="M1111" s="25"/>
      <c r="N1111" s="26"/>
      <c r="O1111" s="2"/>
      <c r="P1111" s="27"/>
      <c r="Q1111" s="26"/>
      <c r="T1111" s="28"/>
    </row>
    <row r="1112" spans="1:20" ht="30" customHeight="1" x14ac:dyDescent="0.45">
      <c r="A1112" s="977" t="s">
        <v>712</v>
      </c>
      <c r="B1112" s="978"/>
      <c r="C1112" s="978"/>
      <c r="D1112" s="979"/>
      <c r="E1112" s="221"/>
      <c r="F1112" s="47"/>
      <c r="G1112" s="58"/>
      <c r="H1112" s="179"/>
      <c r="I1112" s="47"/>
      <c r="J1112" s="47" t="s">
        <v>360</v>
      </c>
      <c r="K1112" s="221">
        <f>SUM(K1110:K1111)</f>
        <v>20863.843146227446</v>
      </c>
      <c r="L1112" s="47" t="s">
        <v>88</v>
      </c>
      <c r="M1112" s="25"/>
      <c r="N1112" s="26"/>
      <c r="O1112" s="2"/>
      <c r="P1112" s="27"/>
      <c r="Q1112" s="26"/>
      <c r="T1112" s="28"/>
    </row>
    <row r="1113" spans="1:20" ht="30" customHeight="1" thickBot="1" x14ac:dyDescent="0.5">
      <c r="A1113" s="1365"/>
      <c r="B1113" s="1366"/>
      <c r="C1113" s="1366"/>
      <c r="D1113" s="1367"/>
      <c r="E1113" s="150"/>
      <c r="F1113" s="150"/>
      <c r="G1113" s="1032" t="s">
        <v>288</v>
      </c>
      <c r="H1113" s="1033"/>
      <c r="I1113" s="1034"/>
      <c r="J1113" s="226">
        <f>VLOOKUP(B1107,'[1]Mil Cost Premiums for PUCs'!$A$4:$R$278,18,FALSE)</f>
        <v>1.0485669999999998</v>
      </c>
      <c r="K1113" s="227">
        <f>+K1112*J1113</f>
        <v>21877.13741631027</v>
      </c>
      <c r="L1113" s="225" t="s">
        <v>88</v>
      </c>
      <c r="M1113" s="25"/>
      <c r="N1113" s="26"/>
      <c r="O1113" s="2"/>
      <c r="P1113" s="27"/>
      <c r="Q1113" s="26"/>
      <c r="T1113" s="28"/>
    </row>
    <row r="1114" spans="1:20" ht="30" customHeight="1" thickBot="1" x14ac:dyDescent="0.5">
      <c r="A1114" s="999"/>
      <c r="B1114" s="1000"/>
      <c r="C1114" s="1000"/>
      <c r="D1114" s="1000"/>
      <c r="E1114" s="1000"/>
      <c r="F1114" s="1000"/>
      <c r="G1114" s="1000"/>
      <c r="H1114" s="1000"/>
      <c r="I1114" s="1000"/>
      <c r="J1114" s="1000"/>
      <c r="K1114" s="1000"/>
      <c r="L1114" s="1001"/>
      <c r="M1114" s="25"/>
      <c r="N1114" s="26"/>
      <c r="O1114" s="2"/>
      <c r="P1114" s="27"/>
      <c r="Q1114" s="26"/>
      <c r="T1114" s="28"/>
    </row>
    <row r="1115" spans="1:20" ht="30" customHeight="1" x14ac:dyDescent="0.45">
      <c r="A1115" s="93" t="s">
        <v>4</v>
      </c>
      <c r="B1115" s="76">
        <v>1769</v>
      </c>
      <c r="C1115" s="1073" t="s">
        <v>836</v>
      </c>
      <c r="D1115" s="1074"/>
      <c r="E1115" s="94" t="s">
        <v>7</v>
      </c>
      <c r="F1115" s="95" t="s">
        <v>88</v>
      </c>
      <c r="G1115" s="476" t="s">
        <v>837</v>
      </c>
      <c r="H1115" s="461">
        <v>1</v>
      </c>
      <c r="I1115" s="94" t="s">
        <v>9</v>
      </c>
      <c r="J1115" s="1355" t="s">
        <v>701</v>
      </c>
      <c r="K1115" s="1355"/>
      <c r="L1115" s="1356"/>
      <c r="M1115" s="25"/>
      <c r="N1115" s="26"/>
      <c r="O1115" s="2"/>
      <c r="P1115" s="27"/>
      <c r="Q1115" s="26"/>
      <c r="T1115" s="28"/>
    </row>
    <row r="1116" spans="1:20" ht="30" customHeight="1" x14ac:dyDescent="0.45">
      <c r="A1116" s="19" t="s">
        <v>702</v>
      </c>
      <c r="B1116" s="987" t="s">
        <v>293</v>
      </c>
      <c r="C1116" s="988"/>
      <c r="D1116" s="989"/>
      <c r="E1116" s="220" t="s">
        <v>13</v>
      </c>
      <c r="F1116" s="220" t="s">
        <v>14</v>
      </c>
      <c r="G1116" s="990" t="s">
        <v>15</v>
      </c>
      <c r="H1116" s="991"/>
      <c r="I1116" s="19" t="s">
        <v>278</v>
      </c>
      <c r="J1116" s="277" t="s">
        <v>285</v>
      </c>
      <c r="K1116" s="992" t="s">
        <v>17</v>
      </c>
      <c r="L1116" s="993"/>
      <c r="M1116" s="25"/>
      <c r="O1116" s="2"/>
      <c r="P1116" s="27"/>
      <c r="Q1116" s="26"/>
      <c r="T1116" s="28"/>
    </row>
    <row r="1117" spans="1:20" ht="30" customHeight="1" x14ac:dyDescent="0.45">
      <c r="A1117" s="19"/>
      <c r="B1117" s="1008" t="s">
        <v>838</v>
      </c>
      <c r="C1117" s="1009"/>
      <c r="D1117" s="1010"/>
      <c r="E1117" s="220"/>
      <c r="F1117" s="220"/>
      <c r="G1117" s="98"/>
      <c r="H1117" s="99"/>
      <c r="I1117" s="460"/>
      <c r="J1117" s="460"/>
      <c r="K1117" s="220"/>
      <c r="L1117" s="220"/>
      <c r="M1117" s="25"/>
      <c r="O1117" s="2"/>
      <c r="P1117" s="27"/>
      <c r="Q1117" s="26"/>
      <c r="T1117" s="28"/>
    </row>
    <row r="1118" spans="1:20" ht="30" customHeight="1" x14ac:dyDescent="0.45">
      <c r="A1118" s="47" t="s">
        <v>646</v>
      </c>
      <c r="B1118" s="1018" t="s">
        <v>839</v>
      </c>
      <c r="C1118" s="1019"/>
      <c r="D1118" s="1020"/>
      <c r="E1118" s="383">
        <f>+P849</f>
        <v>11.775</v>
      </c>
      <c r="F1118" s="47" t="s">
        <v>35</v>
      </c>
      <c r="G1118" s="222">
        <f>16*62</f>
        <v>992</v>
      </c>
      <c r="H1118" s="351" t="s">
        <v>806</v>
      </c>
      <c r="I1118" s="365">
        <f>+R849</f>
        <v>1.1100000000000001</v>
      </c>
      <c r="J1118" s="365">
        <f>+S849</f>
        <v>1.0095238095238095</v>
      </c>
      <c r="K1118" s="221">
        <f t="shared" ref="K1118:K1127" si="21">+E1118*G1118*I1118*J1118</f>
        <v>13089.170742857144</v>
      </c>
      <c r="L1118" s="47" t="s">
        <v>88</v>
      </c>
      <c r="M1118" s="25"/>
      <c r="N1118" s="26"/>
      <c r="O1118" s="2"/>
      <c r="P1118" s="27"/>
      <c r="Q1118" s="26"/>
      <c r="T1118" s="28"/>
    </row>
    <row r="1119" spans="1:20" ht="30" customHeight="1" x14ac:dyDescent="0.45">
      <c r="A1119" s="47" t="s">
        <v>282</v>
      </c>
      <c r="B1119" s="1092" t="s">
        <v>656</v>
      </c>
      <c r="C1119" s="1092"/>
      <c r="D1119" s="1092"/>
      <c r="E1119" s="383">
        <f>+P853</f>
        <v>504.5</v>
      </c>
      <c r="F1119" s="222" t="s">
        <v>88</v>
      </c>
      <c r="G1119" s="222">
        <v>16</v>
      </c>
      <c r="H1119" s="351" t="s">
        <v>807</v>
      </c>
      <c r="I1119" s="365">
        <f>+R853</f>
        <v>1.32</v>
      </c>
      <c r="J1119" s="365">
        <f>+S853</f>
        <v>1.0095238095238095</v>
      </c>
      <c r="K1119" s="221">
        <f t="shared" si="21"/>
        <v>10756.516571428572</v>
      </c>
      <c r="L1119" s="47" t="s">
        <v>88</v>
      </c>
      <c r="M1119" s="25"/>
      <c r="N1119" s="26"/>
      <c r="O1119" s="2"/>
      <c r="P1119" s="27"/>
      <c r="Q1119" s="26"/>
      <c r="T1119" s="28"/>
    </row>
    <row r="1120" spans="1:20" ht="30" customHeight="1" x14ac:dyDescent="0.45">
      <c r="A1120" s="47" t="s">
        <v>282</v>
      </c>
      <c r="B1120" s="1092" t="s">
        <v>658</v>
      </c>
      <c r="C1120" s="1092"/>
      <c r="D1120" s="1092"/>
      <c r="E1120" s="383">
        <f>+P855</f>
        <v>362.5</v>
      </c>
      <c r="F1120" s="222" t="s">
        <v>88</v>
      </c>
      <c r="G1120" s="222">
        <v>16</v>
      </c>
      <c r="H1120" s="351" t="s">
        <v>807</v>
      </c>
      <c r="I1120" s="365">
        <f>+R855</f>
        <v>1.32</v>
      </c>
      <c r="J1120" s="365">
        <f>+S855</f>
        <v>1.0095238095238095</v>
      </c>
      <c r="K1120" s="221">
        <f t="shared" si="21"/>
        <v>7728.9142857142851</v>
      </c>
      <c r="L1120" s="47" t="s">
        <v>88</v>
      </c>
      <c r="M1120" s="25"/>
      <c r="N1120" s="26"/>
      <c r="O1120" s="2"/>
      <c r="P1120" s="27"/>
      <c r="Q1120" s="26"/>
      <c r="T1120" s="28"/>
    </row>
    <row r="1121" spans="1:20" ht="30" customHeight="1" x14ac:dyDescent="0.45">
      <c r="A1121" s="47" t="s">
        <v>484</v>
      </c>
      <c r="B1121" s="1092" t="s">
        <v>840</v>
      </c>
      <c r="C1121" s="1092"/>
      <c r="D1121" s="1092"/>
      <c r="E1121" s="383">
        <f>+P851</f>
        <v>20.25</v>
      </c>
      <c r="F1121" s="47" t="s">
        <v>35</v>
      </c>
      <c r="G1121" s="222">
        <f>80.7*8</f>
        <v>645.6</v>
      </c>
      <c r="H1121" s="351" t="s">
        <v>806</v>
      </c>
      <c r="I1121" s="365">
        <f>+R851</f>
        <v>1.28</v>
      </c>
      <c r="J1121" s="365">
        <f>+S851</f>
        <v>1.0095238095238095</v>
      </c>
      <c r="K1121" s="221">
        <f t="shared" si="21"/>
        <v>16893.322971428574</v>
      </c>
      <c r="L1121" s="47" t="s">
        <v>88</v>
      </c>
      <c r="M1121" s="25"/>
      <c r="N1121" s="26"/>
      <c r="O1121" s="2"/>
      <c r="P1121" s="27"/>
      <c r="Q1121" s="26"/>
      <c r="T1121" s="28"/>
    </row>
    <row r="1122" spans="1:20" ht="30" customHeight="1" x14ac:dyDescent="0.45">
      <c r="A1122" s="47" t="s">
        <v>282</v>
      </c>
      <c r="B1122" s="1092" t="s">
        <v>657</v>
      </c>
      <c r="C1122" s="1092"/>
      <c r="D1122" s="1092"/>
      <c r="E1122" s="383">
        <f>+P854</f>
        <v>920</v>
      </c>
      <c r="F1122" s="222" t="s">
        <v>88</v>
      </c>
      <c r="G1122" s="222">
        <v>8</v>
      </c>
      <c r="H1122" s="351" t="s">
        <v>807</v>
      </c>
      <c r="I1122" s="365">
        <f>+R854</f>
        <v>1.32</v>
      </c>
      <c r="J1122" s="365">
        <f>+S854</f>
        <v>1.0095238095238095</v>
      </c>
      <c r="K1122" s="221">
        <f t="shared" si="21"/>
        <v>9807.7257142857143</v>
      </c>
      <c r="L1122" s="47" t="s">
        <v>88</v>
      </c>
      <c r="N1122" s="26"/>
      <c r="O1122" s="2"/>
      <c r="P1122" s="27"/>
      <c r="Q1122" s="26"/>
      <c r="T1122" s="28"/>
    </row>
    <row r="1123" spans="1:20" ht="30" customHeight="1" x14ac:dyDescent="0.45">
      <c r="A1123" s="47" t="s">
        <v>470</v>
      </c>
      <c r="B1123" s="1092" t="s">
        <v>841</v>
      </c>
      <c r="C1123" s="1092"/>
      <c r="D1123" s="1092"/>
      <c r="E1123" s="383">
        <f>+P860</f>
        <v>21.1</v>
      </c>
      <c r="F1123" s="222" t="s">
        <v>113</v>
      </c>
      <c r="G1123" s="222">
        <f>49*8</f>
        <v>392</v>
      </c>
      <c r="H1123" s="351" t="s">
        <v>810</v>
      </c>
      <c r="I1123" s="365">
        <f>+R860</f>
        <v>1.26</v>
      </c>
      <c r="J1123" s="365">
        <f>+S860</f>
        <v>1.0095238095238095</v>
      </c>
      <c r="K1123" s="221">
        <f t="shared" si="21"/>
        <v>10520.966400000001</v>
      </c>
      <c r="L1123" s="47" t="s">
        <v>88</v>
      </c>
      <c r="M1123" s="25"/>
      <c r="N1123" s="26"/>
      <c r="O1123" s="2"/>
      <c r="P1123" s="27"/>
      <c r="Q1123" s="26"/>
      <c r="T1123" s="28"/>
    </row>
    <row r="1124" spans="1:20" ht="30" customHeight="1" x14ac:dyDescent="0.45">
      <c r="A1124" s="47" t="s">
        <v>470</v>
      </c>
      <c r="B1124" s="1092" t="s">
        <v>670</v>
      </c>
      <c r="C1124" s="1092"/>
      <c r="D1124" s="1092"/>
      <c r="E1124" s="383">
        <f>+P861</f>
        <v>3352.5</v>
      </c>
      <c r="F1124" s="222" t="s">
        <v>88</v>
      </c>
      <c r="G1124" s="222">
        <v>8</v>
      </c>
      <c r="H1124" s="351" t="s">
        <v>807</v>
      </c>
      <c r="I1124" s="365">
        <f>+R861</f>
        <v>1.26</v>
      </c>
      <c r="J1124" s="365">
        <f>+S861</f>
        <v>1.0095238095238095</v>
      </c>
      <c r="K1124" s="221">
        <f t="shared" si="21"/>
        <v>34115.039999999994</v>
      </c>
      <c r="L1124" s="47" t="s">
        <v>88</v>
      </c>
      <c r="M1124" s="25"/>
      <c r="O1124" s="2"/>
      <c r="P1124" s="27"/>
      <c r="Q1124" s="26"/>
      <c r="T1124" s="28"/>
    </row>
    <row r="1125" spans="1:20" ht="30" customHeight="1" x14ac:dyDescent="0.45">
      <c r="A1125" s="47" t="s">
        <v>282</v>
      </c>
      <c r="B1125" s="1092" t="s">
        <v>759</v>
      </c>
      <c r="C1125" s="1092"/>
      <c r="D1125" s="1092"/>
      <c r="E1125" s="383">
        <f>+P856</f>
        <v>1125</v>
      </c>
      <c r="F1125" s="222" t="s">
        <v>88</v>
      </c>
      <c r="G1125" s="222">
        <v>8</v>
      </c>
      <c r="H1125" s="351" t="s">
        <v>807</v>
      </c>
      <c r="I1125" s="365">
        <f t="shared" ref="I1125:J1127" si="22">+R856</f>
        <v>1.32</v>
      </c>
      <c r="J1125" s="365">
        <f t="shared" si="22"/>
        <v>1.0095238095238095</v>
      </c>
      <c r="K1125" s="221">
        <f t="shared" si="21"/>
        <v>11993.142857142857</v>
      </c>
      <c r="L1125" s="47" t="s">
        <v>88</v>
      </c>
      <c r="M1125" s="25"/>
      <c r="O1125" s="2"/>
      <c r="P1125" s="27"/>
      <c r="Q1125" s="26"/>
      <c r="T1125" s="28"/>
    </row>
    <row r="1126" spans="1:20" ht="30" customHeight="1" x14ac:dyDescent="0.45">
      <c r="A1126" s="47" t="s">
        <v>662</v>
      </c>
      <c r="B1126" s="1092" t="s">
        <v>742</v>
      </c>
      <c r="C1126" s="1092"/>
      <c r="D1126" s="1092"/>
      <c r="E1126" s="383">
        <f>+P857</f>
        <v>157.58000000000001</v>
      </c>
      <c r="F1126" s="222" t="s">
        <v>88</v>
      </c>
      <c r="G1126" s="222">
        <v>96</v>
      </c>
      <c r="H1126" s="351" t="s">
        <v>807</v>
      </c>
      <c r="I1126" s="365">
        <f t="shared" si="22"/>
        <v>1.32</v>
      </c>
      <c r="J1126" s="365">
        <f t="shared" si="22"/>
        <v>1.0095238095238095</v>
      </c>
      <c r="K1126" s="221">
        <f t="shared" si="21"/>
        <v>20158.714148571427</v>
      </c>
      <c r="L1126" s="47" t="s">
        <v>88</v>
      </c>
      <c r="M1126" s="25"/>
      <c r="N1126" s="26"/>
      <c r="O1126" s="2"/>
      <c r="P1126" s="27"/>
      <c r="Q1126" s="26"/>
      <c r="T1126" s="28"/>
    </row>
    <row r="1127" spans="1:20" ht="30" customHeight="1" x14ac:dyDescent="0.45">
      <c r="A1127" s="47" t="s">
        <v>665</v>
      </c>
      <c r="B1127" s="1092" t="s">
        <v>842</v>
      </c>
      <c r="C1127" s="1092"/>
      <c r="D1127" s="1092"/>
      <c r="E1127" s="383">
        <f>+P858</f>
        <v>19.62</v>
      </c>
      <c r="F1127" s="222" t="s">
        <v>113</v>
      </c>
      <c r="G1127" s="424">
        <f>356*12</f>
        <v>4272</v>
      </c>
      <c r="H1127" s="351" t="s">
        <v>810</v>
      </c>
      <c r="I1127" s="365">
        <f t="shared" si="22"/>
        <v>1.32</v>
      </c>
      <c r="J1127" s="365">
        <f t="shared" si="22"/>
        <v>1.0095238095238095</v>
      </c>
      <c r="K1127" s="221">
        <f t="shared" si="21"/>
        <v>111691.65970285714</v>
      </c>
      <c r="L1127" s="47" t="s">
        <v>88</v>
      </c>
      <c r="M1127" s="25"/>
      <c r="N1127" s="26"/>
      <c r="O1127" s="2"/>
      <c r="P1127" s="27"/>
      <c r="Q1127" s="26"/>
      <c r="T1127" s="28"/>
    </row>
    <row r="1128" spans="1:20" ht="30" customHeight="1" x14ac:dyDescent="0.45">
      <c r="A1128" s="47">
        <v>93410</v>
      </c>
      <c r="B1128" s="1092" t="s">
        <v>843</v>
      </c>
      <c r="C1128" s="1092"/>
      <c r="D1128" s="1092"/>
      <c r="E1128" s="334">
        <f>+P868</f>
        <v>2.78</v>
      </c>
      <c r="F1128" s="222" t="s">
        <v>8</v>
      </c>
      <c r="G1128" s="424">
        <v>478</v>
      </c>
      <c r="H1128" s="351" t="s">
        <v>811</v>
      </c>
      <c r="I1128" s="392">
        <f>+R868</f>
        <v>0.93771935922451721</v>
      </c>
      <c r="J1128" s="365"/>
      <c r="K1128" s="221">
        <f>+E1128*G1128*I1128</f>
        <v>1246.0789933119074</v>
      </c>
      <c r="L1128" s="47" t="s">
        <v>88</v>
      </c>
      <c r="M1128" s="25"/>
      <c r="O1128" s="2"/>
      <c r="P1128" s="27"/>
      <c r="Q1128" s="26"/>
      <c r="T1128" s="28"/>
    </row>
    <row r="1129" spans="1:20" ht="30" customHeight="1" x14ac:dyDescent="0.45">
      <c r="A1129" s="47" t="s">
        <v>646</v>
      </c>
      <c r="B1129" s="1092" t="s">
        <v>844</v>
      </c>
      <c r="C1129" s="1092"/>
      <c r="D1129" s="1092"/>
      <c r="E1129" s="383">
        <f>+P850</f>
        <v>14.375</v>
      </c>
      <c r="F1129" s="47" t="s">
        <v>35</v>
      </c>
      <c r="G1129" s="424">
        <f>481*2</f>
        <v>962</v>
      </c>
      <c r="H1129" s="351" t="s">
        <v>806</v>
      </c>
      <c r="I1129" s="365">
        <f>+R850</f>
        <v>1.1100000000000001</v>
      </c>
      <c r="J1129" s="365">
        <f>+S850</f>
        <v>1.0095238095238095</v>
      </c>
      <c r="K1129" s="221">
        <f>+E1129*G1129*I1129*J1129</f>
        <v>15496.102142857144</v>
      </c>
      <c r="L1129" s="47" t="s">
        <v>88</v>
      </c>
      <c r="M1129" s="25"/>
      <c r="N1129" s="26"/>
      <c r="O1129" s="2"/>
      <c r="P1129" s="27"/>
      <c r="Q1129" s="26"/>
      <c r="T1129" s="28"/>
    </row>
    <row r="1130" spans="1:20" ht="30" customHeight="1" x14ac:dyDescent="0.45">
      <c r="A1130" s="47" t="s">
        <v>646</v>
      </c>
      <c r="B1130" s="1092" t="s">
        <v>845</v>
      </c>
      <c r="C1130" s="1092"/>
      <c r="D1130" s="1092"/>
      <c r="E1130" s="383">
        <f>+P849</f>
        <v>11.775</v>
      </c>
      <c r="F1130" s="47" t="s">
        <v>35</v>
      </c>
      <c r="G1130" s="424">
        <f>128*2</f>
        <v>256</v>
      </c>
      <c r="H1130" s="351" t="s">
        <v>806</v>
      </c>
      <c r="I1130" s="365">
        <f>+R849</f>
        <v>1.1100000000000001</v>
      </c>
      <c r="J1130" s="365">
        <f>+S849</f>
        <v>1.0095238095238095</v>
      </c>
      <c r="K1130" s="221">
        <f>+E1130*G1130*I1130*J1130</f>
        <v>3377.8505142857148</v>
      </c>
      <c r="L1130" s="47" t="s">
        <v>88</v>
      </c>
      <c r="M1130" s="25"/>
      <c r="N1130" s="26"/>
      <c r="O1130" s="2"/>
      <c r="P1130" s="27"/>
      <c r="Q1130" s="26"/>
      <c r="T1130" s="28"/>
    </row>
    <row r="1131" spans="1:20" ht="30" customHeight="1" x14ac:dyDescent="0.45">
      <c r="A1131" s="47">
        <v>93410</v>
      </c>
      <c r="B1131" s="1018" t="s">
        <v>846</v>
      </c>
      <c r="C1131" s="1019"/>
      <c r="D1131" s="1020"/>
      <c r="E1131" s="383">
        <f>+P867</f>
        <v>11.04</v>
      </c>
      <c r="F1131" s="222" t="s">
        <v>29</v>
      </c>
      <c r="G1131" s="424">
        <v>575</v>
      </c>
      <c r="H1131" s="351" t="s">
        <v>814</v>
      </c>
      <c r="I1131" s="447">
        <f>+R867</f>
        <v>0.93771935922451721</v>
      </c>
      <c r="J1131" s="365"/>
      <c r="K1131" s="221">
        <f>+E1131*G1131*I1131</f>
        <v>5952.642492357234</v>
      </c>
      <c r="L1131" s="47" t="s">
        <v>88</v>
      </c>
      <c r="M1131" s="25"/>
      <c r="N1131" s="26"/>
      <c r="O1131" s="2"/>
      <c r="P1131" s="27"/>
      <c r="Q1131" s="26"/>
      <c r="T1131" s="28"/>
    </row>
    <row r="1132" spans="1:20" ht="30" customHeight="1" x14ac:dyDescent="0.45">
      <c r="A1132" s="47">
        <v>93210</v>
      </c>
      <c r="B1132" s="1018" t="s">
        <v>847</v>
      </c>
      <c r="C1132" s="1019"/>
      <c r="D1132" s="1020"/>
      <c r="E1132" s="383">
        <f>+P869</f>
        <v>89.16</v>
      </c>
      <c r="F1132" s="222" t="s">
        <v>29</v>
      </c>
      <c r="G1132" s="424">
        <v>156</v>
      </c>
      <c r="H1132" s="351" t="s">
        <v>814</v>
      </c>
      <c r="I1132" s="392">
        <f>+R869</f>
        <v>0.93771935922451721</v>
      </c>
      <c r="J1132" s="365"/>
      <c r="K1132" s="221">
        <f>+E1132*G1132*I1132</f>
        <v>13042.70105867944</v>
      </c>
      <c r="L1132" s="47" t="s">
        <v>88</v>
      </c>
      <c r="M1132" s="25"/>
      <c r="N1132" s="26"/>
      <c r="O1132" s="2"/>
      <c r="P1132" s="27"/>
      <c r="Q1132" s="26"/>
      <c r="T1132" s="28"/>
    </row>
    <row r="1133" spans="1:20" ht="30" customHeight="1" x14ac:dyDescent="0.45">
      <c r="A1133" s="977" t="s">
        <v>712</v>
      </c>
      <c r="B1133" s="978"/>
      <c r="C1133" s="978"/>
      <c r="D1133" s="979"/>
      <c r="E1133" s="221"/>
      <c r="F1133" s="47"/>
      <c r="G1133" s="58"/>
      <c r="H1133" s="179"/>
      <c r="I1133" s="47"/>
      <c r="J1133" s="47" t="s">
        <v>360</v>
      </c>
      <c r="K1133" s="221">
        <f>SUM(K1118:K1132)</f>
        <v>285870.54859577719</v>
      </c>
      <c r="L1133" s="47" t="s">
        <v>88</v>
      </c>
      <c r="M1133" s="25"/>
      <c r="N1133" s="26"/>
      <c r="O1133" s="2"/>
      <c r="P1133" s="27"/>
      <c r="Q1133" s="26"/>
      <c r="T1133" s="28"/>
    </row>
    <row r="1134" spans="1:20" ht="30" customHeight="1" thickBot="1" x14ac:dyDescent="0.5">
      <c r="A1134" s="1352"/>
      <c r="B1134" s="1353"/>
      <c r="C1134" s="1353"/>
      <c r="D1134" s="1354"/>
      <c r="E1134" s="58"/>
      <c r="F1134" s="58"/>
      <c r="G1134" s="1032" t="s">
        <v>288</v>
      </c>
      <c r="H1134" s="1033"/>
      <c r="I1134" s="1034"/>
      <c r="J1134" s="213">
        <f>VLOOKUP(B1115,'[1]Mil Cost Premiums for PUCs'!$A$4:$R$278,18,FALSE)</f>
        <v>1.0485669999999998</v>
      </c>
      <c r="K1134" s="216">
        <f>+K1133*J1134</f>
        <v>299754.42352942826</v>
      </c>
      <c r="L1134" s="47" t="s">
        <v>88</v>
      </c>
      <c r="M1134" s="25"/>
      <c r="N1134" s="26"/>
      <c r="O1134" s="2"/>
      <c r="P1134" s="27"/>
      <c r="Q1134" s="26"/>
      <c r="T1134" s="28"/>
    </row>
    <row r="1135" spans="1:20" ht="30" customHeight="1" thickBot="1" x14ac:dyDescent="0.5">
      <c r="A1135" s="999"/>
      <c r="B1135" s="1000"/>
      <c r="C1135" s="1000"/>
      <c r="D1135" s="1000"/>
      <c r="E1135" s="1000"/>
      <c r="F1135" s="1000"/>
      <c r="G1135" s="1000"/>
      <c r="H1135" s="1000"/>
      <c r="I1135" s="1000"/>
      <c r="J1135" s="1000"/>
      <c r="K1135" s="1000"/>
      <c r="L1135" s="1001"/>
      <c r="M1135" s="25"/>
      <c r="N1135" s="26"/>
      <c r="O1135" s="2"/>
      <c r="P1135" s="27"/>
      <c r="Q1135" s="26"/>
      <c r="T1135" s="28"/>
    </row>
    <row r="1136" spans="1:20" ht="30" customHeight="1" x14ac:dyDescent="0.45">
      <c r="A1136" s="9" t="s">
        <v>4</v>
      </c>
      <c r="B1136" s="10">
        <v>1771</v>
      </c>
      <c r="C1136" s="983" t="s">
        <v>848</v>
      </c>
      <c r="D1136" s="984"/>
      <c r="E1136" s="13" t="s">
        <v>7</v>
      </c>
      <c r="F1136" s="14" t="s">
        <v>773</v>
      </c>
      <c r="G1136" s="467" t="s">
        <v>849</v>
      </c>
      <c r="H1136" s="370">
        <v>1</v>
      </c>
      <c r="I1136" s="13" t="s">
        <v>9</v>
      </c>
      <c r="J1136" s="1355" t="s">
        <v>701</v>
      </c>
      <c r="K1136" s="1355"/>
      <c r="L1136" s="1356"/>
      <c r="M1136" s="25"/>
      <c r="N1136" s="26"/>
      <c r="O1136" s="2"/>
      <c r="P1136" s="27"/>
      <c r="Q1136" s="26"/>
      <c r="T1136" s="28"/>
    </row>
    <row r="1137" spans="1:20" ht="30" customHeight="1" x14ac:dyDescent="0.45">
      <c r="A1137" s="19" t="s">
        <v>702</v>
      </c>
      <c r="B1137" s="987" t="s">
        <v>293</v>
      </c>
      <c r="C1137" s="988"/>
      <c r="D1137" s="989"/>
      <c r="E1137" s="220" t="s">
        <v>13</v>
      </c>
      <c r="F1137" s="220" t="s">
        <v>14</v>
      </c>
      <c r="G1137" s="990" t="s">
        <v>15</v>
      </c>
      <c r="H1137" s="991"/>
      <c r="I1137" s="19" t="s">
        <v>278</v>
      </c>
      <c r="J1137" s="277" t="s">
        <v>285</v>
      </c>
      <c r="K1137" s="992" t="s">
        <v>17</v>
      </c>
      <c r="L1137" s="993"/>
      <c r="M1137" s="25"/>
      <c r="N1137" s="26"/>
      <c r="O1137" s="2"/>
      <c r="P1137" s="27"/>
      <c r="Q1137" s="26"/>
      <c r="T1137" s="28"/>
    </row>
    <row r="1138" spans="1:20" ht="30" customHeight="1" x14ac:dyDescent="0.45">
      <c r="A1138" s="19"/>
      <c r="B1138" s="1008" t="s">
        <v>850</v>
      </c>
      <c r="C1138" s="1009"/>
      <c r="D1138" s="1010"/>
      <c r="E1138" s="220"/>
      <c r="F1138" s="220"/>
      <c r="G1138" s="98"/>
      <c r="H1138" s="99"/>
      <c r="I1138" s="460"/>
      <c r="J1138" s="460"/>
      <c r="K1138" s="220"/>
      <c r="L1138" s="220"/>
      <c r="M1138" s="25"/>
      <c r="N1138" s="26"/>
      <c r="O1138" s="2"/>
      <c r="P1138" s="27"/>
      <c r="Q1138" s="26"/>
      <c r="T1138" s="28"/>
    </row>
    <row r="1139" spans="1:20" ht="30" customHeight="1" x14ac:dyDescent="0.45">
      <c r="A1139" s="47" t="s">
        <v>646</v>
      </c>
      <c r="B1139" s="1018" t="s">
        <v>851</v>
      </c>
      <c r="C1139" s="1019"/>
      <c r="D1139" s="1020"/>
      <c r="E1139" s="383">
        <f>+P849</f>
        <v>11.775</v>
      </c>
      <c r="F1139" s="47" t="s">
        <v>35</v>
      </c>
      <c r="G1139" s="424">
        <f>146*62</f>
        <v>9052</v>
      </c>
      <c r="H1139" s="351" t="s">
        <v>775</v>
      </c>
      <c r="I1139" s="365">
        <f>+R849</f>
        <v>1.1100000000000001</v>
      </c>
      <c r="J1139" s="365">
        <f>+S849</f>
        <v>1.0095238095238095</v>
      </c>
      <c r="K1139" s="221">
        <f t="shared" ref="K1139:K1150" si="23">+E1139*G1139*I1139*J1139</f>
        <v>119438.68302857144</v>
      </c>
      <c r="L1139" s="47" t="s">
        <v>773</v>
      </c>
      <c r="M1139" s="25"/>
      <c r="N1139" s="26"/>
      <c r="O1139" s="2"/>
      <c r="P1139" s="27"/>
      <c r="Q1139" s="26"/>
      <c r="T1139" s="28"/>
    </row>
    <row r="1140" spans="1:20" ht="30" customHeight="1" x14ac:dyDescent="0.45">
      <c r="A1140" s="47" t="s">
        <v>282</v>
      </c>
      <c r="B1140" s="1018" t="s">
        <v>656</v>
      </c>
      <c r="C1140" s="1019"/>
      <c r="D1140" s="1020"/>
      <c r="E1140" s="383">
        <f>+P853</f>
        <v>504.5</v>
      </c>
      <c r="F1140" s="222" t="s">
        <v>88</v>
      </c>
      <c r="G1140" s="424">
        <v>146</v>
      </c>
      <c r="H1140" s="351" t="s">
        <v>794</v>
      </c>
      <c r="I1140" s="365">
        <f>+R853</f>
        <v>1.32</v>
      </c>
      <c r="J1140" s="365">
        <f>+S853</f>
        <v>1.0095238095238095</v>
      </c>
      <c r="K1140" s="221">
        <f t="shared" si="23"/>
        <v>98153.21371428571</v>
      </c>
      <c r="L1140" s="47" t="s">
        <v>773</v>
      </c>
      <c r="M1140" s="25"/>
      <c r="N1140" s="26"/>
      <c r="O1140" s="2"/>
      <c r="P1140" s="27"/>
      <c r="Q1140" s="26"/>
      <c r="T1140" s="28"/>
    </row>
    <row r="1141" spans="1:20" ht="30" customHeight="1" x14ac:dyDescent="0.45">
      <c r="A1141" s="47" t="s">
        <v>282</v>
      </c>
      <c r="B1141" s="1092" t="s">
        <v>658</v>
      </c>
      <c r="C1141" s="1092"/>
      <c r="D1141" s="1092"/>
      <c r="E1141" s="383">
        <f>+P855</f>
        <v>362.5</v>
      </c>
      <c r="F1141" s="222" t="s">
        <v>88</v>
      </c>
      <c r="G1141" s="424">
        <v>146</v>
      </c>
      <c r="H1141" s="351" t="s">
        <v>794</v>
      </c>
      <c r="I1141" s="365">
        <f>+R855</f>
        <v>1.32</v>
      </c>
      <c r="J1141" s="365">
        <f>+S855</f>
        <v>1.0095238095238095</v>
      </c>
      <c r="K1141" s="221">
        <f t="shared" si="23"/>
        <v>70526.342857142852</v>
      </c>
      <c r="L1141" s="47" t="s">
        <v>773</v>
      </c>
      <c r="M1141" s="25"/>
      <c r="N1141" s="26"/>
      <c r="O1141" s="2"/>
      <c r="P1141" s="27"/>
      <c r="Q1141" s="26"/>
      <c r="T1141" s="28"/>
    </row>
    <row r="1142" spans="1:20" ht="30" customHeight="1" x14ac:dyDescent="0.45">
      <c r="A1142" s="47" t="s">
        <v>646</v>
      </c>
      <c r="B1142" s="1092" t="s">
        <v>852</v>
      </c>
      <c r="C1142" s="1092"/>
      <c r="D1142" s="1092"/>
      <c r="E1142" s="383">
        <f>+P850</f>
        <v>14.375</v>
      </c>
      <c r="F1142" s="47" t="s">
        <v>35</v>
      </c>
      <c r="G1142" s="424">
        <f>30*468</f>
        <v>14040</v>
      </c>
      <c r="H1142" s="351" t="s">
        <v>775</v>
      </c>
      <c r="I1142" s="365">
        <f>+R850</f>
        <v>1.1100000000000001</v>
      </c>
      <c r="J1142" s="365">
        <f>+S850</f>
        <v>1.0095238095238095</v>
      </c>
      <c r="K1142" s="221">
        <f t="shared" si="23"/>
        <v>226159.3285714286</v>
      </c>
      <c r="L1142" s="47" t="s">
        <v>773</v>
      </c>
      <c r="M1142" s="25"/>
      <c r="N1142" s="26"/>
      <c r="O1142" s="2"/>
      <c r="P1142" s="27"/>
      <c r="Q1142" s="26"/>
      <c r="T1142" s="28"/>
    </row>
    <row r="1143" spans="1:20" ht="30" customHeight="1" x14ac:dyDescent="0.45">
      <c r="A1143" s="47" t="s">
        <v>484</v>
      </c>
      <c r="B1143" s="1092" t="s">
        <v>853</v>
      </c>
      <c r="C1143" s="1092"/>
      <c r="D1143" s="1092"/>
      <c r="E1143" s="383">
        <f>+P851</f>
        <v>20.25</v>
      </c>
      <c r="F1143" s="47" t="s">
        <v>35</v>
      </c>
      <c r="G1143" s="424">
        <f>2152*6</f>
        <v>12912</v>
      </c>
      <c r="H1143" s="351" t="s">
        <v>775</v>
      </c>
      <c r="I1143" s="365">
        <f>+R851</f>
        <v>1.28</v>
      </c>
      <c r="J1143" s="365">
        <f>+S851</f>
        <v>1.0095238095238095</v>
      </c>
      <c r="K1143" s="221">
        <f t="shared" si="23"/>
        <v>337866.4594285714</v>
      </c>
      <c r="L1143" s="47" t="s">
        <v>773</v>
      </c>
      <c r="M1143" s="25"/>
      <c r="N1143" s="26"/>
      <c r="O1143" s="2"/>
      <c r="P1143" s="27"/>
      <c r="Q1143" s="26"/>
      <c r="T1143" s="28"/>
    </row>
    <row r="1144" spans="1:20" ht="30" customHeight="1" x14ac:dyDescent="0.45">
      <c r="A1144" s="47" t="s">
        <v>484</v>
      </c>
      <c r="B1144" s="1092" t="s">
        <v>854</v>
      </c>
      <c r="C1144" s="1092"/>
      <c r="D1144" s="1092"/>
      <c r="E1144" s="383">
        <f>+P851</f>
        <v>20.25</v>
      </c>
      <c r="F1144" s="47" t="s">
        <v>35</v>
      </c>
      <c r="G1144" s="424">
        <f>80.7*4</f>
        <v>322.8</v>
      </c>
      <c r="H1144" s="351" t="s">
        <v>775</v>
      </c>
      <c r="I1144" s="365">
        <f>+R851</f>
        <v>1.28</v>
      </c>
      <c r="J1144" s="365">
        <f>+S851</f>
        <v>1.0095238095238095</v>
      </c>
      <c r="K1144" s="221">
        <f t="shared" si="23"/>
        <v>8446.6614857142868</v>
      </c>
      <c r="L1144" s="47" t="s">
        <v>773</v>
      </c>
      <c r="M1144" s="25"/>
      <c r="N1144" s="26"/>
      <c r="O1144" s="2"/>
      <c r="P1144" s="27"/>
      <c r="Q1144" s="26"/>
      <c r="T1144" s="28"/>
    </row>
    <row r="1145" spans="1:20" ht="30" customHeight="1" x14ac:dyDescent="0.45">
      <c r="A1145" s="47" t="s">
        <v>282</v>
      </c>
      <c r="B1145" s="1092" t="s">
        <v>657</v>
      </c>
      <c r="C1145" s="1092"/>
      <c r="D1145" s="1092"/>
      <c r="E1145" s="383">
        <f>+P854</f>
        <v>920</v>
      </c>
      <c r="F1145" s="222" t="s">
        <v>88</v>
      </c>
      <c r="G1145" s="424">
        <v>40</v>
      </c>
      <c r="H1145" s="351" t="s">
        <v>794</v>
      </c>
      <c r="I1145" s="365">
        <f>+R854</f>
        <v>1.32</v>
      </c>
      <c r="J1145" s="365">
        <f>+S854</f>
        <v>1.0095238095238095</v>
      </c>
      <c r="K1145" s="221">
        <f t="shared" si="23"/>
        <v>49038.62857142857</v>
      </c>
      <c r="L1145" s="47" t="s">
        <v>773</v>
      </c>
      <c r="M1145" s="25"/>
      <c r="N1145" s="26"/>
      <c r="O1145" s="2"/>
      <c r="P1145" s="27"/>
      <c r="Q1145" s="26"/>
      <c r="T1145" s="28"/>
    </row>
    <row r="1146" spans="1:20" ht="30" customHeight="1" x14ac:dyDescent="0.45">
      <c r="A1146" s="47" t="s">
        <v>470</v>
      </c>
      <c r="B1146" s="1092" t="s">
        <v>855</v>
      </c>
      <c r="C1146" s="1092"/>
      <c r="D1146" s="1092"/>
      <c r="E1146" s="383">
        <f>+P860</f>
        <v>21.1</v>
      </c>
      <c r="F1146" s="222" t="s">
        <v>113</v>
      </c>
      <c r="G1146" s="424">
        <f>+((656*6)+(49*4))</f>
        <v>4132</v>
      </c>
      <c r="H1146" s="351" t="s">
        <v>796</v>
      </c>
      <c r="I1146" s="365">
        <f>+R860</f>
        <v>1.26</v>
      </c>
      <c r="J1146" s="365">
        <f>+S860</f>
        <v>1.0095238095238095</v>
      </c>
      <c r="K1146" s="221">
        <f t="shared" si="23"/>
        <v>110899.57440000001</v>
      </c>
      <c r="L1146" s="47" t="s">
        <v>773</v>
      </c>
      <c r="M1146" s="25"/>
      <c r="N1146" s="26"/>
      <c r="O1146" s="2"/>
      <c r="P1146" s="27"/>
      <c r="Q1146" s="26"/>
      <c r="T1146" s="28"/>
    </row>
    <row r="1147" spans="1:20" ht="30" customHeight="1" x14ac:dyDescent="0.45">
      <c r="A1147" s="47" t="s">
        <v>470</v>
      </c>
      <c r="B1147" s="1092" t="s">
        <v>824</v>
      </c>
      <c r="C1147" s="1092"/>
      <c r="D1147" s="1092"/>
      <c r="E1147" s="383">
        <f>+P861</f>
        <v>3352.5</v>
      </c>
      <c r="F1147" s="222" t="s">
        <v>88</v>
      </c>
      <c r="G1147" s="424">
        <v>10</v>
      </c>
      <c r="H1147" s="351" t="s">
        <v>794</v>
      </c>
      <c r="I1147" s="365">
        <f>+R861</f>
        <v>1.26</v>
      </c>
      <c r="J1147" s="365">
        <f>+S861</f>
        <v>1.0095238095238095</v>
      </c>
      <c r="K1147" s="221">
        <f t="shared" si="23"/>
        <v>42643.799999999996</v>
      </c>
      <c r="L1147" s="47" t="s">
        <v>773</v>
      </c>
      <c r="M1147" s="25"/>
      <c r="N1147" s="26"/>
      <c r="O1147" s="2"/>
      <c r="P1147" s="27"/>
      <c r="Q1147" s="26"/>
      <c r="T1147" s="28"/>
    </row>
    <row r="1148" spans="1:20" ht="30" customHeight="1" x14ac:dyDescent="0.45">
      <c r="A1148" s="47" t="s">
        <v>282</v>
      </c>
      <c r="B1148" s="1092" t="s">
        <v>759</v>
      </c>
      <c r="C1148" s="1092"/>
      <c r="D1148" s="1092"/>
      <c r="E1148" s="383">
        <f>+P856</f>
        <v>1125</v>
      </c>
      <c r="F1148" s="222" t="s">
        <v>88</v>
      </c>
      <c r="G1148" s="424">
        <v>40</v>
      </c>
      <c r="H1148" s="351" t="s">
        <v>794</v>
      </c>
      <c r="I1148" s="365">
        <f t="shared" ref="I1148:J1150" si="24">+R856</f>
        <v>1.32</v>
      </c>
      <c r="J1148" s="365">
        <f t="shared" si="24"/>
        <v>1.0095238095238095</v>
      </c>
      <c r="K1148" s="221">
        <f t="shared" si="23"/>
        <v>59965.714285714283</v>
      </c>
      <c r="L1148" s="47" t="s">
        <v>773</v>
      </c>
      <c r="M1148" s="25"/>
      <c r="N1148" s="26"/>
      <c r="O1148" s="2"/>
      <c r="P1148" s="27"/>
      <c r="Q1148" s="26"/>
      <c r="T1148" s="28"/>
    </row>
    <row r="1149" spans="1:20" ht="30" customHeight="1" x14ac:dyDescent="0.45">
      <c r="A1149" s="47" t="s">
        <v>662</v>
      </c>
      <c r="B1149" s="1092" t="s">
        <v>825</v>
      </c>
      <c r="C1149" s="1092"/>
      <c r="D1149" s="1092"/>
      <c r="E1149" s="383">
        <f>+P857</f>
        <v>157.58000000000001</v>
      </c>
      <c r="F1149" s="222" t="s">
        <v>88</v>
      </c>
      <c r="G1149" s="424">
        <v>774</v>
      </c>
      <c r="H1149" s="351" t="s">
        <v>794</v>
      </c>
      <c r="I1149" s="365">
        <f t="shared" si="24"/>
        <v>1.32</v>
      </c>
      <c r="J1149" s="365">
        <f t="shared" si="24"/>
        <v>1.0095238095238095</v>
      </c>
      <c r="K1149" s="221">
        <f t="shared" si="23"/>
        <v>162529.63282285715</v>
      </c>
      <c r="L1149" s="47" t="s">
        <v>773</v>
      </c>
      <c r="M1149" s="25"/>
      <c r="N1149" s="26"/>
      <c r="O1149" s="2"/>
      <c r="P1149" s="27"/>
      <c r="Q1149" s="26"/>
      <c r="T1149" s="28"/>
    </row>
    <row r="1150" spans="1:20" ht="30" customHeight="1" x14ac:dyDescent="0.45">
      <c r="A1150" s="47" t="s">
        <v>665</v>
      </c>
      <c r="B1150" s="1018" t="s">
        <v>826</v>
      </c>
      <c r="C1150" s="1019"/>
      <c r="D1150" s="1020"/>
      <c r="E1150" s="383">
        <f>+P858</f>
        <v>19.62</v>
      </c>
      <c r="F1150" s="222" t="s">
        <v>113</v>
      </c>
      <c r="G1150" s="424">
        <v>165233</v>
      </c>
      <c r="H1150" s="351" t="s">
        <v>796</v>
      </c>
      <c r="I1150" s="365">
        <f t="shared" si="24"/>
        <v>1.32</v>
      </c>
      <c r="J1150" s="365">
        <f t="shared" si="24"/>
        <v>1.0095238095238095</v>
      </c>
      <c r="K1150" s="221">
        <f t="shared" si="23"/>
        <v>4320025.282697143</v>
      </c>
      <c r="L1150" s="47" t="s">
        <v>773</v>
      </c>
      <c r="M1150" s="25"/>
      <c r="N1150" s="26"/>
      <c r="O1150" s="2"/>
      <c r="P1150" s="27"/>
      <c r="Q1150" s="26"/>
      <c r="T1150" s="28"/>
    </row>
    <row r="1151" spans="1:20" ht="30" customHeight="1" x14ac:dyDescent="0.45">
      <c r="A1151" s="47">
        <v>93410</v>
      </c>
      <c r="B1151" s="1018" t="s">
        <v>856</v>
      </c>
      <c r="C1151" s="1019"/>
      <c r="D1151" s="1020"/>
      <c r="E1151" s="334">
        <f>+P868</f>
        <v>2.78</v>
      </c>
      <c r="F1151" s="222" t="s">
        <v>8</v>
      </c>
      <c r="G1151" s="424">
        <v>2488</v>
      </c>
      <c r="H1151" s="351" t="s">
        <v>799</v>
      </c>
      <c r="I1151" s="392">
        <f>+R868</f>
        <v>0.93771935922451721</v>
      </c>
      <c r="J1151" s="47"/>
      <c r="K1151" s="221">
        <f>+E1151*G1151*I1151</f>
        <v>6485.8672287866639</v>
      </c>
      <c r="L1151" s="47" t="s">
        <v>773</v>
      </c>
      <c r="M1151" s="25"/>
      <c r="N1151" s="437"/>
      <c r="O1151" s="2"/>
      <c r="P1151" s="27"/>
      <c r="Q1151" s="26"/>
      <c r="T1151" s="28"/>
    </row>
    <row r="1152" spans="1:20" ht="30" customHeight="1" x14ac:dyDescent="0.45">
      <c r="A1152" s="47" t="s">
        <v>646</v>
      </c>
      <c r="B1152" s="1018" t="s">
        <v>857</v>
      </c>
      <c r="C1152" s="1019"/>
      <c r="D1152" s="1020"/>
      <c r="E1152" s="383">
        <f>+P850</f>
        <v>14.375</v>
      </c>
      <c r="F1152" s="47" t="s">
        <v>35</v>
      </c>
      <c r="G1152" s="424">
        <f>481*8</f>
        <v>3848</v>
      </c>
      <c r="H1152" s="351" t="s">
        <v>775</v>
      </c>
      <c r="I1152" s="47">
        <f>+R850</f>
        <v>1.1100000000000001</v>
      </c>
      <c r="J1152" s="365">
        <f>+S850</f>
        <v>1.0095238095238095</v>
      </c>
      <c r="K1152" s="221">
        <f>+E1152*G1152*I1152*J1152</f>
        <v>61984.408571428576</v>
      </c>
      <c r="L1152" s="47" t="s">
        <v>773</v>
      </c>
      <c r="M1152" s="25"/>
      <c r="N1152" s="437"/>
      <c r="O1152" s="2"/>
      <c r="P1152" s="27"/>
      <c r="Q1152" s="26"/>
      <c r="T1152" s="28"/>
    </row>
    <row r="1153" spans="1:20" ht="30" customHeight="1" x14ac:dyDescent="0.45">
      <c r="A1153" s="47">
        <v>93410</v>
      </c>
      <c r="B1153" s="1018" t="s">
        <v>858</v>
      </c>
      <c r="C1153" s="1019"/>
      <c r="D1153" s="1020"/>
      <c r="E1153" s="383">
        <f>+P867</f>
        <v>11.04</v>
      </c>
      <c r="F1153" s="222" t="s">
        <v>29</v>
      </c>
      <c r="G1153" s="424">
        <v>5713</v>
      </c>
      <c r="H1153" s="351" t="s">
        <v>777</v>
      </c>
      <c r="I1153" s="392">
        <f>+R867</f>
        <v>0.93771935922451721</v>
      </c>
      <c r="J1153" s="47"/>
      <c r="K1153" s="221">
        <f>+E1153*G1153*I1153</f>
        <v>59143.385319716319</v>
      </c>
      <c r="L1153" s="47" t="s">
        <v>773</v>
      </c>
      <c r="M1153" s="25"/>
      <c r="N1153" s="26"/>
      <c r="O1153" s="2"/>
      <c r="P1153" s="27"/>
      <c r="Q1153" s="26"/>
      <c r="T1153" s="28"/>
    </row>
    <row r="1154" spans="1:20" ht="30" customHeight="1" x14ac:dyDescent="0.45">
      <c r="A1154" s="47" t="s">
        <v>644</v>
      </c>
      <c r="B1154" s="1018" t="s">
        <v>859</v>
      </c>
      <c r="C1154" s="1019"/>
      <c r="D1154" s="1020"/>
      <c r="E1154" s="334">
        <f>+P848</f>
        <v>3983</v>
      </c>
      <c r="F1154" s="222" t="s">
        <v>88</v>
      </c>
      <c r="G1154" s="424">
        <v>2</v>
      </c>
      <c r="H1154" s="351" t="s">
        <v>794</v>
      </c>
      <c r="I1154" s="47">
        <f>+R848</f>
        <v>1.1200000000000001</v>
      </c>
      <c r="J1154" s="365">
        <f>+S848</f>
        <v>1.0095238095238095</v>
      </c>
      <c r="K1154" s="221">
        <f>+E1154*G1154*I1154*J1154</f>
        <v>9006.8906666666662</v>
      </c>
      <c r="L1154" s="47" t="s">
        <v>773</v>
      </c>
      <c r="M1154" s="25"/>
      <c r="N1154" s="26"/>
      <c r="O1154" s="2"/>
      <c r="P1154" s="27"/>
      <c r="Q1154" s="26"/>
      <c r="T1154" s="28"/>
    </row>
    <row r="1155" spans="1:20" ht="30" customHeight="1" x14ac:dyDescent="0.45">
      <c r="A1155" s="47">
        <v>93210</v>
      </c>
      <c r="B1155" s="1018" t="s">
        <v>860</v>
      </c>
      <c r="C1155" s="1019"/>
      <c r="D1155" s="1020"/>
      <c r="E1155" s="383">
        <f>+P869</f>
        <v>89.16</v>
      </c>
      <c r="F1155" s="222" t="s">
        <v>29</v>
      </c>
      <c r="G1155" s="424">
        <v>7850</v>
      </c>
      <c r="H1155" s="351" t="s">
        <v>777</v>
      </c>
      <c r="I1155" s="392">
        <f>+R869</f>
        <v>0.93771935922451721</v>
      </c>
      <c r="J1155" s="47"/>
      <c r="K1155" s="221">
        <f>+E1155*G1155*I1155</f>
        <v>656315.405837395</v>
      </c>
      <c r="L1155" s="47" t="s">
        <v>773</v>
      </c>
      <c r="M1155" s="25"/>
      <c r="N1155" s="26"/>
      <c r="O1155" s="2"/>
      <c r="P1155" s="27"/>
      <c r="Q1155" s="26"/>
      <c r="T1155" s="28"/>
    </row>
    <row r="1156" spans="1:20" ht="30" customHeight="1" x14ac:dyDescent="0.45">
      <c r="A1156" s="47" t="s">
        <v>642</v>
      </c>
      <c r="B1156" s="1018" t="s">
        <v>861</v>
      </c>
      <c r="C1156" s="1019"/>
      <c r="D1156" s="1020"/>
      <c r="E1156" s="334">
        <f>+P847</f>
        <v>21.15</v>
      </c>
      <c r="F1156" s="222" t="s">
        <v>35</v>
      </c>
      <c r="G1156" s="424">
        <v>2800</v>
      </c>
      <c r="H1156" s="351" t="s">
        <v>775</v>
      </c>
      <c r="I1156" s="410">
        <f>+R847</f>
        <v>1.29</v>
      </c>
      <c r="J1156" s="365">
        <f>+S847</f>
        <v>1.0095238095238095</v>
      </c>
      <c r="K1156" s="221">
        <f>+E1156*G1156*I1156*J1156</f>
        <v>77121.359999999986</v>
      </c>
      <c r="L1156" s="47" t="s">
        <v>773</v>
      </c>
      <c r="M1156" s="25"/>
      <c r="N1156" s="26"/>
      <c r="O1156" s="2"/>
      <c r="P1156" s="27"/>
      <c r="Q1156" s="26"/>
      <c r="T1156" s="28"/>
    </row>
    <row r="1157" spans="1:20" ht="30" customHeight="1" x14ac:dyDescent="0.45">
      <c r="A1157" s="977" t="s">
        <v>712</v>
      </c>
      <c r="B1157" s="978"/>
      <c r="C1157" s="978"/>
      <c r="D1157" s="979"/>
      <c r="E1157" s="221"/>
      <c r="F1157" s="47"/>
      <c r="G1157" s="58"/>
      <c r="H1157" s="179"/>
      <c r="I1157" s="47"/>
      <c r="J1157" s="47" t="s">
        <v>360</v>
      </c>
      <c r="K1157" s="221">
        <f>SUM(K1139:K1156)</f>
        <v>6475750.6394868512</v>
      </c>
      <c r="L1157" s="47" t="s">
        <v>773</v>
      </c>
      <c r="M1157" s="25"/>
      <c r="N1157" s="26"/>
      <c r="O1157" s="2"/>
      <c r="P1157" s="27"/>
      <c r="Q1157" s="26"/>
      <c r="T1157" s="28"/>
    </row>
    <row r="1158" spans="1:20" ht="30" customHeight="1" thickBot="1" x14ac:dyDescent="0.5">
      <c r="A1158" s="1352"/>
      <c r="B1158" s="1353"/>
      <c r="C1158" s="1353"/>
      <c r="D1158" s="1354"/>
      <c r="E1158" s="58"/>
      <c r="F1158" s="58"/>
      <c r="G1158" s="1032" t="s">
        <v>288</v>
      </c>
      <c r="H1158" s="1033"/>
      <c r="I1158" s="1034"/>
      <c r="J1158" s="213">
        <f>VLOOKUP(B1136,'[1]Mil Cost Premiums for PUCs'!$A$4:$R$278,18,FALSE)</f>
        <v>1.0821211439999998</v>
      </c>
      <c r="K1158" s="216">
        <f>+K1157*J1158</f>
        <v>7007546.6902602417</v>
      </c>
      <c r="L1158" s="47" t="s">
        <v>773</v>
      </c>
      <c r="M1158" s="25"/>
      <c r="N1158" s="26"/>
      <c r="O1158" s="2"/>
      <c r="P1158" s="27"/>
      <c r="Q1158" s="26"/>
      <c r="T1158" s="28"/>
    </row>
    <row r="1159" spans="1:20" ht="30" customHeight="1" thickBot="1" x14ac:dyDescent="0.5">
      <c r="A1159" s="999"/>
      <c r="B1159" s="1000"/>
      <c r="C1159" s="1000"/>
      <c r="D1159" s="1000"/>
      <c r="E1159" s="1000"/>
      <c r="F1159" s="1000"/>
      <c r="G1159" s="1000"/>
      <c r="H1159" s="1000"/>
      <c r="I1159" s="1000"/>
      <c r="J1159" s="1000"/>
      <c r="K1159" s="1000"/>
      <c r="L1159" s="1001"/>
      <c r="M1159" s="25"/>
      <c r="N1159" s="26"/>
      <c r="O1159" s="2"/>
      <c r="P1159" s="27"/>
      <c r="Q1159" s="26"/>
      <c r="T1159" s="28"/>
    </row>
    <row r="1160" spans="1:20" ht="30" customHeight="1" x14ac:dyDescent="0.45">
      <c r="A1160" s="9" t="s">
        <v>4</v>
      </c>
      <c r="B1160" s="10">
        <v>1772</v>
      </c>
      <c r="C1160" s="983" t="s">
        <v>862</v>
      </c>
      <c r="D1160" s="984"/>
      <c r="E1160" s="13" t="s">
        <v>7</v>
      </c>
      <c r="F1160" s="14" t="s">
        <v>88</v>
      </c>
      <c r="G1160" s="467" t="s">
        <v>863</v>
      </c>
      <c r="H1160" s="370">
        <v>1</v>
      </c>
      <c r="I1160" s="13" t="s">
        <v>9</v>
      </c>
      <c r="J1160" s="1355" t="s">
        <v>701</v>
      </c>
      <c r="K1160" s="1355"/>
      <c r="L1160" s="1356"/>
      <c r="M1160" s="25"/>
      <c r="N1160" s="26"/>
      <c r="O1160" s="2"/>
      <c r="P1160" s="27"/>
      <c r="Q1160" s="26"/>
      <c r="T1160" s="28"/>
    </row>
    <row r="1161" spans="1:20" ht="30" customHeight="1" x14ac:dyDescent="0.45">
      <c r="A1161" s="19" t="s">
        <v>702</v>
      </c>
      <c r="B1161" s="987" t="s">
        <v>293</v>
      </c>
      <c r="C1161" s="988"/>
      <c r="D1161" s="989"/>
      <c r="E1161" s="220" t="s">
        <v>13</v>
      </c>
      <c r="F1161" s="220" t="s">
        <v>14</v>
      </c>
      <c r="G1161" s="990" t="s">
        <v>15</v>
      </c>
      <c r="H1161" s="991"/>
      <c r="I1161" s="19" t="s">
        <v>278</v>
      </c>
      <c r="J1161" s="277" t="s">
        <v>285</v>
      </c>
      <c r="K1161" s="992" t="s">
        <v>17</v>
      </c>
      <c r="L1161" s="993"/>
      <c r="M1161" s="25"/>
      <c r="N1161" s="26"/>
      <c r="O1161" s="2"/>
      <c r="P1161" s="27"/>
      <c r="Q1161" s="26"/>
      <c r="T1161" s="28"/>
    </row>
    <row r="1162" spans="1:20" ht="30" customHeight="1" x14ac:dyDescent="0.45">
      <c r="A1162" s="19"/>
      <c r="B1162" s="1008" t="s">
        <v>864</v>
      </c>
      <c r="C1162" s="1009"/>
      <c r="D1162" s="1010"/>
      <c r="E1162" s="220"/>
      <c r="F1162" s="220"/>
      <c r="G1162" s="98"/>
      <c r="H1162" s="99"/>
      <c r="I1162" s="460"/>
      <c r="J1162" s="460"/>
      <c r="K1162" s="220"/>
      <c r="L1162" s="220"/>
      <c r="M1162" s="25"/>
      <c r="N1162" s="26"/>
      <c r="O1162" s="2"/>
      <c r="P1162" s="27"/>
      <c r="Q1162" s="26"/>
      <c r="T1162" s="28"/>
    </row>
    <row r="1163" spans="1:20" ht="30" customHeight="1" x14ac:dyDescent="0.45">
      <c r="A1163" s="47" t="s">
        <v>646</v>
      </c>
      <c r="B1163" s="1018" t="s">
        <v>865</v>
      </c>
      <c r="C1163" s="1019"/>
      <c r="D1163" s="1020"/>
      <c r="E1163" s="383">
        <f>+P849</f>
        <v>11.775</v>
      </c>
      <c r="F1163" s="47" t="s">
        <v>35</v>
      </c>
      <c r="G1163" s="424">
        <f>294*62</f>
        <v>18228</v>
      </c>
      <c r="H1163" s="351" t="s">
        <v>806</v>
      </c>
      <c r="I1163" s="365">
        <f>+R849</f>
        <v>1.1100000000000001</v>
      </c>
      <c r="J1163" s="365">
        <f>+S849</f>
        <v>1.0095238095238095</v>
      </c>
      <c r="K1163" s="221">
        <f t="shared" ref="K1163:K1174" si="25">+E1163*G1163*I1163*J1163</f>
        <v>240513.51240000001</v>
      </c>
      <c r="L1163" s="47" t="s">
        <v>88</v>
      </c>
      <c r="M1163" s="25"/>
      <c r="N1163" s="26"/>
      <c r="O1163" s="2"/>
      <c r="P1163" s="27"/>
      <c r="Q1163" s="26"/>
      <c r="T1163" s="28"/>
    </row>
    <row r="1164" spans="1:20" ht="30" customHeight="1" x14ac:dyDescent="0.45">
      <c r="A1164" s="47" t="s">
        <v>282</v>
      </c>
      <c r="B1164" s="1018" t="s">
        <v>656</v>
      </c>
      <c r="C1164" s="1019"/>
      <c r="D1164" s="1020"/>
      <c r="E1164" s="383">
        <f>+P853</f>
        <v>504.5</v>
      </c>
      <c r="F1164" s="222" t="s">
        <v>88</v>
      </c>
      <c r="G1164" s="424">
        <v>306</v>
      </c>
      <c r="H1164" s="351" t="s">
        <v>807</v>
      </c>
      <c r="I1164" s="365">
        <f>+R853</f>
        <v>1.32</v>
      </c>
      <c r="J1164" s="365">
        <f>+S853</f>
        <v>1.0095238095238095</v>
      </c>
      <c r="K1164" s="221">
        <f t="shared" si="25"/>
        <v>205718.37942857144</v>
      </c>
      <c r="L1164" s="47" t="s">
        <v>88</v>
      </c>
      <c r="M1164" s="25"/>
      <c r="N1164" s="26"/>
      <c r="O1164" s="2"/>
      <c r="P1164" s="27"/>
      <c r="Q1164" s="26"/>
      <c r="T1164" s="28"/>
    </row>
    <row r="1165" spans="1:20" ht="30" customHeight="1" x14ac:dyDescent="0.45">
      <c r="A1165" s="47" t="s">
        <v>282</v>
      </c>
      <c r="B1165" s="1018" t="s">
        <v>658</v>
      </c>
      <c r="C1165" s="1019"/>
      <c r="D1165" s="1020"/>
      <c r="E1165" s="383">
        <f>+P855</f>
        <v>362.5</v>
      </c>
      <c r="F1165" s="222" t="s">
        <v>88</v>
      </c>
      <c r="G1165" s="424">
        <v>306</v>
      </c>
      <c r="H1165" s="351" t="s">
        <v>807</v>
      </c>
      <c r="I1165" s="365">
        <f>+R855</f>
        <v>1.32</v>
      </c>
      <c r="J1165" s="365">
        <f>+S855</f>
        <v>1.0095238095238095</v>
      </c>
      <c r="K1165" s="221">
        <f t="shared" si="25"/>
        <v>147815.48571428572</v>
      </c>
      <c r="L1165" s="47" t="s">
        <v>88</v>
      </c>
      <c r="M1165" s="25"/>
      <c r="N1165" s="26"/>
      <c r="O1165" s="2"/>
      <c r="P1165" s="27"/>
      <c r="Q1165" s="26"/>
      <c r="T1165" s="28"/>
    </row>
    <row r="1166" spans="1:20" ht="30" customHeight="1" x14ac:dyDescent="0.45">
      <c r="A1166" s="47" t="s">
        <v>646</v>
      </c>
      <c r="B1166" s="1092" t="s">
        <v>866</v>
      </c>
      <c r="C1166" s="1092"/>
      <c r="D1166" s="1092"/>
      <c r="E1166" s="383">
        <f>+P850</f>
        <v>14.375</v>
      </c>
      <c r="F1166" s="47" t="s">
        <v>35</v>
      </c>
      <c r="G1166" s="424">
        <f>80*468</f>
        <v>37440</v>
      </c>
      <c r="H1166" s="351" t="s">
        <v>806</v>
      </c>
      <c r="I1166" s="365">
        <f>+R850</f>
        <v>1.1100000000000001</v>
      </c>
      <c r="J1166" s="365">
        <f>+S850</f>
        <v>1.0095238095238095</v>
      </c>
      <c r="K1166" s="221">
        <f t="shared" si="25"/>
        <v>603091.54285714286</v>
      </c>
      <c r="L1166" s="47" t="s">
        <v>88</v>
      </c>
      <c r="M1166" s="25"/>
      <c r="N1166" s="26"/>
      <c r="O1166" s="2"/>
      <c r="P1166" s="27"/>
      <c r="Q1166" s="26"/>
      <c r="T1166" s="28"/>
    </row>
    <row r="1167" spans="1:20" ht="30" customHeight="1" x14ac:dyDescent="0.45">
      <c r="A1167" s="47" t="s">
        <v>484</v>
      </c>
      <c r="B1167" s="1092" t="s">
        <v>867</v>
      </c>
      <c r="C1167" s="1092"/>
      <c r="D1167" s="1092"/>
      <c r="E1167" s="383">
        <f>+P851</f>
        <v>20.25</v>
      </c>
      <c r="F1167" s="47" t="s">
        <v>35</v>
      </c>
      <c r="G1167" s="424">
        <f>2152*12</f>
        <v>25824</v>
      </c>
      <c r="H1167" s="351" t="s">
        <v>806</v>
      </c>
      <c r="I1167" s="365">
        <f>+R851</f>
        <v>1.28</v>
      </c>
      <c r="J1167" s="365">
        <f>+S851</f>
        <v>1.0095238095238095</v>
      </c>
      <c r="K1167" s="221">
        <f t="shared" si="25"/>
        <v>675732.91885714279</v>
      </c>
      <c r="L1167" s="47" t="s">
        <v>88</v>
      </c>
      <c r="M1167" s="25"/>
      <c r="N1167" s="26"/>
      <c r="O1167" s="2"/>
      <c r="P1167" s="27"/>
      <c r="Q1167" s="26"/>
      <c r="T1167" s="28"/>
    </row>
    <row r="1168" spans="1:20" ht="30" customHeight="1" x14ac:dyDescent="0.45">
      <c r="A1168" s="47" t="s">
        <v>484</v>
      </c>
      <c r="B1168" s="1092" t="s">
        <v>868</v>
      </c>
      <c r="C1168" s="1092"/>
      <c r="D1168" s="1092"/>
      <c r="E1168" s="383">
        <f>+P851</f>
        <v>20.25</v>
      </c>
      <c r="F1168" s="47" t="s">
        <v>35</v>
      </c>
      <c r="G1168" s="465">
        <f>80.7*45</f>
        <v>3631.5</v>
      </c>
      <c r="H1168" s="351" t="s">
        <v>806</v>
      </c>
      <c r="I1168" s="365">
        <f>+R851</f>
        <v>1.28</v>
      </c>
      <c r="J1168" s="365">
        <f>+S851</f>
        <v>1.0095238095238095</v>
      </c>
      <c r="K1168" s="221">
        <f t="shared" si="25"/>
        <v>95024.941714285713</v>
      </c>
      <c r="L1168" s="47" t="s">
        <v>88</v>
      </c>
      <c r="M1168" s="25"/>
      <c r="N1168" s="26"/>
      <c r="O1168" s="2"/>
      <c r="P1168" s="27"/>
      <c r="Q1168" s="26"/>
      <c r="T1168" s="28"/>
    </row>
    <row r="1169" spans="1:20" ht="30" customHeight="1" x14ac:dyDescent="0.45">
      <c r="A1169" s="47" t="s">
        <v>282</v>
      </c>
      <c r="B1169" s="1092" t="s">
        <v>657</v>
      </c>
      <c r="C1169" s="1092"/>
      <c r="D1169" s="1092"/>
      <c r="E1169" s="383">
        <f>+P854</f>
        <v>920</v>
      </c>
      <c r="F1169" s="222" t="s">
        <v>88</v>
      </c>
      <c r="G1169" s="424">
        <v>137</v>
      </c>
      <c r="H1169" s="351" t="s">
        <v>807</v>
      </c>
      <c r="I1169" s="365">
        <f>+R854</f>
        <v>1.32</v>
      </c>
      <c r="J1169" s="365">
        <f>+S854</f>
        <v>1.0095238095238095</v>
      </c>
      <c r="K1169" s="221">
        <f t="shared" si="25"/>
        <v>167957.30285714287</v>
      </c>
      <c r="L1169" s="47" t="s">
        <v>88</v>
      </c>
      <c r="M1169" s="25"/>
      <c r="O1169" s="2"/>
      <c r="P1169" s="27"/>
      <c r="Q1169" s="26"/>
      <c r="T1169" s="28"/>
    </row>
    <row r="1170" spans="1:20" s="26" customFormat="1" ht="30" customHeight="1" x14ac:dyDescent="0.45">
      <c r="A1170" s="47" t="s">
        <v>470</v>
      </c>
      <c r="B1170" s="1092" t="s">
        <v>869</v>
      </c>
      <c r="C1170" s="1092"/>
      <c r="D1170" s="1092"/>
      <c r="E1170" s="383">
        <f>+P860</f>
        <v>21.1</v>
      </c>
      <c r="F1170" s="222" t="s">
        <v>113</v>
      </c>
      <c r="G1170" s="424">
        <f>+((656*12)+(49*45))</f>
        <v>10077</v>
      </c>
      <c r="H1170" s="351" t="s">
        <v>810</v>
      </c>
      <c r="I1170" s="365">
        <f>+R860</f>
        <v>1.26</v>
      </c>
      <c r="J1170" s="365">
        <f>+S860</f>
        <v>1.0095238095238095</v>
      </c>
      <c r="K1170" s="221">
        <f t="shared" si="25"/>
        <v>270458.61840000004</v>
      </c>
      <c r="L1170" s="47" t="s">
        <v>88</v>
      </c>
      <c r="M1170" s="420"/>
      <c r="O1170" s="2"/>
      <c r="P1170" s="27"/>
      <c r="R1170" s="2"/>
      <c r="S1170" s="2"/>
    </row>
    <row r="1171" spans="1:20" ht="30" customHeight="1" x14ac:dyDescent="0.45">
      <c r="A1171" s="47" t="s">
        <v>470</v>
      </c>
      <c r="B1171" s="1018" t="s">
        <v>824</v>
      </c>
      <c r="C1171" s="1019"/>
      <c r="D1171" s="1020"/>
      <c r="E1171" s="383">
        <f>+P861</f>
        <v>3352.5</v>
      </c>
      <c r="F1171" s="222" t="s">
        <v>88</v>
      </c>
      <c r="G1171" s="424">
        <v>57</v>
      </c>
      <c r="H1171" s="351" t="s">
        <v>807</v>
      </c>
      <c r="I1171" s="365">
        <f>+R861</f>
        <v>1.26</v>
      </c>
      <c r="J1171" s="365">
        <f>+S861</f>
        <v>1.0095238095238095</v>
      </c>
      <c r="K1171" s="221">
        <f t="shared" si="25"/>
        <v>243069.65999999997</v>
      </c>
      <c r="L1171" s="47" t="s">
        <v>88</v>
      </c>
      <c r="M1171" s="25"/>
      <c r="N1171" s="26"/>
      <c r="O1171" s="26"/>
      <c r="P1171" s="477"/>
      <c r="Q1171" s="26"/>
      <c r="R1171" s="26"/>
      <c r="S1171" s="26"/>
      <c r="T1171" s="28"/>
    </row>
    <row r="1172" spans="1:20" ht="30" customHeight="1" x14ac:dyDescent="0.45">
      <c r="A1172" s="47" t="s">
        <v>282</v>
      </c>
      <c r="B1172" s="1018" t="s">
        <v>759</v>
      </c>
      <c r="C1172" s="1019"/>
      <c r="D1172" s="1020"/>
      <c r="E1172" s="383">
        <f>+P856</f>
        <v>1125</v>
      </c>
      <c r="F1172" s="222" t="s">
        <v>88</v>
      </c>
      <c r="G1172" s="424">
        <v>137</v>
      </c>
      <c r="H1172" s="351" t="s">
        <v>807</v>
      </c>
      <c r="I1172" s="365">
        <f t="shared" ref="I1172:J1174" si="26">+R856</f>
        <v>1.32</v>
      </c>
      <c r="J1172" s="365">
        <f t="shared" si="26"/>
        <v>1.0095238095238095</v>
      </c>
      <c r="K1172" s="221">
        <f t="shared" si="25"/>
        <v>205382.57142857142</v>
      </c>
      <c r="L1172" s="47" t="s">
        <v>88</v>
      </c>
      <c r="M1172" s="25"/>
      <c r="N1172" s="437"/>
      <c r="O1172" s="2"/>
      <c r="P1172" s="27"/>
      <c r="Q1172" s="26"/>
      <c r="T1172" s="28"/>
    </row>
    <row r="1173" spans="1:20" ht="30" customHeight="1" x14ac:dyDescent="0.45">
      <c r="A1173" s="47" t="s">
        <v>662</v>
      </c>
      <c r="B1173" s="1092" t="s">
        <v>825</v>
      </c>
      <c r="C1173" s="1092"/>
      <c r="D1173" s="1092"/>
      <c r="E1173" s="383">
        <f>+P857</f>
        <v>157.58000000000001</v>
      </c>
      <c r="F1173" s="222" t="s">
        <v>88</v>
      </c>
      <c r="G1173" s="424">
        <v>1852</v>
      </c>
      <c r="H1173" s="351" t="s">
        <v>807</v>
      </c>
      <c r="I1173" s="365">
        <f t="shared" si="26"/>
        <v>1.32</v>
      </c>
      <c r="J1173" s="365">
        <f t="shared" si="26"/>
        <v>1.0095238095238095</v>
      </c>
      <c r="K1173" s="221">
        <f t="shared" si="25"/>
        <v>388895.19378285715</v>
      </c>
      <c r="L1173" s="47" t="s">
        <v>88</v>
      </c>
      <c r="M1173" s="25"/>
      <c r="N1173" s="437"/>
      <c r="O1173" s="2"/>
      <c r="P1173" s="27"/>
      <c r="Q1173" s="26"/>
      <c r="T1173" s="28"/>
    </row>
    <row r="1174" spans="1:20" ht="30" customHeight="1" x14ac:dyDescent="0.45">
      <c r="A1174" s="47" t="s">
        <v>665</v>
      </c>
      <c r="B1174" s="1018" t="s">
        <v>870</v>
      </c>
      <c r="C1174" s="1019"/>
      <c r="D1174" s="1020"/>
      <c r="E1174" s="383">
        <f>P858</f>
        <v>19.62</v>
      </c>
      <c r="F1174" s="222" t="s">
        <v>113</v>
      </c>
      <c r="G1174" s="424">
        <f>176233*6.5</f>
        <v>1145514.5</v>
      </c>
      <c r="H1174" s="351" t="s">
        <v>810</v>
      </c>
      <c r="I1174" s="365">
        <f t="shared" si="26"/>
        <v>1.32</v>
      </c>
      <c r="J1174" s="365">
        <f t="shared" si="26"/>
        <v>1.0095238095238095</v>
      </c>
      <c r="K1174" s="221">
        <f t="shared" si="25"/>
        <v>29949535.514674291</v>
      </c>
      <c r="L1174" s="47" t="s">
        <v>88</v>
      </c>
      <c r="M1174" s="25"/>
      <c r="N1174" s="26"/>
      <c r="O1174" s="2"/>
      <c r="P1174" s="27"/>
      <c r="Q1174" s="26"/>
      <c r="T1174" s="28"/>
    </row>
    <row r="1175" spans="1:20" ht="30" customHeight="1" x14ac:dyDescent="0.45">
      <c r="A1175" s="47">
        <v>93410</v>
      </c>
      <c r="B1175" s="1018" t="s">
        <v>871</v>
      </c>
      <c r="C1175" s="1019"/>
      <c r="D1175" s="1020"/>
      <c r="E1175" s="334">
        <f>+P868</f>
        <v>2.78</v>
      </c>
      <c r="F1175" s="222" t="s">
        <v>8</v>
      </c>
      <c r="G1175" s="424">
        <v>7464</v>
      </c>
      <c r="H1175" s="351" t="s">
        <v>811</v>
      </c>
      <c r="I1175" s="447">
        <f>+R868</f>
        <v>0.93771935922451721</v>
      </c>
      <c r="J1175" s="47"/>
      <c r="K1175" s="221">
        <f>+E1175*G1175*I1175</f>
        <v>19457.601686359994</v>
      </c>
      <c r="L1175" s="47" t="s">
        <v>88</v>
      </c>
      <c r="M1175" s="25"/>
      <c r="N1175" s="26"/>
      <c r="O1175" s="2"/>
      <c r="P1175" s="27"/>
      <c r="Q1175" s="26"/>
      <c r="T1175" s="28"/>
    </row>
    <row r="1176" spans="1:20" ht="30" customHeight="1" x14ac:dyDescent="0.45">
      <c r="A1176" s="47" t="s">
        <v>646</v>
      </c>
      <c r="B1176" s="1018" t="s">
        <v>872</v>
      </c>
      <c r="C1176" s="1019"/>
      <c r="D1176" s="1020"/>
      <c r="E1176" s="383">
        <f>+P850</f>
        <v>14.375</v>
      </c>
      <c r="F1176" s="47" t="s">
        <v>35</v>
      </c>
      <c r="G1176" s="424">
        <f>481*30</f>
        <v>14430</v>
      </c>
      <c r="H1176" s="351" t="s">
        <v>806</v>
      </c>
      <c r="I1176" s="365">
        <f>+R850</f>
        <v>1.1100000000000001</v>
      </c>
      <c r="J1176" s="365">
        <f>+S850</f>
        <v>1.0095238095238095</v>
      </c>
      <c r="K1176" s="221">
        <f>+E1176*G1176*I1176*J1176</f>
        <v>232441.53214285718</v>
      </c>
      <c r="L1176" s="47" t="s">
        <v>88</v>
      </c>
      <c r="M1176" s="25"/>
      <c r="N1176" s="26"/>
      <c r="O1176" s="2"/>
      <c r="P1176" s="27"/>
      <c r="Q1176" s="26"/>
      <c r="T1176" s="28"/>
    </row>
    <row r="1177" spans="1:20" ht="30" customHeight="1" x14ac:dyDescent="0.45">
      <c r="A1177" s="47">
        <v>93410</v>
      </c>
      <c r="B1177" s="1018" t="s">
        <v>873</v>
      </c>
      <c r="C1177" s="1019"/>
      <c r="D1177" s="1020"/>
      <c r="E1177" s="383">
        <f>+P867</f>
        <v>11.04</v>
      </c>
      <c r="F1177" s="222" t="s">
        <v>29</v>
      </c>
      <c r="G1177" s="424">
        <v>17139</v>
      </c>
      <c r="H1177" s="351" t="s">
        <v>814</v>
      </c>
      <c r="I1177" s="447">
        <f>+R867</f>
        <v>0.93771935922451721</v>
      </c>
      <c r="J1177" s="47"/>
      <c r="K1177" s="221">
        <f>+E1177*G1177*I1177</f>
        <v>177430.15595914895</v>
      </c>
      <c r="L1177" s="47" t="s">
        <v>88</v>
      </c>
      <c r="M1177" s="25"/>
      <c r="N1177" s="26"/>
      <c r="O1177" s="2"/>
      <c r="P1177" s="27"/>
      <c r="Q1177" s="26"/>
      <c r="T1177" s="28"/>
    </row>
    <row r="1178" spans="1:20" ht="30" customHeight="1" x14ac:dyDescent="0.45">
      <c r="A1178" s="47" t="s">
        <v>646</v>
      </c>
      <c r="B1178" s="1018" t="s">
        <v>874</v>
      </c>
      <c r="C1178" s="1019"/>
      <c r="D1178" s="1020"/>
      <c r="E1178" s="334">
        <f>+P849</f>
        <v>11.775</v>
      </c>
      <c r="F1178" s="222" t="s">
        <v>35</v>
      </c>
      <c r="G1178" s="424">
        <f>4*144</f>
        <v>576</v>
      </c>
      <c r="H1178" s="351" t="s">
        <v>806</v>
      </c>
      <c r="I1178" s="47">
        <f>+R849</f>
        <v>1.1100000000000001</v>
      </c>
      <c r="J1178" s="365">
        <f>+S849</f>
        <v>1.0095238095238095</v>
      </c>
      <c r="K1178" s="221">
        <f>+E1178*G1178*I1178*J1178</f>
        <v>7600.163657142858</v>
      </c>
      <c r="L1178" s="47" t="s">
        <v>88</v>
      </c>
      <c r="M1178" s="25"/>
      <c r="N1178" s="26"/>
      <c r="O1178" s="2"/>
      <c r="P1178" s="27"/>
      <c r="Q1178" s="26"/>
      <c r="T1178" s="28"/>
    </row>
    <row r="1179" spans="1:20" ht="30" customHeight="1" x14ac:dyDescent="0.45">
      <c r="A1179" s="47">
        <v>93210</v>
      </c>
      <c r="B1179" s="1018" t="s">
        <v>875</v>
      </c>
      <c r="C1179" s="1019"/>
      <c r="D1179" s="1020"/>
      <c r="E1179" s="383">
        <f>+P869</f>
        <v>89.16</v>
      </c>
      <c r="F1179" s="222" t="s">
        <v>29</v>
      </c>
      <c r="G1179" s="424">
        <v>44650</v>
      </c>
      <c r="H1179" s="351" t="s">
        <v>814</v>
      </c>
      <c r="I1179" s="447">
        <f>+R869</f>
        <v>0.93771935922451721</v>
      </c>
      <c r="J1179" s="47"/>
      <c r="K1179" s="221">
        <f>+E1179*G1179*I1179</f>
        <v>3733055.1427566479</v>
      </c>
      <c r="L1179" s="47" t="s">
        <v>88</v>
      </c>
      <c r="M1179" s="25"/>
      <c r="N1179" s="26"/>
      <c r="O1179" s="2"/>
      <c r="P1179" s="27"/>
      <c r="Q1179" s="26"/>
      <c r="T1179" s="28"/>
    </row>
    <row r="1180" spans="1:20" ht="30" customHeight="1" x14ac:dyDescent="0.45">
      <c r="A1180" s="47" t="s">
        <v>642</v>
      </c>
      <c r="B1180" s="1018" t="s">
        <v>876</v>
      </c>
      <c r="C1180" s="1019"/>
      <c r="D1180" s="1020"/>
      <c r="E1180" s="334">
        <f>+P847</f>
        <v>21.15</v>
      </c>
      <c r="F1180" s="222" t="s">
        <v>35</v>
      </c>
      <c r="G1180" s="424">
        <v>4800</v>
      </c>
      <c r="H1180" s="351" t="s">
        <v>806</v>
      </c>
      <c r="I1180" s="365">
        <f>+R847</f>
        <v>1.29</v>
      </c>
      <c r="J1180" s="365">
        <f>+S847</f>
        <v>1.0095238095238095</v>
      </c>
      <c r="K1180" s="221">
        <f>+E1180*G1180*I1180*J1180</f>
        <v>132208.04571428572</v>
      </c>
      <c r="L1180" s="47" t="s">
        <v>88</v>
      </c>
      <c r="M1180" s="25"/>
      <c r="N1180" s="26"/>
      <c r="O1180" s="2"/>
      <c r="P1180" s="27"/>
      <c r="Q1180" s="26"/>
      <c r="T1180" s="28"/>
    </row>
    <row r="1181" spans="1:20" ht="30" customHeight="1" x14ac:dyDescent="0.45">
      <c r="A1181" s="47"/>
      <c r="B1181" s="1092"/>
      <c r="C1181" s="1092"/>
      <c r="D1181" s="1092"/>
      <c r="E1181" s="221"/>
      <c r="F1181" s="47"/>
      <c r="G1181" s="58"/>
      <c r="H1181" s="179"/>
      <c r="I1181" s="47"/>
      <c r="J1181" s="47" t="s">
        <v>360</v>
      </c>
      <c r="K1181" s="221">
        <f>SUM(K1163:K1180)</f>
        <v>37495388.284030735</v>
      </c>
      <c r="L1181" s="47" t="s">
        <v>88</v>
      </c>
      <c r="M1181" s="25"/>
      <c r="O1181" s="2"/>
      <c r="P1181" s="27"/>
      <c r="Q1181" s="26"/>
      <c r="T1181" s="28"/>
    </row>
    <row r="1182" spans="1:20" ht="30" customHeight="1" x14ac:dyDescent="0.45">
      <c r="A1182" s="47"/>
      <c r="B1182" s="47"/>
      <c r="C1182" s="58"/>
      <c r="D1182" s="58"/>
      <c r="E1182" s="58"/>
      <c r="F1182" s="58"/>
      <c r="G1182" s="58"/>
      <c r="H1182" s="58"/>
      <c r="I1182" s="58"/>
      <c r="J1182" s="47" t="s">
        <v>39</v>
      </c>
      <c r="K1182" s="216">
        <f>+K1181</f>
        <v>37495388.284030735</v>
      </c>
      <c r="L1182" s="47" t="s">
        <v>88</v>
      </c>
      <c r="M1182" s="25"/>
      <c r="N1182" s="26"/>
      <c r="O1182" s="2"/>
      <c r="P1182" s="27"/>
      <c r="Q1182" s="26"/>
      <c r="T1182" s="28"/>
    </row>
    <row r="1183" spans="1:20" ht="30" customHeight="1" thickBot="1" x14ac:dyDescent="0.5">
      <c r="A1183" s="47"/>
      <c r="B1183" s="47"/>
      <c r="C1183" s="58"/>
      <c r="D1183" s="58"/>
      <c r="E1183" s="58"/>
      <c r="F1183" s="58"/>
      <c r="G1183" s="1032" t="s">
        <v>288</v>
      </c>
      <c r="H1183" s="1033"/>
      <c r="I1183" s="1034"/>
      <c r="J1183" s="213">
        <f>VLOOKUP(B1160,'[1]Mil Cost Premiums for PUCs'!$A$4:$R$278,18,FALSE)</f>
        <v>1.0821211439999998</v>
      </c>
      <c r="K1183" s="216">
        <f>+K1182*J1183</f>
        <v>40574552.46463953</v>
      </c>
      <c r="L1183" s="47" t="s">
        <v>88</v>
      </c>
      <c r="M1183" s="25"/>
      <c r="N1183" s="26"/>
      <c r="O1183" s="2"/>
      <c r="P1183" s="27"/>
      <c r="Q1183" s="26"/>
      <c r="T1183" s="28"/>
    </row>
    <row r="1184" spans="1:20" ht="30" customHeight="1" thickBot="1" x14ac:dyDescent="0.5">
      <c r="A1184" s="999"/>
      <c r="B1184" s="1000"/>
      <c r="C1184" s="1000"/>
      <c r="D1184" s="1000"/>
      <c r="E1184" s="1000"/>
      <c r="F1184" s="1000"/>
      <c r="G1184" s="1000"/>
      <c r="H1184" s="1000"/>
      <c r="I1184" s="1000"/>
      <c r="J1184" s="1000"/>
      <c r="K1184" s="1000"/>
      <c r="L1184" s="1001"/>
      <c r="M1184" s="25"/>
      <c r="N1184" s="26"/>
      <c r="O1184" s="2"/>
      <c r="P1184" s="27"/>
      <c r="Q1184" s="26"/>
      <c r="T1184" s="28"/>
    </row>
    <row r="1185" spans="1:20" ht="30" customHeight="1" x14ac:dyDescent="0.45">
      <c r="A1185" s="9" t="s">
        <v>4</v>
      </c>
      <c r="B1185" s="10">
        <v>1773</v>
      </c>
      <c r="C1185" s="983" t="s">
        <v>877</v>
      </c>
      <c r="D1185" s="984"/>
      <c r="E1185" s="13" t="s">
        <v>7</v>
      </c>
      <c r="F1185" s="14" t="s">
        <v>773</v>
      </c>
      <c r="G1185" s="467" t="s">
        <v>878</v>
      </c>
      <c r="H1185" s="370">
        <v>4</v>
      </c>
      <c r="I1185" s="13" t="s">
        <v>9</v>
      </c>
      <c r="J1185" s="1355" t="s">
        <v>701</v>
      </c>
      <c r="K1185" s="1355"/>
      <c r="L1185" s="1356"/>
      <c r="M1185" s="25"/>
      <c r="N1185" s="26"/>
      <c r="O1185" s="2"/>
      <c r="P1185" s="27"/>
      <c r="Q1185" s="26"/>
      <c r="T1185" s="28"/>
    </row>
    <row r="1186" spans="1:20" ht="30" customHeight="1" x14ac:dyDescent="0.45">
      <c r="A1186" s="19" t="s">
        <v>702</v>
      </c>
      <c r="B1186" s="987" t="s">
        <v>293</v>
      </c>
      <c r="C1186" s="988"/>
      <c r="D1186" s="989"/>
      <c r="E1186" s="220" t="s">
        <v>13</v>
      </c>
      <c r="F1186" s="220" t="s">
        <v>14</v>
      </c>
      <c r="G1186" s="990" t="s">
        <v>15</v>
      </c>
      <c r="H1186" s="991"/>
      <c r="I1186" s="19" t="s">
        <v>278</v>
      </c>
      <c r="J1186" s="277" t="s">
        <v>285</v>
      </c>
      <c r="K1186" s="992" t="s">
        <v>17</v>
      </c>
      <c r="L1186" s="993"/>
      <c r="M1186" s="25"/>
      <c r="N1186" s="26"/>
      <c r="O1186" s="2"/>
      <c r="P1186" s="27"/>
      <c r="Q1186" s="26"/>
      <c r="T1186" s="28"/>
    </row>
    <row r="1187" spans="1:20" ht="30" customHeight="1" x14ac:dyDescent="0.45">
      <c r="A1187" s="19"/>
      <c r="B1187" s="1008" t="s">
        <v>879</v>
      </c>
      <c r="C1187" s="1009"/>
      <c r="D1187" s="1010"/>
      <c r="E1187" s="220"/>
      <c r="F1187" s="220"/>
      <c r="G1187" s="98"/>
      <c r="H1187" s="99"/>
      <c r="I1187" s="460"/>
      <c r="J1187" s="460"/>
      <c r="K1187" s="220"/>
      <c r="L1187" s="220"/>
      <c r="M1187" s="25"/>
      <c r="N1187" s="26"/>
      <c r="O1187" s="2"/>
      <c r="P1187" s="27"/>
      <c r="Q1187" s="26"/>
      <c r="T1187" s="28"/>
    </row>
    <row r="1188" spans="1:20" ht="30" customHeight="1" x14ac:dyDescent="0.45">
      <c r="A1188" s="47" t="s">
        <v>646</v>
      </c>
      <c r="B1188" s="1018" t="s">
        <v>880</v>
      </c>
      <c r="C1188" s="1019"/>
      <c r="D1188" s="1020"/>
      <c r="E1188" s="383">
        <f>+P849</f>
        <v>11.775</v>
      </c>
      <c r="F1188" s="47" t="s">
        <v>35</v>
      </c>
      <c r="G1188" s="222">
        <f>6*62</f>
        <v>372</v>
      </c>
      <c r="H1188" s="351" t="s">
        <v>775</v>
      </c>
      <c r="I1188" s="365">
        <f>+R849</f>
        <v>1.1100000000000001</v>
      </c>
      <c r="J1188" s="365">
        <f>+S849</f>
        <v>1.0095238095238095</v>
      </c>
      <c r="K1188" s="221">
        <f>+E1188*G1188*I1188*J1188</f>
        <v>4908.4390285714289</v>
      </c>
      <c r="L1188" s="47" t="s">
        <v>773</v>
      </c>
      <c r="M1188" s="25"/>
      <c r="N1188" s="26"/>
      <c r="O1188" s="2"/>
      <c r="P1188" s="27"/>
      <c r="Q1188" s="26"/>
      <c r="T1188" s="28"/>
    </row>
    <row r="1189" spans="1:20" ht="30" customHeight="1" x14ac:dyDescent="0.45">
      <c r="A1189" s="47" t="s">
        <v>282</v>
      </c>
      <c r="B1189" s="1018" t="s">
        <v>656</v>
      </c>
      <c r="C1189" s="1019"/>
      <c r="D1189" s="1020"/>
      <c r="E1189" s="383">
        <f>+P853</f>
        <v>504.5</v>
      </c>
      <c r="F1189" s="222" t="s">
        <v>88</v>
      </c>
      <c r="G1189" s="222">
        <v>6</v>
      </c>
      <c r="H1189" s="351" t="s">
        <v>794</v>
      </c>
      <c r="I1189" s="365">
        <f>+R853</f>
        <v>1.32</v>
      </c>
      <c r="J1189" s="365">
        <f>+S853</f>
        <v>1.0095238095238095</v>
      </c>
      <c r="K1189" s="221">
        <f>+E1189*G1189*I1189*J1189</f>
        <v>4033.6937142857146</v>
      </c>
      <c r="L1189" s="47" t="s">
        <v>773</v>
      </c>
      <c r="M1189" s="25"/>
      <c r="N1189" s="26"/>
      <c r="O1189" s="2"/>
      <c r="P1189" s="27"/>
      <c r="Q1189" s="26"/>
      <c r="T1189" s="28"/>
    </row>
    <row r="1190" spans="1:20" ht="30" customHeight="1" x14ac:dyDescent="0.45">
      <c r="A1190" s="47" t="s">
        <v>282</v>
      </c>
      <c r="B1190" s="1018" t="s">
        <v>658</v>
      </c>
      <c r="C1190" s="1019"/>
      <c r="D1190" s="1020"/>
      <c r="E1190" s="383">
        <f>+P855</f>
        <v>362.5</v>
      </c>
      <c r="F1190" s="222" t="s">
        <v>88</v>
      </c>
      <c r="G1190" s="222">
        <v>6</v>
      </c>
      <c r="H1190" s="351" t="s">
        <v>794</v>
      </c>
      <c r="I1190" s="365">
        <f>+R855</f>
        <v>1.32</v>
      </c>
      <c r="J1190" s="365">
        <f>+S855</f>
        <v>1.0095238095238095</v>
      </c>
      <c r="K1190" s="221">
        <f>+E1190*G1190*I1190*J1190</f>
        <v>2898.3428571428572</v>
      </c>
      <c r="L1190" s="47" t="s">
        <v>773</v>
      </c>
      <c r="M1190" s="25"/>
      <c r="N1190" s="26"/>
      <c r="O1190" s="2"/>
      <c r="P1190" s="27"/>
      <c r="Q1190" s="26"/>
      <c r="T1190" s="28"/>
    </row>
    <row r="1191" spans="1:20" ht="30" customHeight="1" x14ac:dyDescent="0.45">
      <c r="A1191" s="47" t="s">
        <v>662</v>
      </c>
      <c r="B1191" s="1092" t="s">
        <v>881</v>
      </c>
      <c r="C1191" s="1092"/>
      <c r="D1191" s="1092"/>
      <c r="E1191" s="383">
        <f>+P857</f>
        <v>157.58000000000001</v>
      </c>
      <c r="F1191" s="222" t="s">
        <v>88</v>
      </c>
      <c r="G1191" s="222">
        <v>24</v>
      </c>
      <c r="H1191" s="351" t="s">
        <v>794</v>
      </c>
      <c r="I1191" s="365">
        <f>+R857</f>
        <v>1.32</v>
      </c>
      <c r="J1191" s="365">
        <f>+S857</f>
        <v>1.0095238095238095</v>
      </c>
      <c r="K1191" s="221">
        <f>+E1191*G1191*I1191*J1191</f>
        <v>5039.6785371428568</v>
      </c>
      <c r="L1191" s="47" t="s">
        <v>773</v>
      </c>
      <c r="M1191" s="25"/>
      <c r="N1191" s="26"/>
      <c r="O1191" s="2"/>
      <c r="P1191" s="27"/>
      <c r="Q1191" s="26"/>
      <c r="T1191" s="28"/>
    </row>
    <row r="1192" spans="1:20" ht="30" customHeight="1" x14ac:dyDescent="0.45">
      <c r="A1192" s="47" t="s">
        <v>665</v>
      </c>
      <c r="B1192" s="1018" t="s">
        <v>882</v>
      </c>
      <c r="C1192" s="1019"/>
      <c r="D1192" s="1020"/>
      <c r="E1192" s="383">
        <f>+P858</f>
        <v>19.62</v>
      </c>
      <c r="F1192" s="222" t="s">
        <v>113</v>
      </c>
      <c r="G1192" s="424">
        <f>346*6</f>
        <v>2076</v>
      </c>
      <c r="H1192" s="351" t="s">
        <v>796</v>
      </c>
      <c r="I1192" s="365">
        <f>+R858</f>
        <v>1.32</v>
      </c>
      <c r="J1192" s="365">
        <f>+S858</f>
        <v>1.0095238095238095</v>
      </c>
      <c r="K1192" s="221">
        <f>+E1192*G1192*I1192*J1192</f>
        <v>54277.126765714289</v>
      </c>
      <c r="L1192" s="47" t="s">
        <v>773</v>
      </c>
      <c r="M1192" s="25"/>
      <c r="N1192" s="26"/>
      <c r="O1192" s="2"/>
      <c r="P1192" s="27"/>
      <c r="Q1192" s="26"/>
      <c r="T1192" s="28"/>
    </row>
    <row r="1193" spans="1:20" ht="30" customHeight="1" x14ac:dyDescent="0.45">
      <c r="A1193" s="47">
        <v>93410</v>
      </c>
      <c r="B1193" s="1018" t="s">
        <v>883</v>
      </c>
      <c r="C1193" s="1019"/>
      <c r="D1193" s="1020"/>
      <c r="E1193" s="383">
        <f>+P867</f>
        <v>11.04</v>
      </c>
      <c r="F1193" s="222" t="s">
        <v>29</v>
      </c>
      <c r="G1193" s="424">
        <f>2354*2</f>
        <v>4708</v>
      </c>
      <c r="H1193" s="351" t="s">
        <v>777</v>
      </c>
      <c r="I1193" s="392">
        <f>+R867</f>
        <v>0.93771935922451721</v>
      </c>
      <c r="J1193" s="47"/>
      <c r="K1193" s="221">
        <f>+E1193*G1193*I1193</f>
        <v>48739.20148524845</v>
      </c>
      <c r="L1193" s="47" t="s">
        <v>773</v>
      </c>
      <c r="M1193" s="25"/>
      <c r="N1193" s="26"/>
      <c r="O1193" s="2"/>
      <c r="P1193" s="27"/>
      <c r="Q1193" s="26"/>
      <c r="T1193" s="28"/>
    </row>
    <row r="1194" spans="1:20" ht="30" customHeight="1" x14ac:dyDescent="0.45">
      <c r="A1194" s="47">
        <v>93210</v>
      </c>
      <c r="B1194" s="1018" t="s">
        <v>884</v>
      </c>
      <c r="C1194" s="1019"/>
      <c r="D1194" s="1020"/>
      <c r="E1194" s="383">
        <f>P869</f>
        <v>89.16</v>
      </c>
      <c r="F1194" s="222" t="s">
        <v>29</v>
      </c>
      <c r="G1194" s="478">
        <v>39</v>
      </c>
      <c r="H1194" s="351" t="s">
        <v>777</v>
      </c>
      <c r="I1194" s="392">
        <f>+R869</f>
        <v>0.93771935922451721</v>
      </c>
      <c r="J1194" s="47"/>
      <c r="K1194" s="221">
        <f>+E1194*G1194*I1194</f>
        <v>3260.6752646698601</v>
      </c>
      <c r="L1194" s="47" t="s">
        <v>773</v>
      </c>
      <c r="M1194" s="25"/>
      <c r="N1194" s="26"/>
      <c r="O1194" s="2"/>
      <c r="P1194" s="27"/>
      <c r="Q1194" s="26"/>
      <c r="T1194" s="28"/>
    </row>
    <row r="1195" spans="1:20" s="306" customFormat="1" ht="30" customHeight="1" x14ac:dyDescent="0.45">
      <c r="A1195" s="977" t="s">
        <v>712</v>
      </c>
      <c r="B1195" s="978"/>
      <c r="C1195" s="978"/>
      <c r="D1195" s="979"/>
      <c r="E1195" s="221"/>
      <c r="F1195" s="47"/>
      <c r="G1195" s="58"/>
      <c r="H1195" s="179"/>
      <c r="I1195" s="47"/>
      <c r="J1195" s="47" t="s">
        <v>360</v>
      </c>
      <c r="K1195" s="221">
        <f>SUM(K1188:K1194)</f>
        <v>123157.15765277545</v>
      </c>
      <c r="L1195" s="47" t="s">
        <v>773</v>
      </c>
      <c r="M1195" s="462"/>
      <c r="N1195" s="26"/>
      <c r="O1195" s="2"/>
      <c r="P1195" s="27"/>
      <c r="Q1195" s="26"/>
      <c r="R1195" s="2"/>
      <c r="S1195" s="2"/>
    </row>
    <row r="1196" spans="1:20" ht="30" customHeight="1" thickBot="1" x14ac:dyDescent="0.5">
      <c r="A1196" s="1352"/>
      <c r="B1196" s="1353"/>
      <c r="C1196" s="1353"/>
      <c r="D1196" s="1354"/>
      <c r="E1196" s="58"/>
      <c r="F1196" s="58"/>
      <c r="G1196" s="1032" t="s">
        <v>288</v>
      </c>
      <c r="H1196" s="1033"/>
      <c r="I1196" s="1034"/>
      <c r="J1196" s="213">
        <f>VLOOKUP(B1185,'[1]Mil Cost Premiums for PUCs'!$A$4:$R$278,18,FALSE)</f>
        <v>1.0485669999999998</v>
      </c>
      <c r="K1196" s="216">
        <f>+K1195*J1196</f>
        <v>129138.53132849777</v>
      </c>
      <c r="L1196" s="47" t="s">
        <v>773</v>
      </c>
      <c r="M1196" s="25"/>
      <c r="N1196" s="306"/>
      <c r="O1196" s="306"/>
      <c r="P1196" s="479"/>
      <c r="Q1196" s="306"/>
      <c r="R1196" s="306"/>
      <c r="S1196" s="306"/>
      <c r="T1196" s="28"/>
    </row>
    <row r="1197" spans="1:20" ht="30" customHeight="1" thickBot="1" x14ac:dyDescent="0.5">
      <c r="A1197" s="999"/>
      <c r="B1197" s="1000"/>
      <c r="C1197" s="1000"/>
      <c r="D1197" s="1000"/>
      <c r="E1197" s="1000"/>
      <c r="F1197" s="1000"/>
      <c r="G1197" s="1000"/>
      <c r="H1197" s="1000"/>
      <c r="I1197" s="1000"/>
      <c r="J1197" s="1000"/>
      <c r="K1197" s="1000"/>
      <c r="L1197" s="1001"/>
      <c r="M1197" s="25"/>
      <c r="N1197" s="26"/>
      <c r="O1197" s="2"/>
      <c r="P1197" s="27"/>
      <c r="Q1197" s="26"/>
      <c r="T1197" s="28"/>
    </row>
    <row r="1198" spans="1:20" ht="30" customHeight="1" x14ac:dyDescent="0.45">
      <c r="A1198" s="9" t="s">
        <v>4</v>
      </c>
      <c r="B1198" s="10">
        <v>1774</v>
      </c>
      <c r="C1198" s="1028" t="s">
        <v>885</v>
      </c>
      <c r="D1198" s="1029"/>
      <c r="E1198" s="13" t="s">
        <v>7</v>
      </c>
      <c r="F1198" s="167" t="s">
        <v>88</v>
      </c>
      <c r="G1198" s="467" t="s">
        <v>886</v>
      </c>
      <c r="H1198" s="370">
        <v>1</v>
      </c>
      <c r="I1198" s="13" t="s">
        <v>9</v>
      </c>
      <c r="J1198" s="1355" t="s">
        <v>701</v>
      </c>
      <c r="K1198" s="1355"/>
      <c r="L1198" s="1356"/>
      <c r="M1198" s="25"/>
      <c r="N1198" s="26"/>
      <c r="O1198" s="2"/>
      <c r="P1198" s="27"/>
      <c r="Q1198" s="26"/>
      <c r="T1198" s="28"/>
    </row>
    <row r="1199" spans="1:20" ht="30" customHeight="1" x14ac:dyDescent="0.45">
      <c r="A1199" s="19" t="s">
        <v>702</v>
      </c>
      <c r="B1199" s="987" t="s">
        <v>293</v>
      </c>
      <c r="C1199" s="988"/>
      <c r="D1199" s="989"/>
      <c r="E1199" s="220" t="s">
        <v>13</v>
      </c>
      <c r="F1199" s="220" t="s">
        <v>14</v>
      </c>
      <c r="G1199" s="990" t="s">
        <v>15</v>
      </c>
      <c r="H1199" s="991"/>
      <c r="I1199" s="19" t="s">
        <v>278</v>
      </c>
      <c r="J1199" s="277" t="s">
        <v>285</v>
      </c>
      <c r="K1199" s="992" t="s">
        <v>17</v>
      </c>
      <c r="L1199" s="993"/>
      <c r="M1199" s="25"/>
      <c r="N1199" s="26"/>
      <c r="O1199" s="2"/>
      <c r="P1199" s="27"/>
      <c r="Q1199" s="26"/>
      <c r="T1199" s="28"/>
    </row>
    <row r="1200" spans="1:20" ht="30" customHeight="1" x14ac:dyDescent="0.45">
      <c r="A1200" s="19"/>
      <c r="B1200" s="1008" t="s">
        <v>887</v>
      </c>
      <c r="C1200" s="1009"/>
      <c r="D1200" s="1010"/>
      <c r="E1200" s="220"/>
      <c r="F1200" s="220"/>
      <c r="G1200" s="98"/>
      <c r="H1200" s="99"/>
      <c r="I1200" s="460"/>
      <c r="J1200" s="460"/>
      <c r="K1200" s="220"/>
      <c r="L1200" s="220"/>
      <c r="M1200" s="25"/>
      <c r="N1200" s="26"/>
      <c r="O1200" s="2"/>
      <c r="P1200" s="27"/>
      <c r="Q1200" s="26"/>
      <c r="T1200" s="28"/>
    </row>
    <row r="1201" spans="1:20" ht="30" customHeight="1" x14ac:dyDescent="0.45">
      <c r="A1201" s="47" t="s">
        <v>646</v>
      </c>
      <c r="B1201" s="1018" t="s">
        <v>888</v>
      </c>
      <c r="C1201" s="1019"/>
      <c r="D1201" s="1020"/>
      <c r="E1201" s="383">
        <f>+P849</f>
        <v>11.775</v>
      </c>
      <c r="F1201" s="47" t="s">
        <v>35</v>
      </c>
      <c r="G1201" s="424">
        <f>31*62</f>
        <v>1922</v>
      </c>
      <c r="H1201" s="351" t="s">
        <v>806</v>
      </c>
      <c r="I1201" s="365">
        <f>+R849</f>
        <v>1.1100000000000001</v>
      </c>
      <c r="J1201" s="365">
        <f>+S849</f>
        <v>1.0095238095238095</v>
      </c>
      <c r="K1201" s="221">
        <f t="shared" ref="K1201:K1206" si="27">+E1201*G1201*I1201*J1201</f>
        <v>25360.268314285717</v>
      </c>
      <c r="L1201" s="47" t="s">
        <v>88</v>
      </c>
      <c r="M1201" s="25"/>
      <c r="N1201" s="26"/>
      <c r="O1201" s="2"/>
      <c r="P1201" s="27"/>
      <c r="Q1201" s="26"/>
      <c r="T1201" s="28"/>
    </row>
    <row r="1202" spans="1:20" ht="30" customHeight="1" x14ac:dyDescent="0.45">
      <c r="A1202" s="47" t="s">
        <v>282</v>
      </c>
      <c r="B1202" s="1018" t="s">
        <v>656</v>
      </c>
      <c r="C1202" s="1019"/>
      <c r="D1202" s="1020"/>
      <c r="E1202" s="383">
        <f>+P853</f>
        <v>504.5</v>
      </c>
      <c r="F1202" s="222" t="s">
        <v>88</v>
      </c>
      <c r="G1202" s="222">
        <v>31</v>
      </c>
      <c r="H1202" s="351" t="s">
        <v>807</v>
      </c>
      <c r="I1202" s="365">
        <f>+R853</f>
        <v>1.32</v>
      </c>
      <c r="J1202" s="365">
        <f>+S853</f>
        <v>1.0095238095238095</v>
      </c>
      <c r="K1202" s="221">
        <f t="shared" si="27"/>
        <v>20840.750857142855</v>
      </c>
      <c r="L1202" s="47" t="s">
        <v>88</v>
      </c>
      <c r="M1202" s="25"/>
      <c r="N1202" s="26"/>
      <c r="O1202" s="2"/>
      <c r="P1202" s="27"/>
      <c r="Q1202" s="26"/>
      <c r="T1202" s="28"/>
    </row>
    <row r="1203" spans="1:20" ht="30" customHeight="1" x14ac:dyDescent="0.45">
      <c r="A1203" s="47" t="s">
        <v>282</v>
      </c>
      <c r="B1203" s="1018" t="s">
        <v>658</v>
      </c>
      <c r="C1203" s="1019"/>
      <c r="D1203" s="1020"/>
      <c r="E1203" s="383">
        <f>+P855</f>
        <v>362.5</v>
      </c>
      <c r="F1203" s="222" t="s">
        <v>88</v>
      </c>
      <c r="G1203" s="222">
        <v>31</v>
      </c>
      <c r="H1203" s="351" t="s">
        <v>807</v>
      </c>
      <c r="I1203" s="365">
        <f>+R855</f>
        <v>1.32</v>
      </c>
      <c r="J1203" s="365">
        <f>+S855</f>
        <v>1.0095238095238095</v>
      </c>
      <c r="K1203" s="221">
        <f t="shared" si="27"/>
        <v>14974.771428571428</v>
      </c>
      <c r="L1203" s="47" t="s">
        <v>88</v>
      </c>
      <c r="M1203" s="25"/>
      <c r="N1203" s="26"/>
      <c r="O1203" s="2"/>
      <c r="P1203" s="27"/>
      <c r="Q1203" s="26"/>
      <c r="T1203" s="28"/>
    </row>
    <row r="1204" spans="1:20" ht="30" customHeight="1" x14ac:dyDescent="0.45">
      <c r="A1204" s="47" t="s">
        <v>662</v>
      </c>
      <c r="B1204" s="1092" t="s">
        <v>881</v>
      </c>
      <c r="C1204" s="1092"/>
      <c r="D1204" s="1092"/>
      <c r="E1204" s="383">
        <f>+P857</f>
        <v>157.58000000000001</v>
      </c>
      <c r="F1204" s="222" t="s">
        <v>88</v>
      </c>
      <c r="G1204" s="222">
        <f>31*4</f>
        <v>124</v>
      </c>
      <c r="H1204" s="351" t="s">
        <v>807</v>
      </c>
      <c r="I1204" s="365">
        <f>+R857</f>
        <v>1.32</v>
      </c>
      <c r="J1204" s="365">
        <f>+S857</f>
        <v>1.0095238095238095</v>
      </c>
      <c r="K1204" s="221">
        <f t="shared" si="27"/>
        <v>26038.339108571432</v>
      </c>
      <c r="L1204" s="47" t="s">
        <v>88</v>
      </c>
      <c r="M1204" s="25"/>
      <c r="N1204" s="26"/>
      <c r="O1204" s="2"/>
      <c r="P1204" s="27"/>
      <c r="Q1204" s="26"/>
      <c r="T1204" s="28"/>
    </row>
    <row r="1205" spans="1:20" ht="30" customHeight="1" x14ac:dyDescent="0.45">
      <c r="A1205" s="47" t="s">
        <v>665</v>
      </c>
      <c r="B1205" s="1018" t="s">
        <v>725</v>
      </c>
      <c r="C1205" s="1019"/>
      <c r="D1205" s="1020"/>
      <c r="E1205" s="383">
        <f>+P858</f>
        <v>19.62</v>
      </c>
      <c r="F1205" s="222" t="s">
        <v>113</v>
      </c>
      <c r="G1205" s="424">
        <v>8152</v>
      </c>
      <c r="H1205" s="351" t="s">
        <v>810</v>
      </c>
      <c r="I1205" s="365">
        <f>+R858</f>
        <v>1.32</v>
      </c>
      <c r="J1205" s="365">
        <f>+S858</f>
        <v>1.0095238095238095</v>
      </c>
      <c r="K1205" s="221">
        <f t="shared" si="27"/>
        <v>213134.4592457143</v>
      </c>
      <c r="L1205" s="47" t="s">
        <v>88</v>
      </c>
      <c r="M1205" s="25"/>
      <c r="N1205" s="26"/>
      <c r="O1205" s="2"/>
      <c r="P1205" s="27"/>
      <c r="Q1205" s="26"/>
      <c r="T1205" s="28"/>
    </row>
    <row r="1206" spans="1:20" ht="30" customHeight="1" x14ac:dyDescent="0.45">
      <c r="A1206" s="47" t="s">
        <v>646</v>
      </c>
      <c r="B1206" s="1018" t="s">
        <v>889</v>
      </c>
      <c r="C1206" s="1019"/>
      <c r="D1206" s="1020"/>
      <c r="E1206" s="334">
        <f>+P849</f>
        <v>11.775</v>
      </c>
      <c r="F1206" s="222" t="s">
        <v>35</v>
      </c>
      <c r="G1206" s="222">
        <f>5*104</f>
        <v>520</v>
      </c>
      <c r="H1206" s="351" t="s">
        <v>807</v>
      </c>
      <c r="I1206" s="365">
        <f>+R849</f>
        <v>1.1100000000000001</v>
      </c>
      <c r="J1206" s="365">
        <f>+S849</f>
        <v>1.0095238095238095</v>
      </c>
      <c r="K1206" s="221">
        <f t="shared" si="27"/>
        <v>6861.2588571428578</v>
      </c>
      <c r="L1206" s="47" t="s">
        <v>88</v>
      </c>
      <c r="M1206" s="25"/>
      <c r="N1206" s="26"/>
      <c r="O1206" s="2"/>
      <c r="P1206" s="27"/>
      <c r="Q1206" s="26"/>
      <c r="T1206" s="28"/>
    </row>
    <row r="1207" spans="1:20" ht="30" customHeight="1" x14ac:dyDescent="0.45">
      <c r="A1207" s="47">
        <v>93410</v>
      </c>
      <c r="B1207" s="1018" t="s">
        <v>890</v>
      </c>
      <c r="C1207" s="1019"/>
      <c r="D1207" s="1020"/>
      <c r="E1207" s="383">
        <f>+P867</f>
        <v>11.04</v>
      </c>
      <c r="F1207" s="222" t="s">
        <v>29</v>
      </c>
      <c r="G1207" s="354">
        <v>785</v>
      </c>
      <c r="H1207" s="351" t="s">
        <v>710</v>
      </c>
      <c r="I1207" s="447">
        <f>+R867</f>
        <v>0.93771935922451721</v>
      </c>
      <c r="J1207" s="47"/>
      <c r="K1207" s="221">
        <f>+E1207*G1207*I1207</f>
        <v>8126.6510547833559</v>
      </c>
      <c r="L1207" s="47" t="s">
        <v>88</v>
      </c>
      <c r="M1207" s="25"/>
      <c r="N1207" s="26"/>
      <c r="O1207" s="2"/>
      <c r="P1207" s="27"/>
      <c r="Q1207" s="26"/>
      <c r="T1207" s="28"/>
    </row>
    <row r="1208" spans="1:20" ht="30" customHeight="1" x14ac:dyDescent="0.45">
      <c r="A1208" s="47">
        <v>93210</v>
      </c>
      <c r="B1208" s="1018" t="s">
        <v>891</v>
      </c>
      <c r="C1208" s="1019"/>
      <c r="D1208" s="1020"/>
      <c r="E1208" s="383">
        <f>+P869</f>
        <v>89.16</v>
      </c>
      <c r="F1208" s="222" t="s">
        <v>29</v>
      </c>
      <c r="G1208" s="354">
        <v>353</v>
      </c>
      <c r="H1208" s="351" t="s">
        <v>710</v>
      </c>
      <c r="I1208" s="392">
        <f>+R869</f>
        <v>0.93771935922451721</v>
      </c>
      <c r="J1208" s="47"/>
      <c r="K1208" s="221">
        <f>+E1208*G1208*I1208</f>
        <v>29513.291498165658</v>
      </c>
      <c r="L1208" s="47" t="s">
        <v>88</v>
      </c>
      <c r="M1208" s="25"/>
      <c r="N1208" s="26"/>
      <c r="O1208" s="2"/>
      <c r="P1208" s="27"/>
      <c r="Q1208" s="26"/>
      <c r="T1208" s="28"/>
    </row>
    <row r="1209" spans="1:20" ht="30" customHeight="1" x14ac:dyDescent="0.45">
      <c r="A1209" s="977" t="s">
        <v>712</v>
      </c>
      <c r="B1209" s="978"/>
      <c r="C1209" s="978"/>
      <c r="D1209" s="979"/>
      <c r="E1209" s="221"/>
      <c r="F1209" s="47"/>
      <c r="G1209" s="58"/>
      <c r="H1209" s="179"/>
      <c r="I1209" s="47"/>
      <c r="J1209" s="47" t="s">
        <v>360</v>
      </c>
      <c r="K1209" s="221">
        <f>SUM(K1201:K1208)</f>
        <v>344849.79036437761</v>
      </c>
      <c r="L1209" s="47" t="s">
        <v>88</v>
      </c>
      <c r="M1209" s="25"/>
      <c r="N1209" s="26"/>
      <c r="O1209" s="2"/>
      <c r="P1209" s="27"/>
      <c r="Q1209" s="26"/>
      <c r="T1209" s="28"/>
    </row>
    <row r="1210" spans="1:20" ht="30" customHeight="1" thickBot="1" x14ac:dyDescent="0.5">
      <c r="A1210" s="1352"/>
      <c r="B1210" s="1353"/>
      <c r="C1210" s="1353"/>
      <c r="D1210" s="1354"/>
      <c r="E1210" s="58"/>
      <c r="F1210" s="58"/>
      <c r="G1210" s="1032" t="s">
        <v>288</v>
      </c>
      <c r="H1210" s="1033"/>
      <c r="I1210" s="1034"/>
      <c r="J1210" s="213">
        <f>VLOOKUP(B1198,'[1]Mil Cost Premiums for PUCs'!$A$4:$R$278,18,FALSE)</f>
        <v>1.0485669999999998</v>
      </c>
      <c r="K1210" s="216">
        <f>+K1209*J1210</f>
        <v>361598.11013300426</v>
      </c>
      <c r="L1210" s="47" t="s">
        <v>88</v>
      </c>
      <c r="M1210" s="25"/>
      <c r="N1210" s="26"/>
      <c r="O1210" s="2"/>
      <c r="P1210" s="27"/>
      <c r="Q1210" s="26"/>
      <c r="T1210" s="28"/>
    </row>
    <row r="1211" spans="1:20" ht="30" customHeight="1" thickBot="1" x14ac:dyDescent="0.5">
      <c r="A1211" s="999"/>
      <c r="B1211" s="1000"/>
      <c r="C1211" s="1000"/>
      <c r="D1211" s="1000"/>
      <c r="E1211" s="1000"/>
      <c r="F1211" s="1000"/>
      <c r="G1211" s="1000"/>
      <c r="H1211" s="1000"/>
      <c r="I1211" s="1000"/>
      <c r="J1211" s="1000"/>
      <c r="K1211" s="1000"/>
      <c r="L1211" s="1001"/>
      <c r="M1211" s="25"/>
      <c r="N1211" s="26"/>
      <c r="O1211" s="2"/>
      <c r="P1211" s="27"/>
      <c r="Q1211" s="26"/>
      <c r="T1211" s="28"/>
    </row>
    <row r="1212" spans="1:20" ht="30" customHeight="1" x14ac:dyDescent="0.45">
      <c r="A1212" s="9" t="s">
        <v>4</v>
      </c>
      <c r="B1212" s="10">
        <v>1775</v>
      </c>
      <c r="C1212" s="983" t="s">
        <v>892</v>
      </c>
      <c r="D1212" s="984"/>
      <c r="E1212" s="13" t="s">
        <v>7</v>
      </c>
      <c r="F1212" s="14" t="s">
        <v>88</v>
      </c>
      <c r="G1212" s="467" t="s">
        <v>893</v>
      </c>
      <c r="H1212" s="370">
        <v>1</v>
      </c>
      <c r="I1212" s="13" t="s">
        <v>9</v>
      </c>
      <c r="J1212" s="1355" t="s">
        <v>701</v>
      </c>
      <c r="K1212" s="1355"/>
      <c r="L1212" s="1356"/>
      <c r="M1212" s="25"/>
      <c r="N1212" s="26"/>
      <c r="O1212" s="2"/>
      <c r="P1212" s="27"/>
      <c r="Q1212" s="26"/>
      <c r="T1212" s="28"/>
    </row>
    <row r="1213" spans="1:20" ht="30" customHeight="1" x14ac:dyDescent="0.45">
      <c r="A1213" s="19" t="s">
        <v>702</v>
      </c>
      <c r="B1213" s="987" t="s">
        <v>293</v>
      </c>
      <c r="C1213" s="988"/>
      <c r="D1213" s="989"/>
      <c r="E1213" s="220" t="s">
        <v>13</v>
      </c>
      <c r="F1213" s="220" t="s">
        <v>14</v>
      </c>
      <c r="G1213" s="990" t="s">
        <v>15</v>
      </c>
      <c r="H1213" s="991"/>
      <c r="I1213" s="19" t="s">
        <v>278</v>
      </c>
      <c r="J1213" s="277" t="s">
        <v>285</v>
      </c>
      <c r="K1213" s="992" t="s">
        <v>17</v>
      </c>
      <c r="L1213" s="993"/>
      <c r="M1213" s="25"/>
      <c r="N1213" s="26"/>
      <c r="O1213" s="2"/>
      <c r="P1213" s="27"/>
      <c r="Q1213" s="26"/>
      <c r="T1213" s="28"/>
    </row>
    <row r="1214" spans="1:20" ht="30" customHeight="1" x14ac:dyDescent="0.45">
      <c r="A1214" s="19"/>
      <c r="B1214" s="1008" t="s">
        <v>894</v>
      </c>
      <c r="C1214" s="1009"/>
      <c r="D1214" s="1010"/>
      <c r="E1214" s="220"/>
      <c r="F1214" s="220"/>
      <c r="G1214" s="98"/>
      <c r="H1214" s="99"/>
      <c r="I1214" s="460"/>
      <c r="J1214" s="460"/>
      <c r="K1214" s="220"/>
      <c r="L1214" s="220"/>
      <c r="M1214" s="25"/>
      <c r="N1214" s="26"/>
      <c r="O1214" s="2"/>
      <c r="P1214" s="27"/>
      <c r="Q1214" s="26"/>
      <c r="T1214" s="28"/>
    </row>
    <row r="1215" spans="1:20" ht="30" customHeight="1" x14ac:dyDescent="0.45">
      <c r="A1215" s="47" t="s">
        <v>646</v>
      </c>
      <c r="B1215" s="1018" t="s">
        <v>895</v>
      </c>
      <c r="C1215" s="1019"/>
      <c r="D1215" s="1020"/>
      <c r="E1215" s="383">
        <f>+P849</f>
        <v>11.775</v>
      </c>
      <c r="F1215" s="47" t="s">
        <v>35</v>
      </c>
      <c r="G1215" s="424">
        <f>20*62</f>
        <v>1240</v>
      </c>
      <c r="H1215" s="351" t="s">
        <v>806</v>
      </c>
      <c r="I1215" s="365">
        <f>+R849</f>
        <v>1.1100000000000001</v>
      </c>
      <c r="J1215" s="365">
        <f>+S849</f>
        <v>1.0095238095238095</v>
      </c>
      <c r="K1215" s="221">
        <f t="shared" ref="K1215:K1226" si="28">+E1215*G1215*I1215*J1215</f>
        <v>16361.463428571429</v>
      </c>
      <c r="L1215" s="47" t="s">
        <v>88</v>
      </c>
      <c r="M1215" s="25"/>
      <c r="N1215" s="26"/>
      <c r="O1215" s="2"/>
      <c r="P1215" s="27"/>
      <c r="Q1215" s="26"/>
      <c r="T1215" s="28"/>
    </row>
    <row r="1216" spans="1:20" ht="30" customHeight="1" x14ac:dyDescent="0.45">
      <c r="A1216" s="47" t="s">
        <v>282</v>
      </c>
      <c r="B1216" s="1018" t="s">
        <v>656</v>
      </c>
      <c r="C1216" s="1019"/>
      <c r="D1216" s="1020"/>
      <c r="E1216" s="383">
        <f>+P853</f>
        <v>504.5</v>
      </c>
      <c r="F1216" s="222" t="s">
        <v>88</v>
      </c>
      <c r="G1216" s="424">
        <v>20</v>
      </c>
      <c r="H1216" s="351" t="s">
        <v>807</v>
      </c>
      <c r="I1216" s="365">
        <f>+R853</f>
        <v>1.32</v>
      </c>
      <c r="J1216" s="365">
        <f>+S853</f>
        <v>1.0095238095238095</v>
      </c>
      <c r="K1216" s="221">
        <f t="shared" si="28"/>
        <v>13445.645714285714</v>
      </c>
      <c r="L1216" s="47" t="s">
        <v>88</v>
      </c>
      <c r="M1216" s="25"/>
      <c r="N1216" s="26"/>
      <c r="O1216" s="2"/>
      <c r="P1216" s="27"/>
      <c r="Q1216" s="26"/>
      <c r="T1216" s="28"/>
    </row>
    <row r="1217" spans="1:20" ht="30" customHeight="1" x14ac:dyDescent="0.45">
      <c r="A1217" s="47" t="s">
        <v>282</v>
      </c>
      <c r="B1217" s="1092" t="s">
        <v>658</v>
      </c>
      <c r="C1217" s="1092"/>
      <c r="D1217" s="1092"/>
      <c r="E1217" s="383">
        <f>+P855</f>
        <v>362.5</v>
      </c>
      <c r="F1217" s="222" t="s">
        <v>88</v>
      </c>
      <c r="G1217" s="424">
        <v>20</v>
      </c>
      <c r="H1217" s="351" t="s">
        <v>807</v>
      </c>
      <c r="I1217" s="365">
        <f>+R855</f>
        <v>1.32</v>
      </c>
      <c r="J1217" s="365">
        <f>+S855</f>
        <v>1.0095238095238095</v>
      </c>
      <c r="K1217" s="221">
        <f t="shared" si="28"/>
        <v>9661.1428571428569</v>
      </c>
      <c r="L1217" s="47" t="s">
        <v>88</v>
      </c>
      <c r="M1217" s="25"/>
      <c r="N1217" s="26"/>
      <c r="O1217" s="2"/>
      <c r="P1217" s="27"/>
      <c r="Q1217" s="26"/>
      <c r="T1217" s="28"/>
    </row>
    <row r="1218" spans="1:20" ht="30" customHeight="1" x14ac:dyDescent="0.45">
      <c r="A1218" s="47" t="s">
        <v>646</v>
      </c>
      <c r="B1218" s="1092" t="s">
        <v>896</v>
      </c>
      <c r="C1218" s="1092"/>
      <c r="D1218" s="1092"/>
      <c r="E1218" s="383">
        <f>+P850</f>
        <v>14.375</v>
      </c>
      <c r="F1218" s="47" t="s">
        <v>35</v>
      </c>
      <c r="G1218" s="424">
        <f>6*468</f>
        <v>2808</v>
      </c>
      <c r="H1218" s="351" t="s">
        <v>806</v>
      </c>
      <c r="I1218" s="365">
        <f>+R850</f>
        <v>1.1100000000000001</v>
      </c>
      <c r="J1218" s="365">
        <f>+S850</f>
        <v>1.0095238095238095</v>
      </c>
      <c r="K1218" s="221">
        <f t="shared" si="28"/>
        <v>45231.865714285712</v>
      </c>
      <c r="L1218" s="47" t="s">
        <v>88</v>
      </c>
      <c r="M1218" s="25"/>
      <c r="N1218" s="26"/>
      <c r="O1218" s="2"/>
      <c r="P1218" s="27"/>
      <c r="Q1218" s="26"/>
      <c r="T1218" s="28"/>
    </row>
    <row r="1219" spans="1:20" ht="30" customHeight="1" x14ac:dyDescent="0.45">
      <c r="A1219" s="47" t="s">
        <v>484</v>
      </c>
      <c r="B1219" s="1092" t="s">
        <v>897</v>
      </c>
      <c r="C1219" s="1092"/>
      <c r="D1219" s="1092"/>
      <c r="E1219" s="383">
        <f>+P851</f>
        <v>20.25</v>
      </c>
      <c r="F1219" s="47" t="s">
        <v>35</v>
      </c>
      <c r="G1219" s="424">
        <f>2152*1</f>
        <v>2152</v>
      </c>
      <c r="H1219" s="351" t="s">
        <v>806</v>
      </c>
      <c r="I1219" s="365">
        <f>+R851</f>
        <v>1.28</v>
      </c>
      <c r="J1219" s="365">
        <f>+S851</f>
        <v>1.0095238095238095</v>
      </c>
      <c r="K1219" s="221">
        <f t="shared" si="28"/>
        <v>56311.076571428574</v>
      </c>
      <c r="L1219" s="47" t="s">
        <v>88</v>
      </c>
      <c r="M1219" s="25"/>
      <c r="N1219" s="26"/>
      <c r="O1219" s="2"/>
      <c r="P1219" s="27"/>
      <c r="Q1219" s="26"/>
      <c r="T1219" s="28"/>
    </row>
    <row r="1220" spans="1:20" ht="30" customHeight="1" x14ac:dyDescent="0.45">
      <c r="A1220" s="47" t="s">
        <v>484</v>
      </c>
      <c r="B1220" s="1092" t="s">
        <v>898</v>
      </c>
      <c r="C1220" s="1092"/>
      <c r="D1220" s="1092"/>
      <c r="E1220" s="383">
        <f>+P851</f>
        <v>20.25</v>
      </c>
      <c r="F1220" s="47" t="s">
        <v>35</v>
      </c>
      <c r="G1220" s="424">
        <f>80.7*6</f>
        <v>484.20000000000005</v>
      </c>
      <c r="H1220" s="351" t="s">
        <v>806</v>
      </c>
      <c r="I1220" s="365">
        <f>+R851</f>
        <v>1.28</v>
      </c>
      <c r="J1220" s="365">
        <f>+S851</f>
        <v>1.0095238095238095</v>
      </c>
      <c r="K1220" s="221">
        <f t="shared" si="28"/>
        <v>12669.992228571429</v>
      </c>
      <c r="L1220" s="47" t="s">
        <v>88</v>
      </c>
      <c r="M1220" s="25"/>
      <c r="N1220" s="26"/>
      <c r="O1220" s="2"/>
      <c r="P1220" s="27"/>
      <c r="Q1220" s="26"/>
      <c r="T1220" s="28"/>
    </row>
    <row r="1221" spans="1:20" ht="30" customHeight="1" x14ac:dyDescent="0.45">
      <c r="A1221" s="47" t="s">
        <v>282</v>
      </c>
      <c r="B1221" s="1092" t="s">
        <v>657</v>
      </c>
      <c r="C1221" s="1092"/>
      <c r="D1221" s="1092"/>
      <c r="E1221" s="383">
        <f>+P854</f>
        <v>920</v>
      </c>
      <c r="F1221" s="222" t="s">
        <v>88</v>
      </c>
      <c r="G1221" s="424">
        <v>13</v>
      </c>
      <c r="H1221" s="351" t="s">
        <v>807</v>
      </c>
      <c r="I1221" s="365">
        <f>+R854</f>
        <v>1.32</v>
      </c>
      <c r="J1221" s="365">
        <f>+S854</f>
        <v>1.0095238095238095</v>
      </c>
      <c r="K1221" s="221">
        <f t="shared" si="28"/>
        <v>15937.554285714286</v>
      </c>
      <c r="L1221" s="47" t="s">
        <v>88</v>
      </c>
      <c r="M1221" s="25"/>
      <c r="N1221" s="26"/>
      <c r="O1221" s="2"/>
      <c r="P1221" s="27"/>
      <c r="Q1221" s="26"/>
      <c r="T1221" s="28"/>
    </row>
    <row r="1222" spans="1:20" ht="30" customHeight="1" x14ac:dyDescent="0.45">
      <c r="A1222" s="47" t="s">
        <v>470</v>
      </c>
      <c r="B1222" s="1092" t="s">
        <v>899</v>
      </c>
      <c r="C1222" s="1092"/>
      <c r="D1222" s="1092"/>
      <c r="E1222" s="383">
        <f>+P860</f>
        <v>21.1</v>
      </c>
      <c r="F1222" s="222" t="s">
        <v>113</v>
      </c>
      <c r="G1222" s="424">
        <f>+((656*1)+(49*6))</f>
        <v>950</v>
      </c>
      <c r="H1222" s="351" t="s">
        <v>810</v>
      </c>
      <c r="I1222" s="365">
        <f>+R860</f>
        <v>1.26</v>
      </c>
      <c r="J1222" s="365">
        <f>+S860</f>
        <v>1.0095238095238095</v>
      </c>
      <c r="K1222" s="221">
        <f t="shared" si="28"/>
        <v>25497.24</v>
      </c>
      <c r="L1222" s="47" t="s">
        <v>88</v>
      </c>
      <c r="M1222" s="25"/>
      <c r="N1222" s="26"/>
      <c r="O1222" s="2"/>
      <c r="P1222" s="27"/>
      <c r="Q1222" s="26"/>
      <c r="T1222" s="28"/>
    </row>
    <row r="1223" spans="1:20" ht="30" customHeight="1" x14ac:dyDescent="0.45">
      <c r="A1223" s="47" t="s">
        <v>470</v>
      </c>
      <c r="B1223" s="1018" t="s">
        <v>824</v>
      </c>
      <c r="C1223" s="1019"/>
      <c r="D1223" s="1020"/>
      <c r="E1223" s="383">
        <f>+P861</f>
        <v>3352.5</v>
      </c>
      <c r="F1223" s="222" t="s">
        <v>88</v>
      </c>
      <c r="G1223" s="424">
        <v>7</v>
      </c>
      <c r="H1223" s="351" t="s">
        <v>807</v>
      </c>
      <c r="I1223" s="365">
        <f>+R861</f>
        <v>1.26</v>
      </c>
      <c r="J1223" s="365">
        <f>+S861</f>
        <v>1.0095238095238095</v>
      </c>
      <c r="K1223" s="221">
        <f t="shared" si="28"/>
        <v>29850.66</v>
      </c>
      <c r="L1223" s="47" t="s">
        <v>88</v>
      </c>
      <c r="M1223" s="25"/>
      <c r="N1223" s="26"/>
      <c r="O1223" s="2"/>
      <c r="P1223" s="27"/>
      <c r="Q1223" s="26"/>
      <c r="T1223" s="28"/>
    </row>
    <row r="1224" spans="1:20" ht="30" customHeight="1" x14ac:dyDescent="0.45">
      <c r="A1224" s="47" t="s">
        <v>282</v>
      </c>
      <c r="B1224" s="1018" t="s">
        <v>759</v>
      </c>
      <c r="C1224" s="1019"/>
      <c r="D1224" s="1020"/>
      <c r="E1224" s="383">
        <f>+P856</f>
        <v>1125</v>
      </c>
      <c r="F1224" s="222" t="s">
        <v>88</v>
      </c>
      <c r="G1224" s="424">
        <v>13</v>
      </c>
      <c r="H1224" s="351" t="s">
        <v>807</v>
      </c>
      <c r="I1224" s="365">
        <f t="shared" ref="I1224:J1226" si="29">+R856</f>
        <v>1.32</v>
      </c>
      <c r="J1224" s="365">
        <f t="shared" si="29"/>
        <v>1.0095238095238095</v>
      </c>
      <c r="K1224" s="221">
        <f t="shared" si="28"/>
        <v>19488.857142857141</v>
      </c>
      <c r="L1224" s="47" t="s">
        <v>88</v>
      </c>
      <c r="M1224" s="25"/>
      <c r="N1224" s="26"/>
      <c r="O1224" s="2"/>
      <c r="P1224" s="27"/>
      <c r="Q1224" s="26"/>
      <c r="T1224" s="28"/>
    </row>
    <row r="1225" spans="1:20" ht="30" customHeight="1" x14ac:dyDescent="0.45">
      <c r="A1225" s="47" t="s">
        <v>662</v>
      </c>
      <c r="B1225" s="1092" t="s">
        <v>825</v>
      </c>
      <c r="C1225" s="1092"/>
      <c r="D1225" s="1092"/>
      <c r="E1225" s="383">
        <f>+P857</f>
        <v>157.58000000000001</v>
      </c>
      <c r="F1225" s="222" t="s">
        <v>88</v>
      </c>
      <c r="G1225" s="424">
        <f>(5*6)+(4*27)</f>
        <v>138</v>
      </c>
      <c r="H1225" s="351" t="s">
        <v>807</v>
      </c>
      <c r="I1225" s="365">
        <f t="shared" si="29"/>
        <v>1.32</v>
      </c>
      <c r="J1225" s="365">
        <f t="shared" si="29"/>
        <v>1.0095238095238095</v>
      </c>
      <c r="K1225" s="221">
        <f t="shared" si="28"/>
        <v>28978.151588571429</v>
      </c>
      <c r="L1225" s="47" t="s">
        <v>88</v>
      </c>
      <c r="M1225" s="25"/>
      <c r="N1225" s="26"/>
      <c r="O1225" s="2"/>
      <c r="P1225" s="27"/>
      <c r="Q1225" s="26"/>
      <c r="T1225" s="28"/>
    </row>
    <row r="1226" spans="1:20" ht="30" customHeight="1" x14ac:dyDescent="0.45">
      <c r="A1226" s="47" t="s">
        <v>665</v>
      </c>
      <c r="B1226" s="1018" t="s">
        <v>826</v>
      </c>
      <c r="C1226" s="1019"/>
      <c r="D1226" s="1020"/>
      <c r="E1226" s="383">
        <f>+P858</f>
        <v>19.62</v>
      </c>
      <c r="F1226" s="222" t="s">
        <v>113</v>
      </c>
      <c r="G1226" s="424">
        <f>3280*34</f>
        <v>111520</v>
      </c>
      <c r="H1226" s="351" t="s">
        <v>810</v>
      </c>
      <c r="I1226" s="365">
        <f t="shared" si="29"/>
        <v>1.32</v>
      </c>
      <c r="J1226" s="365">
        <f t="shared" si="29"/>
        <v>1.0095238095238095</v>
      </c>
      <c r="K1226" s="221">
        <f t="shared" si="28"/>
        <v>2915696.1353142858</v>
      </c>
      <c r="L1226" s="47" t="s">
        <v>88</v>
      </c>
      <c r="M1226" s="25"/>
      <c r="N1226" s="26"/>
      <c r="O1226" s="2"/>
      <c r="P1226" s="27"/>
      <c r="Q1226" s="26"/>
      <c r="T1226" s="28"/>
    </row>
    <row r="1227" spans="1:20" ht="30" customHeight="1" x14ac:dyDescent="0.45">
      <c r="A1227" s="47">
        <v>93410</v>
      </c>
      <c r="B1227" s="1018" t="s">
        <v>900</v>
      </c>
      <c r="C1227" s="1019"/>
      <c r="D1227" s="1020"/>
      <c r="E1227" s="334">
        <f>+P868</f>
        <v>2.78</v>
      </c>
      <c r="F1227" s="222" t="s">
        <v>8</v>
      </c>
      <c r="G1227" s="424">
        <v>2392</v>
      </c>
      <c r="H1227" s="351" t="s">
        <v>811</v>
      </c>
      <c r="I1227" s="392">
        <f>+R868</f>
        <v>0.93771935922451721</v>
      </c>
      <c r="J1227" s="47"/>
      <c r="K1227" s="221">
        <f>+E1227*G1227*I1227</f>
        <v>6235.6086861968251</v>
      </c>
      <c r="L1227" s="47" t="s">
        <v>88</v>
      </c>
      <c r="M1227" s="25"/>
      <c r="N1227" s="437"/>
      <c r="O1227" s="2"/>
      <c r="P1227" s="27"/>
      <c r="Q1227" s="26"/>
      <c r="T1227" s="28"/>
    </row>
    <row r="1228" spans="1:20" ht="30" customHeight="1" x14ac:dyDescent="0.45">
      <c r="A1228" s="47">
        <v>93210</v>
      </c>
      <c r="B1228" s="1018" t="s">
        <v>901</v>
      </c>
      <c r="C1228" s="1019"/>
      <c r="D1228" s="1020"/>
      <c r="E1228" s="383">
        <f>+P869</f>
        <v>89.16</v>
      </c>
      <c r="F1228" s="222" t="s">
        <v>29</v>
      </c>
      <c r="G1228" s="424">
        <v>9225</v>
      </c>
      <c r="H1228" s="351" t="s">
        <v>814</v>
      </c>
      <c r="I1228" s="447">
        <f>+R869</f>
        <v>0.93771935922451721</v>
      </c>
      <c r="J1228" s="47"/>
      <c r="K1228" s="221">
        <f>+E1228*G1228*I1228</f>
        <v>771275.11068152462</v>
      </c>
      <c r="L1228" s="47" t="s">
        <v>88</v>
      </c>
      <c r="M1228" s="25"/>
      <c r="N1228" s="437"/>
      <c r="O1228" s="2"/>
      <c r="P1228" s="27"/>
      <c r="Q1228" s="26"/>
      <c r="T1228" s="28"/>
    </row>
    <row r="1229" spans="1:20" ht="30" customHeight="1" x14ac:dyDescent="0.45">
      <c r="A1229" s="47" t="s">
        <v>646</v>
      </c>
      <c r="B1229" s="1018" t="s">
        <v>902</v>
      </c>
      <c r="C1229" s="1019"/>
      <c r="D1229" s="1020"/>
      <c r="E1229" s="334">
        <f>+P849</f>
        <v>11.775</v>
      </c>
      <c r="F1229" s="222" t="s">
        <v>35</v>
      </c>
      <c r="G1229" s="424">
        <f>5*144</f>
        <v>720</v>
      </c>
      <c r="H1229" s="351" t="s">
        <v>806</v>
      </c>
      <c r="I1229" s="47">
        <f>+R849</f>
        <v>1.1100000000000001</v>
      </c>
      <c r="J1229" s="365">
        <f>+S849</f>
        <v>1.0095238095238095</v>
      </c>
      <c r="K1229" s="221">
        <f>+E1229*G1229*I1229*J1229</f>
        <v>9500.2045714285705</v>
      </c>
      <c r="L1229" s="47" t="s">
        <v>88</v>
      </c>
      <c r="M1229" s="25"/>
      <c r="N1229" s="26"/>
      <c r="O1229" s="2"/>
      <c r="P1229" s="27"/>
      <c r="Q1229" s="26"/>
      <c r="T1229" s="28"/>
    </row>
    <row r="1230" spans="1:20" ht="30" customHeight="1" x14ac:dyDescent="0.45">
      <c r="A1230" s="977" t="s">
        <v>712</v>
      </c>
      <c r="B1230" s="978"/>
      <c r="C1230" s="978"/>
      <c r="D1230" s="979"/>
      <c r="E1230" s="221"/>
      <c r="F1230" s="47"/>
      <c r="G1230" s="58"/>
      <c r="H1230" s="179"/>
      <c r="I1230" s="47"/>
      <c r="J1230" s="47" t="s">
        <v>360</v>
      </c>
      <c r="K1230" s="221">
        <f>SUM(K1215:K1229)</f>
        <v>3976140.7087848643</v>
      </c>
      <c r="L1230" s="47" t="s">
        <v>88</v>
      </c>
      <c r="M1230" s="25"/>
      <c r="N1230" s="26"/>
      <c r="O1230" s="2"/>
      <c r="P1230" s="27"/>
      <c r="Q1230" s="26"/>
      <c r="T1230" s="28"/>
    </row>
    <row r="1231" spans="1:20" ht="30" customHeight="1" thickBot="1" x14ac:dyDescent="0.5">
      <c r="A1231" s="1352"/>
      <c r="B1231" s="1353"/>
      <c r="C1231" s="1353"/>
      <c r="D1231" s="1354"/>
      <c r="E1231" s="58"/>
      <c r="F1231" s="58"/>
      <c r="G1231" s="1032" t="s">
        <v>288</v>
      </c>
      <c r="H1231" s="1033"/>
      <c r="I1231" s="1034"/>
      <c r="J1231" s="213">
        <f>VLOOKUP(B1212,'[1]Mil Cost Premiums for PUCs'!$A$4:$R$278,18,FALSE)</f>
        <v>1.0485669999999998</v>
      </c>
      <c r="K1231" s="216">
        <f>+K1230*J1231</f>
        <v>4169249.9345884179</v>
      </c>
      <c r="L1231" s="47" t="s">
        <v>88</v>
      </c>
      <c r="M1231" s="25"/>
      <c r="N1231" s="26"/>
      <c r="O1231" s="2"/>
      <c r="P1231" s="27"/>
      <c r="Q1231" s="26"/>
      <c r="T1231" s="28"/>
    </row>
    <row r="1232" spans="1:20" ht="30" customHeight="1" thickBot="1" x14ac:dyDescent="0.5">
      <c r="A1232" s="999"/>
      <c r="B1232" s="1000"/>
      <c r="C1232" s="1000"/>
      <c r="D1232" s="1000"/>
      <c r="E1232" s="1000"/>
      <c r="F1232" s="1000"/>
      <c r="G1232" s="1000"/>
      <c r="H1232" s="1000"/>
      <c r="I1232" s="1000"/>
      <c r="J1232" s="1000"/>
      <c r="K1232" s="1000"/>
      <c r="L1232" s="1001"/>
      <c r="M1232" s="25"/>
      <c r="N1232" s="26"/>
      <c r="O1232" s="2"/>
      <c r="P1232" s="27"/>
      <c r="Q1232" s="26"/>
      <c r="T1232" s="28"/>
    </row>
    <row r="1233" spans="1:20" ht="30" customHeight="1" x14ac:dyDescent="0.45">
      <c r="A1233" s="9" t="s">
        <v>4</v>
      </c>
      <c r="B1233" s="10">
        <v>1776</v>
      </c>
      <c r="C1233" s="1028" t="s">
        <v>903</v>
      </c>
      <c r="D1233" s="1029"/>
      <c r="E1233" s="13" t="s">
        <v>7</v>
      </c>
      <c r="F1233" s="167" t="s">
        <v>88</v>
      </c>
      <c r="G1233" s="467" t="s">
        <v>904</v>
      </c>
      <c r="H1233" s="370">
        <v>1</v>
      </c>
      <c r="I1233" s="13" t="s">
        <v>9</v>
      </c>
      <c r="J1233" s="1355" t="s">
        <v>701</v>
      </c>
      <c r="K1233" s="1355"/>
      <c r="L1233" s="1356"/>
      <c r="M1233" s="25"/>
      <c r="N1233" s="26"/>
      <c r="O1233" s="2"/>
      <c r="P1233" s="27"/>
      <c r="Q1233" s="26"/>
      <c r="T1233" s="28"/>
    </row>
    <row r="1234" spans="1:20" ht="30" customHeight="1" x14ac:dyDescent="0.45">
      <c r="A1234" s="19" t="s">
        <v>702</v>
      </c>
      <c r="B1234" s="987" t="s">
        <v>293</v>
      </c>
      <c r="C1234" s="988"/>
      <c r="D1234" s="989"/>
      <c r="E1234" s="220" t="s">
        <v>13</v>
      </c>
      <c r="F1234" s="220" t="s">
        <v>14</v>
      </c>
      <c r="G1234" s="990" t="s">
        <v>15</v>
      </c>
      <c r="H1234" s="991"/>
      <c r="I1234" s="19" t="s">
        <v>278</v>
      </c>
      <c r="J1234" s="19" t="s">
        <v>285</v>
      </c>
      <c r="K1234" s="992" t="s">
        <v>17</v>
      </c>
      <c r="L1234" s="993"/>
      <c r="M1234" s="25"/>
      <c r="N1234" s="26"/>
      <c r="O1234" s="2"/>
      <c r="P1234" s="27"/>
      <c r="Q1234" s="26"/>
      <c r="T1234" s="28"/>
    </row>
    <row r="1235" spans="1:20" ht="30" customHeight="1" x14ac:dyDescent="0.45">
      <c r="A1235" s="47" t="s">
        <v>646</v>
      </c>
      <c r="B1235" s="1018" t="s">
        <v>905</v>
      </c>
      <c r="C1235" s="1019"/>
      <c r="D1235" s="1020"/>
      <c r="E1235" s="383">
        <f>+P849</f>
        <v>11.775</v>
      </c>
      <c r="F1235" s="47" t="s">
        <v>35</v>
      </c>
      <c r="G1235" s="424">
        <f>26*62</f>
        <v>1612</v>
      </c>
      <c r="H1235" s="351" t="s">
        <v>806</v>
      </c>
      <c r="I1235" s="365">
        <f>+R849</f>
        <v>1.1100000000000001</v>
      </c>
      <c r="J1235" s="365">
        <f>+S849</f>
        <v>1.0095238095238095</v>
      </c>
      <c r="K1235" s="221">
        <f>+E1235*G1235*I1235*J1235</f>
        <v>21269.90245714286</v>
      </c>
      <c r="L1235" s="47" t="s">
        <v>88</v>
      </c>
      <c r="M1235" s="25"/>
      <c r="N1235" s="26"/>
      <c r="O1235" s="2"/>
      <c r="P1235" s="27"/>
      <c r="Q1235" s="26"/>
      <c r="T1235" s="28"/>
    </row>
    <row r="1236" spans="1:20" ht="30" customHeight="1" x14ac:dyDescent="0.45">
      <c r="A1236" s="47" t="s">
        <v>282</v>
      </c>
      <c r="B1236" s="1018" t="s">
        <v>656</v>
      </c>
      <c r="C1236" s="1019"/>
      <c r="D1236" s="1020"/>
      <c r="E1236" s="383">
        <f>+P853</f>
        <v>504.5</v>
      </c>
      <c r="F1236" s="222" t="s">
        <v>88</v>
      </c>
      <c r="G1236" s="424">
        <v>26</v>
      </c>
      <c r="H1236" s="351" t="s">
        <v>807</v>
      </c>
      <c r="I1236" s="365">
        <f>+R853</f>
        <v>1.32</v>
      </c>
      <c r="J1236" s="365">
        <f>+S853</f>
        <v>1.0095238095238095</v>
      </c>
      <c r="K1236" s="221">
        <f>+E1236*G1236*I1236*J1236</f>
        <v>17479.339428571431</v>
      </c>
      <c r="L1236" s="47" t="s">
        <v>88</v>
      </c>
      <c r="M1236" s="25"/>
      <c r="N1236" s="26"/>
      <c r="O1236" s="2"/>
      <c r="P1236" s="27"/>
      <c r="Q1236" s="26"/>
      <c r="T1236" s="28"/>
    </row>
    <row r="1237" spans="1:20" ht="30" customHeight="1" x14ac:dyDescent="0.45">
      <c r="A1237" s="47" t="s">
        <v>282</v>
      </c>
      <c r="B1237" s="1018" t="s">
        <v>658</v>
      </c>
      <c r="C1237" s="1019"/>
      <c r="D1237" s="1020"/>
      <c r="E1237" s="383">
        <f>+P855</f>
        <v>362.5</v>
      </c>
      <c r="F1237" s="222" t="s">
        <v>88</v>
      </c>
      <c r="G1237" s="424">
        <v>26</v>
      </c>
      <c r="H1237" s="351" t="s">
        <v>807</v>
      </c>
      <c r="I1237" s="365">
        <f>+R855</f>
        <v>1.32</v>
      </c>
      <c r="J1237" s="365">
        <f>+S855</f>
        <v>1.0095238095238095</v>
      </c>
      <c r="K1237" s="221">
        <f>+E1237*G1237*I1237*J1237</f>
        <v>12559.485714285714</v>
      </c>
      <c r="L1237" s="47" t="s">
        <v>88</v>
      </c>
      <c r="M1237" s="25"/>
      <c r="N1237" s="26"/>
      <c r="O1237" s="2"/>
      <c r="P1237" s="27"/>
      <c r="Q1237" s="26"/>
      <c r="T1237" s="28"/>
    </row>
    <row r="1238" spans="1:20" ht="30" customHeight="1" x14ac:dyDescent="0.45">
      <c r="A1238" s="47" t="s">
        <v>662</v>
      </c>
      <c r="B1238" s="1092" t="s">
        <v>825</v>
      </c>
      <c r="C1238" s="1092"/>
      <c r="D1238" s="1092"/>
      <c r="E1238" s="383">
        <f>+P857</f>
        <v>157.58000000000001</v>
      </c>
      <c r="F1238" s="222" t="s">
        <v>88</v>
      </c>
      <c r="G1238" s="424">
        <v>104</v>
      </c>
      <c r="H1238" s="351" t="s">
        <v>807</v>
      </c>
      <c r="I1238" s="365">
        <f>+R857</f>
        <v>1.32</v>
      </c>
      <c r="J1238" s="365">
        <f>+S857</f>
        <v>1.0095238095238095</v>
      </c>
      <c r="K1238" s="221">
        <f>+E1238*G1238*I1238*J1238</f>
        <v>21838.606994285714</v>
      </c>
      <c r="L1238" s="47" t="s">
        <v>88</v>
      </c>
      <c r="M1238" s="25"/>
      <c r="N1238" s="26"/>
      <c r="O1238" s="2"/>
      <c r="P1238" s="27"/>
      <c r="Q1238" s="26"/>
      <c r="T1238" s="28"/>
    </row>
    <row r="1239" spans="1:20" ht="30" customHeight="1" x14ac:dyDescent="0.45">
      <c r="A1239" s="47" t="s">
        <v>665</v>
      </c>
      <c r="B1239" s="1018" t="s">
        <v>906</v>
      </c>
      <c r="C1239" s="1019"/>
      <c r="D1239" s="1020"/>
      <c r="E1239" s="383">
        <f>+P858</f>
        <v>19.62</v>
      </c>
      <c r="F1239" s="222" t="s">
        <v>113</v>
      </c>
      <c r="G1239" s="424">
        <v>8105</v>
      </c>
      <c r="H1239" s="351" t="s">
        <v>810</v>
      </c>
      <c r="I1239" s="365">
        <f>+R858</f>
        <v>1.32</v>
      </c>
      <c r="J1239" s="365">
        <f>+S858</f>
        <v>1.0095238095238095</v>
      </c>
      <c r="K1239" s="221">
        <f>+E1239*G1239*I1239*J1239</f>
        <v>211905.64182857142</v>
      </c>
      <c r="L1239" s="47" t="s">
        <v>88</v>
      </c>
      <c r="M1239" s="25"/>
      <c r="N1239" s="26"/>
      <c r="O1239" s="2"/>
      <c r="P1239" s="27"/>
      <c r="Q1239" s="26"/>
      <c r="T1239" s="28"/>
    </row>
    <row r="1240" spans="1:20" ht="30" customHeight="1" x14ac:dyDescent="0.45">
      <c r="A1240" s="47">
        <v>85110</v>
      </c>
      <c r="B1240" s="1018" t="s">
        <v>907</v>
      </c>
      <c r="C1240" s="1019"/>
      <c r="D1240" s="1020"/>
      <c r="E1240" s="383">
        <f>+P866</f>
        <v>148.53</v>
      </c>
      <c r="F1240" s="47" t="s">
        <v>8</v>
      </c>
      <c r="G1240" s="424">
        <v>897</v>
      </c>
      <c r="H1240" s="351" t="s">
        <v>811</v>
      </c>
      <c r="I1240" s="447">
        <f>+R866</f>
        <v>0.93771935922451721</v>
      </c>
      <c r="J1240" s="47"/>
      <c r="K1240" s="221">
        <f>+E1240*G1240*I1240</f>
        <v>124933.67241377894</v>
      </c>
      <c r="L1240" s="47" t="s">
        <v>88</v>
      </c>
      <c r="M1240" s="25"/>
      <c r="N1240" s="26"/>
      <c r="O1240" s="2"/>
      <c r="P1240" s="27"/>
      <c r="Q1240" s="26"/>
      <c r="T1240" s="28"/>
    </row>
    <row r="1241" spans="1:20" ht="30" customHeight="1" x14ac:dyDescent="0.45">
      <c r="A1241" s="47">
        <v>85110</v>
      </c>
      <c r="B1241" s="1018" t="s">
        <v>908</v>
      </c>
      <c r="C1241" s="1019"/>
      <c r="D1241" s="1020"/>
      <c r="E1241" s="383">
        <f>+P865</f>
        <v>36.590000000000003</v>
      </c>
      <c r="F1241" s="222" t="s">
        <v>8</v>
      </c>
      <c r="G1241" s="424">
        <v>1435</v>
      </c>
      <c r="H1241" s="351" t="s">
        <v>811</v>
      </c>
      <c r="I1241" s="447">
        <f>+R865</f>
        <v>0.93771935922451721</v>
      </c>
      <c r="J1241" s="47"/>
      <c r="K1241" s="221">
        <f>+E1241*G1241*I1241</f>
        <v>49236.502193025997</v>
      </c>
      <c r="L1241" s="47" t="s">
        <v>88</v>
      </c>
      <c r="M1241" s="25"/>
      <c r="N1241" s="26"/>
      <c r="O1241" s="2"/>
      <c r="P1241" s="27"/>
      <c r="Q1241" s="26"/>
      <c r="T1241" s="28"/>
    </row>
    <row r="1242" spans="1:20" ht="30" customHeight="1" x14ac:dyDescent="0.45">
      <c r="A1242" s="47" t="s">
        <v>294</v>
      </c>
      <c r="B1242" s="1018" t="s">
        <v>909</v>
      </c>
      <c r="C1242" s="1019"/>
      <c r="D1242" s="1020"/>
      <c r="E1242" s="383">
        <f>+P846</f>
        <v>60</v>
      </c>
      <c r="F1242" s="222" t="s">
        <v>35</v>
      </c>
      <c r="G1242" s="424">
        <f>12*600</f>
        <v>7200</v>
      </c>
      <c r="H1242" s="351" t="s">
        <v>806</v>
      </c>
      <c r="I1242" s="365">
        <f>+R846</f>
        <v>1.1200000000000001</v>
      </c>
      <c r="J1242" s="365">
        <f>+S846</f>
        <v>1.0095238095238095</v>
      </c>
      <c r="K1242" s="221">
        <f>+E1242*G1242*I1242*J1242</f>
        <v>488448.00000000006</v>
      </c>
      <c r="L1242" s="47" t="s">
        <v>88</v>
      </c>
      <c r="M1242" s="25"/>
      <c r="N1242" s="26"/>
      <c r="O1242" s="2"/>
      <c r="P1242" s="27"/>
      <c r="Q1242" s="26"/>
      <c r="T1242" s="28"/>
    </row>
    <row r="1243" spans="1:20" ht="30" customHeight="1" x14ac:dyDescent="0.45">
      <c r="A1243" s="47">
        <v>93410</v>
      </c>
      <c r="B1243" s="1018" t="s">
        <v>910</v>
      </c>
      <c r="C1243" s="1019"/>
      <c r="D1243" s="1020"/>
      <c r="E1243" s="383">
        <f>+P867</f>
        <v>11.04</v>
      </c>
      <c r="F1243" s="222" t="s">
        <v>29</v>
      </c>
      <c r="G1243" s="424">
        <v>3923</v>
      </c>
      <c r="H1243" s="351" t="s">
        <v>814</v>
      </c>
      <c r="I1243" s="447">
        <f>+R867</f>
        <v>0.93771935922451721</v>
      </c>
      <c r="J1243" s="47"/>
      <c r="K1243" s="221">
        <f>+E1243*G1243*I1243</f>
        <v>40612.550430465104</v>
      </c>
      <c r="L1243" s="47" t="s">
        <v>88</v>
      </c>
      <c r="M1243" s="25"/>
      <c r="N1243" s="26"/>
      <c r="O1243" s="2"/>
      <c r="P1243" s="27"/>
      <c r="Q1243" s="26"/>
      <c r="T1243" s="28"/>
    </row>
    <row r="1244" spans="1:20" ht="30" customHeight="1" x14ac:dyDescent="0.45">
      <c r="A1244" s="47" t="s">
        <v>646</v>
      </c>
      <c r="B1244" s="1018" t="s">
        <v>911</v>
      </c>
      <c r="C1244" s="1019"/>
      <c r="D1244" s="1020"/>
      <c r="E1244" s="334">
        <f>+P849</f>
        <v>11.775</v>
      </c>
      <c r="F1244" s="222" t="s">
        <v>35</v>
      </c>
      <c r="G1244" s="424">
        <f>4*144</f>
        <v>576</v>
      </c>
      <c r="H1244" s="351" t="s">
        <v>806</v>
      </c>
      <c r="I1244" s="47">
        <f>+R849</f>
        <v>1.1100000000000001</v>
      </c>
      <c r="J1244" s="365">
        <f>+S849</f>
        <v>1.0095238095238095</v>
      </c>
      <c r="K1244" s="221">
        <f>+E1244*G1244*I1244*J1244</f>
        <v>7600.163657142858</v>
      </c>
      <c r="L1244" s="47" t="s">
        <v>88</v>
      </c>
      <c r="M1244" s="25"/>
      <c r="N1244" s="26"/>
      <c r="O1244" s="2"/>
      <c r="P1244" s="27"/>
      <c r="Q1244" s="26"/>
      <c r="T1244" s="28"/>
    </row>
    <row r="1245" spans="1:20" ht="30" customHeight="1" x14ac:dyDescent="0.45">
      <c r="A1245" s="47">
        <v>93210</v>
      </c>
      <c r="B1245" s="1018" t="s">
        <v>912</v>
      </c>
      <c r="C1245" s="1019"/>
      <c r="D1245" s="1020"/>
      <c r="E1245" s="383">
        <f>+P869</f>
        <v>89.16</v>
      </c>
      <c r="F1245" s="222" t="s">
        <v>29</v>
      </c>
      <c r="G1245" s="424">
        <v>4622</v>
      </c>
      <c r="H1245" s="351" t="s">
        <v>814</v>
      </c>
      <c r="I1245" s="447">
        <f>+R869</f>
        <v>0.93771935922451721</v>
      </c>
      <c r="J1245" s="47"/>
      <c r="K1245" s="221">
        <f>+E1245*G1245*I1245</f>
        <v>386431.82239241264</v>
      </c>
      <c r="L1245" s="47" t="s">
        <v>88</v>
      </c>
      <c r="M1245" s="25"/>
      <c r="N1245" s="26"/>
      <c r="O1245" s="2"/>
      <c r="P1245" s="27"/>
      <c r="Q1245" s="26"/>
      <c r="T1245" s="28"/>
    </row>
    <row r="1246" spans="1:20" ht="30" customHeight="1" x14ac:dyDescent="0.45">
      <c r="A1246" s="47" t="s">
        <v>642</v>
      </c>
      <c r="B1246" s="1018" t="s">
        <v>913</v>
      </c>
      <c r="C1246" s="1019"/>
      <c r="D1246" s="1020"/>
      <c r="E1246" s="334">
        <f>+P847</f>
        <v>21.15</v>
      </c>
      <c r="F1246" s="222" t="s">
        <v>35</v>
      </c>
      <c r="G1246" s="424">
        <v>1200</v>
      </c>
      <c r="H1246" s="351" t="s">
        <v>806</v>
      </c>
      <c r="I1246" s="365">
        <f>+R847</f>
        <v>1.29</v>
      </c>
      <c r="J1246" s="365">
        <f>+S847</f>
        <v>1.0095238095238095</v>
      </c>
      <c r="K1246" s="221">
        <f>+E1246*G1246*I1246*J1246</f>
        <v>33052.01142857143</v>
      </c>
      <c r="L1246" s="47" t="s">
        <v>88</v>
      </c>
      <c r="M1246" s="25"/>
      <c r="N1246" s="26"/>
      <c r="O1246" s="2"/>
      <c r="P1246" s="27"/>
      <c r="Q1246" s="26"/>
      <c r="T1246" s="28"/>
    </row>
    <row r="1247" spans="1:20" ht="30" customHeight="1" x14ac:dyDescent="0.45">
      <c r="A1247" s="977" t="s">
        <v>712</v>
      </c>
      <c r="B1247" s="978"/>
      <c r="C1247" s="978"/>
      <c r="D1247" s="979"/>
      <c r="E1247" s="221"/>
      <c r="F1247" s="47"/>
      <c r="G1247" s="58"/>
      <c r="H1247" s="179"/>
      <c r="I1247" s="47"/>
      <c r="J1247" s="47" t="s">
        <v>360</v>
      </c>
      <c r="K1247" s="221">
        <f>SUM(K1235:K1246)</f>
        <v>1415367.6989382545</v>
      </c>
      <c r="L1247" s="47" t="s">
        <v>88</v>
      </c>
      <c r="M1247" s="25"/>
      <c r="N1247" s="26"/>
      <c r="O1247" s="2"/>
      <c r="P1247" s="27"/>
      <c r="Q1247" s="26"/>
      <c r="T1247" s="28"/>
    </row>
    <row r="1248" spans="1:20" ht="30" customHeight="1" thickBot="1" x14ac:dyDescent="0.5">
      <c r="A1248" s="1352"/>
      <c r="B1248" s="1353"/>
      <c r="C1248" s="1353"/>
      <c r="D1248" s="1354"/>
      <c r="E1248" s="58"/>
      <c r="F1248" s="58"/>
      <c r="G1248" s="1032" t="s">
        <v>288</v>
      </c>
      <c r="H1248" s="1033"/>
      <c r="I1248" s="1034"/>
      <c r="J1248" s="213">
        <f>VLOOKUP(B1233,'[1]Mil Cost Premiums for PUCs'!$A$4:$R$278,18,FALSE)</f>
        <v>1.0821211439999998</v>
      </c>
      <c r="K1248" s="216">
        <f>+K1247*J1248</f>
        <v>1531599.3135557112</v>
      </c>
      <c r="L1248" s="47" t="s">
        <v>88</v>
      </c>
      <c r="M1248" s="25"/>
      <c r="N1248" s="26"/>
      <c r="O1248" s="2"/>
      <c r="P1248" s="27"/>
      <c r="Q1248" s="26"/>
      <c r="T1248" s="28"/>
    </row>
    <row r="1249" spans="1:20" ht="30" customHeight="1" thickBot="1" x14ac:dyDescent="0.5">
      <c r="A1249" s="999"/>
      <c r="B1249" s="1000"/>
      <c r="C1249" s="1000"/>
      <c r="D1249" s="1000"/>
      <c r="E1249" s="1000"/>
      <c r="F1249" s="1000"/>
      <c r="G1249" s="1000"/>
      <c r="H1249" s="1000"/>
      <c r="I1249" s="1000"/>
      <c r="J1249" s="1000"/>
      <c r="K1249" s="1000"/>
      <c r="L1249" s="1001"/>
      <c r="M1249" s="25"/>
      <c r="N1249" s="26"/>
      <c r="O1249" s="2"/>
      <c r="P1249" s="27"/>
      <c r="Q1249" s="26"/>
      <c r="T1249" s="28"/>
    </row>
    <row r="1250" spans="1:20" ht="30" customHeight="1" x14ac:dyDescent="0.45">
      <c r="A1250" s="9" t="s">
        <v>4</v>
      </c>
      <c r="B1250" s="10">
        <v>1777</v>
      </c>
      <c r="C1250" s="983" t="s">
        <v>914</v>
      </c>
      <c r="D1250" s="984"/>
      <c r="E1250" s="13" t="s">
        <v>7</v>
      </c>
      <c r="F1250" s="167" t="s">
        <v>699</v>
      </c>
      <c r="G1250" s="467" t="s">
        <v>915</v>
      </c>
      <c r="H1250" s="370">
        <v>1</v>
      </c>
      <c r="I1250" s="13" t="s">
        <v>9</v>
      </c>
      <c r="J1250" s="1355" t="s">
        <v>701</v>
      </c>
      <c r="K1250" s="1355"/>
      <c r="L1250" s="1356"/>
      <c r="M1250" s="25"/>
      <c r="N1250" s="26"/>
      <c r="O1250" s="2"/>
      <c r="P1250" s="27"/>
      <c r="Q1250" s="26"/>
      <c r="T1250" s="28"/>
    </row>
    <row r="1251" spans="1:20" ht="30" customHeight="1" x14ac:dyDescent="0.45">
      <c r="A1251" s="19" t="s">
        <v>702</v>
      </c>
      <c r="B1251" s="987" t="s">
        <v>293</v>
      </c>
      <c r="C1251" s="988"/>
      <c r="D1251" s="989"/>
      <c r="E1251" s="220" t="s">
        <v>13</v>
      </c>
      <c r="F1251" s="220" t="s">
        <v>14</v>
      </c>
      <c r="G1251" s="990" t="s">
        <v>15</v>
      </c>
      <c r="H1251" s="991"/>
      <c r="I1251" s="19" t="s">
        <v>278</v>
      </c>
      <c r="J1251" s="277" t="s">
        <v>285</v>
      </c>
      <c r="K1251" s="992" t="s">
        <v>17</v>
      </c>
      <c r="L1251" s="993"/>
      <c r="M1251" s="25"/>
      <c r="N1251" s="26"/>
      <c r="O1251" s="2"/>
      <c r="P1251" s="27"/>
      <c r="Q1251" s="26"/>
      <c r="T1251" s="28"/>
    </row>
    <row r="1252" spans="1:20" ht="30" customHeight="1" x14ac:dyDescent="0.45">
      <c r="A1252" s="19"/>
      <c r="B1252" s="1008" t="s">
        <v>916</v>
      </c>
      <c r="C1252" s="1009"/>
      <c r="D1252" s="1010"/>
      <c r="E1252" s="220"/>
      <c r="F1252" s="220"/>
      <c r="G1252" s="98"/>
      <c r="H1252" s="99"/>
      <c r="I1252" s="460"/>
      <c r="J1252" s="460"/>
      <c r="K1252" s="220"/>
      <c r="L1252" s="220"/>
      <c r="M1252" s="25"/>
      <c r="N1252" s="26"/>
      <c r="O1252" s="2"/>
      <c r="P1252" s="27"/>
      <c r="Q1252" s="26"/>
      <c r="T1252" s="28"/>
    </row>
    <row r="1253" spans="1:20" ht="30" customHeight="1" x14ac:dyDescent="0.45">
      <c r="A1253" s="47" t="s">
        <v>646</v>
      </c>
      <c r="B1253" s="1018" t="s">
        <v>917</v>
      </c>
      <c r="C1253" s="1019"/>
      <c r="D1253" s="1020"/>
      <c r="E1253" s="383">
        <f>+P849</f>
        <v>11.775</v>
      </c>
      <c r="F1253" s="47" t="s">
        <v>35</v>
      </c>
      <c r="G1253" s="424">
        <f>9*62</f>
        <v>558</v>
      </c>
      <c r="H1253" s="351" t="s">
        <v>704</v>
      </c>
      <c r="I1253" s="365">
        <f>+R849</f>
        <v>1.1100000000000001</v>
      </c>
      <c r="J1253" s="365">
        <f>+S849</f>
        <v>1.0095238095238095</v>
      </c>
      <c r="K1253" s="221">
        <f t="shared" ref="K1253:K1264" si="30">+E1253*G1253*I1253*J1253</f>
        <v>7362.6585428571434</v>
      </c>
      <c r="L1253" s="47" t="s">
        <v>699</v>
      </c>
      <c r="M1253" s="25"/>
      <c r="N1253" s="26"/>
      <c r="O1253" s="2"/>
      <c r="P1253" s="27"/>
      <c r="Q1253" s="26"/>
      <c r="T1253" s="28"/>
    </row>
    <row r="1254" spans="1:20" ht="30" customHeight="1" x14ac:dyDescent="0.45">
      <c r="A1254" s="47" t="s">
        <v>282</v>
      </c>
      <c r="B1254" s="1018" t="s">
        <v>656</v>
      </c>
      <c r="C1254" s="1019"/>
      <c r="D1254" s="1020"/>
      <c r="E1254" s="383">
        <f>+P853</f>
        <v>504.5</v>
      </c>
      <c r="F1254" s="222" t="s">
        <v>88</v>
      </c>
      <c r="G1254" s="424">
        <v>9</v>
      </c>
      <c r="H1254" s="351" t="s">
        <v>705</v>
      </c>
      <c r="I1254" s="365">
        <f>+R853</f>
        <v>1.32</v>
      </c>
      <c r="J1254" s="365">
        <f>+S853</f>
        <v>1.0095238095238095</v>
      </c>
      <c r="K1254" s="221">
        <f t="shared" si="30"/>
        <v>6050.5405714285716</v>
      </c>
      <c r="L1254" s="47" t="s">
        <v>699</v>
      </c>
      <c r="M1254" s="25"/>
      <c r="N1254" s="26"/>
      <c r="O1254" s="2"/>
      <c r="P1254" s="27"/>
      <c r="Q1254" s="26"/>
      <c r="T1254" s="28"/>
    </row>
    <row r="1255" spans="1:20" ht="30" customHeight="1" x14ac:dyDescent="0.45">
      <c r="A1255" s="47" t="s">
        <v>282</v>
      </c>
      <c r="B1255" s="1092" t="s">
        <v>658</v>
      </c>
      <c r="C1255" s="1092"/>
      <c r="D1255" s="1092"/>
      <c r="E1255" s="383">
        <f>+P855</f>
        <v>362.5</v>
      </c>
      <c r="F1255" s="222" t="s">
        <v>88</v>
      </c>
      <c r="G1255" s="424">
        <v>9</v>
      </c>
      <c r="H1255" s="351" t="s">
        <v>705</v>
      </c>
      <c r="I1255" s="365">
        <f>+R855</f>
        <v>1.32</v>
      </c>
      <c r="J1255" s="365">
        <f>+S855</f>
        <v>1.0095238095238095</v>
      </c>
      <c r="K1255" s="221">
        <f t="shared" si="30"/>
        <v>4347.5142857142855</v>
      </c>
      <c r="L1255" s="47" t="s">
        <v>699</v>
      </c>
      <c r="M1255" s="25"/>
      <c r="N1255" s="26"/>
      <c r="O1255" s="2"/>
      <c r="P1255" s="27"/>
      <c r="Q1255" s="26"/>
      <c r="T1255" s="28"/>
    </row>
    <row r="1256" spans="1:20" ht="30" customHeight="1" x14ac:dyDescent="0.45">
      <c r="A1256" s="47" t="s">
        <v>646</v>
      </c>
      <c r="B1256" s="1092" t="s">
        <v>757</v>
      </c>
      <c r="C1256" s="1092"/>
      <c r="D1256" s="1092"/>
      <c r="E1256" s="383">
        <f>+P850</f>
        <v>14.375</v>
      </c>
      <c r="F1256" s="47" t="s">
        <v>35</v>
      </c>
      <c r="G1256" s="424">
        <f>2*468</f>
        <v>936</v>
      </c>
      <c r="H1256" s="351" t="s">
        <v>704</v>
      </c>
      <c r="I1256" s="365">
        <f>+R850</f>
        <v>1.1100000000000001</v>
      </c>
      <c r="J1256" s="365">
        <f>+S850</f>
        <v>1.0095238095238095</v>
      </c>
      <c r="K1256" s="221">
        <f t="shared" si="30"/>
        <v>15077.288571428571</v>
      </c>
      <c r="L1256" s="47" t="s">
        <v>699</v>
      </c>
      <c r="M1256" s="25"/>
      <c r="N1256" s="26"/>
      <c r="O1256" s="2"/>
      <c r="P1256" s="27"/>
      <c r="Q1256" s="26"/>
      <c r="T1256" s="28"/>
    </row>
    <row r="1257" spans="1:20" ht="30" customHeight="1" x14ac:dyDescent="0.45">
      <c r="A1257" s="47" t="s">
        <v>484</v>
      </c>
      <c r="B1257" s="1092" t="s">
        <v>918</v>
      </c>
      <c r="C1257" s="1092"/>
      <c r="D1257" s="1092"/>
      <c r="E1257" s="383">
        <f>+P851</f>
        <v>20.25</v>
      </c>
      <c r="F1257" s="47" t="s">
        <v>35</v>
      </c>
      <c r="G1257" s="424">
        <f>2152*2</f>
        <v>4304</v>
      </c>
      <c r="H1257" s="351" t="s">
        <v>704</v>
      </c>
      <c r="I1257" s="365">
        <f>+R851</f>
        <v>1.28</v>
      </c>
      <c r="J1257" s="365">
        <f>+S851</f>
        <v>1.0095238095238095</v>
      </c>
      <c r="K1257" s="221">
        <f t="shared" si="30"/>
        <v>112622.15314285715</v>
      </c>
      <c r="L1257" s="47" t="s">
        <v>699</v>
      </c>
      <c r="M1257" s="25"/>
      <c r="N1257" s="26"/>
      <c r="O1257" s="2"/>
      <c r="P1257" s="27"/>
      <c r="Q1257" s="26"/>
      <c r="T1257" s="28"/>
    </row>
    <row r="1258" spans="1:20" ht="30" customHeight="1" x14ac:dyDescent="0.45">
      <c r="A1258" s="47" t="s">
        <v>484</v>
      </c>
      <c r="B1258" s="1092" t="s">
        <v>840</v>
      </c>
      <c r="C1258" s="1092"/>
      <c r="D1258" s="1092"/>
      <c r="E1258" s="383">
        <f>+P851</f>
        <v>20.25</v>
      </c>
      <c r="F1258" s="47" t="s">
        <v>35</v>
      </c>
      <c r="G1258" s="465">
        <f>80.7*1</f>
        <v>80.7</v>
      </c>
      <c r="H1258" s="351" t="s">
        <v>704</v>
      </c>
      <c r="I1258" s="365">
        <f>+R851</f>
        <v>1.28</v>
      </c>
      <c r="J1258" s="365">
        <f>+S851</f>
        <v>1.0095238095238095</v>
      </c>
      <c r="K1258" s="221">
        <f t="shared" si="30"/>
        <v>2111.6653714285717</v>
      </c>
      <c r="L1258" s="47" t="s">
        <v>699</v>
      </c>
      <c r="M1258" s="25"/>
      <c r="N1258" s="26"/>
      <c r="O1258" s="2"/>
      <c r="P1258" s="27"/>
      <c r="Q1258" s="26"/>
      <c r="T1258" s="28"/>
    </row>
    <row r="1259" spans="1:20" ht="30" customHeight="1" x14ac:dyDescent="0.45">
      <c r="A1259" s="47" t="s">
        <v>282</v>
      </c>
      <c r="B1259" s="1092" t="s">
        <v>657</v>
      </c>
      <c r="C1259" s="1092"/>
      <c r="D1259" s="1092"/>
      <c r="E1259" s="383">
        <f>+P854</f>
        <v>920</v>
      </c>
      <c r="F1259" s="222" t="s">
        <v>88</v>
      </c>
      <c r="G1259" s="424">
        <v>5</v>
      </c>
      <c r="H1259" s="351" t="s">
        <v>705</v>
      </c>
      <c r="I1259" s="365">
        <f>+R854</f>
        <v>1.32</v>
      </c>
      <c r="J1259" s="365">
        <f>+S854</f>
        <v>1.0095238095238095</v>
      </c>
      <c r="K1259" s="221">
        <f t="shared" si="30"/>
        <v>6129.8285714285712</v>
      </c>
      <c r="L1259" s="47" t="s">
        <v>699</v>
      </c>
      <c r="M1259" s="25"/>
      <c r="N1259" s="435"/>
      <c r="O1259" s="2"/>
      <c r="P1259" s="27"/>
      <c r="Q1259" s="26"/>
      <c r="T1259" s="28"/>
    </row>
    <row r="1260" spans="1:20" ht="30" customHeight="1" x14ac:dyDescent="0.45">
      <c r="A1260" s="47" t="s">
        <v>470</v>
      </c>
      <c r="B1260" s="1092" t="s">
        <v>919</v>
      </c>
      <c r="C1260" s="1092"/>
      <c r="D1260" s="1092"/>
      <c r="E1260" s="383">
        <f>+P860</f>
        <v>21.1</v>
      </c>
      <c r="F1260" s="222" t="s">
        <v>113</v>
      </c>
      <c r="G1260" s="424">
        <f>+((656*2)+(49*1))</f>
        <v>1361</v>
      </c>
      <c r="H1260" s="351" t="s">
        <v>707</v>
      </c>
      <c r="I1260" s="365">
        <f>+R860</f>
        <v>1.26</v>
      </c>
      <c r="J1260" s="365">
        <f>+S860</f>
        <v>1.0095238095238095</v>
      </c>
      <c r="K1260" s="221">
        <f t="shared" si="30"/>
        <v>36528.1512</v>
      </c>
      <c r="L1260" s="47" t="s">
        <v>699</v>
      </c>
      <c r="M1260" s="25"/>
      <c r="N1260" s="26"/>
      <c r="O1260" s="2"/>
      <c r="P1260" s="27"/>
      <c r="Q1260" s="26"/>
      <c r="T1260" s="28"/>
    </row>
    <row r="1261" spans="1:20" ht="30" customHeight="1" x14ac:dyDescent="0.45">
      <c r="A1261" s="47" t="s">
        <v>470</v>
      </c>
      <c r="B1261" s="1092" t="s">
        <v>824</v>
      </c>
      <c r="C1261" s="1092"/>
      <c r="D1261" s="1092"/>
      <c r="E1261" s="383">
        <f>+P861</f>
        <v>3352.5</v>
      </c>
      <c r="F1261" s="222" t="s">
        <v>88</v>
      </c>
      <c r="G1261" s="424">
        <v>3</v>
      </c>
      <c r="H1261" s="351" t="s">
        <v>705</v>
      </c>
      <c r="I1261" s="365">
        <f>+R861</f>
        <v>1.26</v>
      </c>
      <c r="J1261" s="365">
        <f>+S861</f>
        <v>1.0095238095238095</v>
      </c>
      <c r="K1261" s="221">
        <f t="shared" si="30"/>
        <v>12793.14</v>
      </c>
      <c r="L1261" s="47" t="s">
        <v>699</v>
      </c>
      <c r="M1261" s="25"/>
      <c r="N1261" s="26"/>
      <c r="O1261" s="2"/>
      <c r="P1261" s="27"/>
      <c r="Q1261" s="26"/>
      <c r="T1261" s="28"/>
    </row>
    <row r="1262" spans="1:20" ht="30" customHeight="1" x14ac:dyDescent="0.45">
      <c r="A1262" s="47" t="s">
        <v>282</v>
      </c>
      <c r="B1262" s="1092" t="s">
        <v>759</v>
      </c>
      <c r="C1262" s="1092"/>
      <c r="D1262" s="1092"/>
      <c r="E1262" s="383">
        <f>+P856</f>
        <v>1125</v>
      </c>
      <c r="F1262" s="222" t="s">
        <v>88</v>
      </c>
      <c r="G1262" s="424">
        <v>5</v>
      </c>
      <c r="H1262" s="351" t="s">
        <v>705</v>
      </c>
      <c r="I1262" s="365">
        <f t="shared" ref="I1262:J1264" si="31">+R856</f>
        <v>1.32</v>
      </c>
      <c r="J1262" s="365">
        <f t="shared" si="31"/>
        <v>1.0095238095238095</v>
      </c>
      <c r="K1262" s="221">
        <f t="shared" si="30"/>
        <v>7495.7142857142853</v>
      </c>
      <c r="L1262" s="47" t="s">
        <v>699</v>
      </c>
      <c r="M1262" s="25"/>
      <c r="N1262" s="26"/>
      <c r="O1262" s="2"/>
      <c r="P1262" s="27"/>
      <c r="Q1262" s="26"/>
      <c r="T1262" s="28"/>
    </row>
    <row r="1263" spans="1:20" ht="30" customHeight="1" x14ac:dyDescent="0.45">
      <c r="A1263" s="47" t="s">
        <v>662</v>
      </c>
      <c r="B1263" s="1092" t="s">
        <v>825</v>
      </c>
      <c r="C1263" s="1092"/>
      <c r="D1263" s="1092"/>
      <c r="E1263" s="383">
        <f>+P857</f>
        <v>157.58000000000001</v>
      </c>
      <c r="F1263" s="222" t="s">
        <v>88</v>
      </c>
      <c r="G1263" s="424">
        <v>46</v>
      </c>
      <c r="H1263" s="351" t="s">
        <v>705</v>
      </c>
      <c r="I1263" s="365">
        <f t="shared" si="31"/>
        <v>1.32</v>
      </c>
      <c r="J1263" s="365">
        <f t="shared" si="31"/>
        <v>1.0095238095238095</v>
      </c>
      <c r="K1263" s="221">
        <f t="shared" si="30"/>
        <v>9659.383862857143</v>
      </c>
      <c r="L1263" s="47" t="s">
        <v>699</v>
      </c>
      <c r="M1263" s="25"/>
      <c r="N1263" s="26"/>
      <c r="O1263" s="2"/>
      <c r="P1263" s="27"/>
      <c r="Q1263" s="26"/>
      <c r="T1263" s="28"/>
    </row>
    <row r="1264" spans="1:20" ht="30" customHeight="1" x14ac:dyDescent="0.45">
      <c r="A1264" s="47" t="s">
        <v>665</v>
      </c>
      <c r="B1264" s="1018" t="s">
        <v>666</v>
      </c>
      <c r="C1264" s="1019"/>
      <c r="D1264" s="1020"/>
      <c r="E1264" s="383">
        <f>+P858</f>
        <v>19.62</v>
      </c>
      <c r="F1264" s="222" t="s">
        <v>113</v>
      </c>
      <c r="G1264" s="424">
        <v>13582</v>
      </c>
      <c r="H1264" s="351" t="s">
        <v>707</v>
      </c>
      <c r="I1264" s="365">
        <f t="shared" si="31"/>
        <v>1.32</v>
      </c>
      <c r="J1264" s="365">
        <f t="shared" si="31"/>
        <v>1.0095238095238095</v>
      </c>
      <c r="K1264" s="221">
        <f t="shared" si="30"/>
        <v>355102.08850285719</v>
      </c>
      <c r="L1264" s="47" t="s">
        <v>699</v>
      </c>
      <c r="M1264" s="25"/>
      <c r="N1264" s="26"/>
      <c r="O1264" s="2"/>
      <c r="P1264" s="27"/>
      <c r="Q1264" s="26"/>
    </row>
    <row r="1265" spans="1:20" ht="30" customHeight="1" x14ac:dyDescent="0.45">
      <c r="A1265" s="47">
        <v>93410</v>
      </c>
      <c r="B1265" s="1018" t="s">
        <v>920</v>
      </c>
      <c r="C1265" s="1019"/>
      <c r="D1265" s="1020"/>
      <c r="E1265" s="334">
        <f>+P868</f>
        <v>2.78</v>
      </c>
      <c r="F1265" s="222" t="s">
        <v>8</v>
      </c>
      <c r="G1265" s="424">
        <v>1435</v>
      </c>
      <c r="H1265" s="351" t="s">
        <v>921</v>
      </c>
      <c r="I1265" s="447">
        <f>+R868</f>
        <v>0.93771935922451721</v>
      </c>
      <c r="J1265" s="47"/>
      <c r="K1265" s="221">
        <f>+E1265*G1265*I1265</f>
        <v>3740.8438397543664</v>
      </c>
      <c r="L1265" s="47" t="s">
        <v>699</v>
      </c>
      <c r="M1265" s="25"/>
      <c r="O1265" s="2"/>
      <c r="P1265" s="468"/>
      <c r="T1265" s="28"/>
    </row>
    <row r="1266" spans="1:20" ht="30" customHeight="1" x14ac:dyDescent="0.45">
      <c r="A1266" s="47">
        <v>93410</v>
      </c>
      <c r="B1266" s="1018" t="s">
        <v>922</v>
      </c>
      <c r="C1266" s="1019"/>
      <c r="D1266" s="1020"/>
      <c r="E1266" s="383">
        <f>+P867</f>
        <v>11.04</v>
      </c>
      <c r="F1266" s="222" t="s">
        <v>29</v>
      </c>
      <c r="G1266" s="424">
        <v>17139</v>
      </c>
      <c r="H1266" s="351" t="s">
        <v>710</v>
      </c>
      <c r="I1266" s="447">
        <f>+R867</f>
        <v>0.93771935922451721</v>
      </c>
      <c r="J1266" s="47"/>
      <c r="K1266" s="221">
        <f>+E1266*G1266*I1266</f>
        <v>177430.15595914895</v>
      </c>
      <c r="L1266" s="47" t="s">
        <v>699</v>
      </c>
      <c r="M1266" s="25"/>
      <c r="N1266" s="26"/>
      <c r="O1266" s="2"/>
      <c r="P1266" s="27"/>
      <c r="Q1266" s="26"/>
      <c r="T1266" s="28"/>
    </row>
    <row r="1267" spans="1:20" ht="30" customHeight="1" x14ac:dyDescent="0.45">
      <c r="A1267" s="47">
        <v>93210</v>
      </c>
      <c r="B1267" s="1018" t="s">
        <v>923</v>
      </c>
      <c r="C1267" s="1019"/>
      <c r="D1267" s="1020"/>
      <c r="E1267" s="383">
        <f>+P869</f>
        <v>89.16</v>
      </c>
      <c r="F1267" s="222" t="s">
        <v>29</v>
      </c>
      <c r="G1267" s="424">
        <v>431</v>
      </c>
      <c r="H1267" s="351" t="s">
        <v>710</v>
      </c>
      <c r="I1267" s="447">
        <f>+R869</f>
        <v>0.93771935922451721</v>
      </c>
      <c r="J1267" s="47"/>
      <c r="K1267" s="221">
        <f>+E1267*G1267*I1267</f>
        <v>36034.642027505375</v>
      </c>
      <c r="L1267" s="47" t="s">
        <v>699</v>
      </c>
      <c r="M1267" s="25"/>
      <c r="N1267" s="26"/>
      <c r="O1267" s="2"/>
      <c r="P1267" s="27"/>
      <c r="Q1267" s="26"/>
      <c r="T1267" s="28"/>
    </row>
    <row r="1268" spans="1:20" ht="30" customHeight="1" x14ac:dyDescent="0.45">
      <c r="A1268" s="47" t="s">
        <v>642</v>
      </c>
      <c r="B1268" s="1018" t="s">
        <v>924</v>
      </c>
      <c r="C1268" s="1019"/>
      <c r="D1268" s="1020"/>
      <c r="E1268" s="334">
        <f>+P847</f>
        <v>21.15</v>
      </c>
      <c r="F1268" s="222" t="s">
        <v>35</v>
      </c>
      <c r="G1268" s="424">
        <v>1600</v>
      </c>
      <c r="H1268" s="351" t="s">
        <v>704</v>
      </c>
      <c r="I1268" s="410">
        <f>+R847</f>
        <v>1.29</v>
      </c>
      <c r="J1268" s="365">
        <f>+S847</f>
        <v>1.0095238095238095</v>
      </c>
      <c r="K1268" s="221">
        <f>+E1268*G1268*I1268*J1268</f>
        <v>44069.348571428571</v>
      </c>
      <c r="L1268" s="47" t="s">
        <v>699</v>
      </c>
      <c r="M1268" s="25"/>
      <c r="N1268" s="26"/>
      <c r="O1268" s="2"/>
      <c r="P1268" s="27"/>
      <c r="Q1268" s="26"/>
      <c r="T1268" s="28"/>
    </row>
    <row r="1269" spans="1:20" ht="30" customHeight="1" x14ac:dyDescent="0.45">
      <c r="A1269" s="977" t="s">
        <v>712</v>
      </c>
      <c r="B1269" s="978"/>
      <c r="C1269" s="978"/>
      <c r="D1269" s="979"/>
      <c r="E1269" s="221"/>
      <c r="F1269" s="47"/>
      <c r="G1269" s="58"/>
      <c r="H1269" s="179"/>
      <c r="I1269" s="47"/>
      <c r="J1269" s="47" t="s">
        <v>360</v>
      </c>
      <c r="K1269" s="221">
        <f>SUM(K1253:K1268)</f>
        <v>836555.11730640859</v>
      </c>
      <c r="L1269" s="47" t="s">
        <v>699</v>
      </c>
      <c r="M1269" s="25"/>
      <c r="N1269" s="26"/>
      <c r="O1269" s="2"/>
      <c r="P1269" s="27"/>
      <c r="Q1269" s="26"/>
      <c r="T1269" s="28"/>
    </row>
    <row r="1270" spans="1:20" ht="30" customHeight="1" thickBot="1" x14ac:dyDescent="0.5">
      <c r="A1270" s="1352"/>
      <c r="B1270" s="1353"/>
      <c r="C1270" s="1353"/>
      <c r="D1270" s="1354"/>
      <c r="E1270" s="58"/>
      <c r="F1270" s="58"/>
      <c r="G1270" s="1032" t="s">
        <v>288</v>
      </c>
      <c r="H1270" s="1033"/>
      <c r="I1270" s="1034"/>
      <c r="J1270" s="213">
        <f>VLOOKUP(B1250,'[1]Mil Cost Premiums for PUCs'!$A$4:$R$278,18,FALSE)</f>
        <v>1.0485669999999998</v>
      </c>
      <c r="K1270" s="216">
        <f>+K1269*J1270</f>
        <v>877184.0896886288</v>
      </c>
      <c r="L1270" s="47" t="s">
        <v>699</v>
      </c>
      <c r="M1270" s="25"/>
      <c r="N1270" s="26"/>
      <c r="O1270" s="2"/>
      <c r="P1270" s="27"/>
      <c r="Q1270" s="26"/>
      <c r="T1270" s="28"/>
    </row>
    <row r="1271" spans="1:20" ht="30" customHeight="1" thickBot="1" x14ac:dyDescent="0.5">
      <c r="A1271" s="999"/>
      <c r="B1271" s="1000"/>
      <c r="C1271" s="1000"/>
      <c r="D1271" s="1000"/>
      <c r="E1271" s="1000"/>
      <c r="F1271" s="1000"/>
      <c r="G1271" s="1000"/>
      <c r="H1271" s="1000"/>
      <c r="I1271" s="1000"/>
      <c r="J1271" s="1000"/>
      <c r="K1271" s="1000"/>
      <c r="L1271" s="1001"/>
      <c r="M1271" s="25"/>
      <c r="N1271" s="26"/>
      <c r="O1271" s="2"/>
      <c r="P1271" s="27"/>
      <c r="Q1271" s="26"/>
      <c r="T1271" s="28"/>
    </row>
    <row r="1272" spans="1:20" ht="30" customHeight="1" x14ac:dyDescent="0.45">
      <c r="A1272" s="9" t="s">
        <v>4</v>
      </c>
      <c r="B1272" s="10">
        <v>1781</v>
      </c>
      <c r="C1272" s="983" t="s">
        <v>925</v>
      </c>
      <c r="D1272" s="984"/>
      <c r="E1272" s="13" t="s">
        <v>7</v>
      </c>
      <c r="F1272" s="14" t="s">
        <v>699</v>
      </c>
      <c r="G1272" s="467" t="s">
        <v>926</v>
      </c>
      <c r="H1272" s="370">
        <v>1</v>
      </c>
      <c r="I1272" s="13" t="s">
        <v>9</v>
      </c>
      <c r="J1272" s="1355" t="s">
        <v>701</v>
      </c>
      <c r="K1272" s="1355"/>
      <c r="L1272" s="1356"/>
      <c r="M1272" s="25"/>
      <c r="N1272" s="26"/>
      <c r="O1272" s="2"/>
      <c r="P1272" s="27"/>
      <c r="Q1272" s="26"/>
      <c r="T1272" s="28"/>
    </row>
    <row r="1273" spans="1:20" ht="30" customHeight="1" x14ac:dyDescent="0.45">
      <c r="A1273" s="19" t="s">
        <v>702</v>
      </c>
      <c r="B1273" s="987" t="s">
        <v>293</v>
      </c>
      <c r="C1273" s="988"/>
      <c r="D1273" s="989"/>
      <c r="E1273" s="220" t="s">
        <v>13</v>
      </c>
      <c r="F1273" s="220" t="s">
        <v>14</v>
      </c>
      <c r="G1273" s="990" t="s">
        <v>15</v>
      </c>
      <c r="H1273" s="991"/>
      <c r="I1273" s="19" t="s">
        <v>278</v>
      </c>
      <c r="J1273" s="277" t="s">
        <v>285</v>
      </c>
      <c r="K1273" s="992" t="s">
        <v>17</v>
      </c>
      <c r="L1273" s="993"/>
      <c r="M1273" s="25"/>
      <c r="N1273" s="26"/>
      <c r="O1273" s="2"/>
      <c r="P1273" s="27"/>
      <c r="Q1273" s="26"/>
      <c r="T1273" s="28"/>
    </row>
    <row r="1274" spans="1:20" ht="30" customHeight="1" x14ac:dyDescent="0.45">
      <c r="A1274" s="47">
        <v>93210</v>
      </c>
      <c r="B1274" s="1018" t="s">
        <v>927</v>
      </c>
      <c r="C1274" s="1019"/>
      <c r="D1274" s="1020"/>
      <c r="E1274" s="383">
        <f>+P869</f>
        <v>89.16</v>
      </c>
      <c r="F1274" s="222" t="s">
        <v>29</v>
      </c>
      <c r="G1274" s="424">
        <v>205</v>
      </c>
      <c r="H1274" s="351" t="s">
        <v>710</v>
      </c>
      <c r="I1274" s="458">
        <f>+R869</f>
        <v>0.93771935922451721</v>
      </c>
      <c r="J1274" s="47"/>
      <c r="K1274" s="221">
        <f>+E1274*G1274*I1274</f>
        <v>17139.446904033881</v>
      </c>
      <c r="L1274" s="47" t="s">
        <v>699</v>
      </c>
      <c r="M1274" s="25"/>
      <c r="N1274" s="26"/>
      <c r="O1274" s="2"/>
      <c r="P1274" s="27"/>
      <c r="Q1274" s="26"/>
      <c r="T1274" s="28"/>
    </row>
    <row r="1275" spans="1:20" ht="30" customHeight="1" x14ac:dyDescent="0.45">
      <c r="A1275" s="47" t="s">
        <v>646</v>
      </c>
      <c r="B1275" s="1018" t="s">
        <v>928</v>
      </c>
      <c r="C1275" s="1019"/>
      <c r="D1275" s="1020"/>
      <c r="E1275" s="334">
        <f>+P849</f>
        <v>11.775</v>
      </c>
      <c r="F1275" s="222" t="s">
        <v>35</v>
      </c>
      <c r="G1275" s="424">
        <v>160</v>
      </c>
      <c r="H1275" s="351" t="s">
        <v>704</v>
      </c>
      <c r="I1275" s="47">
        <f>+R849</f>
        <v>1.1100000000000001</v>
      </c>
      <c r="J1275" s="365">
        <f>+S849</f>
        <v>1.0095238095238095</v>
      </c>
      <c r="K1275" s="221">
        <f>+E1275*G1275*I1275*J1275</f>
        <v>2111.1565714285716</v>
      </c>
      <c r="L1275" s="47" t="s">
        <v>699</v>
      </c>
      <c r="M1275" s="25"/>
      <c r="N1275" s="26"/>
      <c r="O1275" s="2"/>
      <c r="P1275" s="27"/>
      <c r="Q1275" s="26"/>
      <c r="T1275" s="28"/>
    </row>
    <row r="1276" spans="1:20" ht="30" customHeight="1" x14ac:dyDescent="0.45">
      <c r="A1276" s="47" t="s">
        <v>646</v>
      </c>
      <c r="B1276" s="1018" t="s">
        <v>929</v>
      </c>
      <c r="C1276" s="1019"/>
      <c r="D1276" s="1020"/>
      <c r="E1276" s="334">
        <f>+P850</f>
        <v>14.375</v>
      </c>
      <c r="F1276" s="47" t="s">
        <v>35</v>
      </c>
      <c r="G1276" s="424">
        <v>1614</v>
      </c>
      <c r="H1276" s="351" t="s">
        <v>704</v>
      </c>
      <c r="I1276" s="47">
        <f>+R850</f>
        <v>1.1100000000000001</v>
      </c>
      <c r="J1276" s="365">
        <f>+S850</f>
        <v>1.0095238095238095</v>
      </c>
      <c r="K1276" s="221">
        <f>+E1276*G1276*I1276*J1276</f>
        <v>25998.657857142858</v>
      </c>
      <c r="L1276" s="47" t="s">
        <v>699</v>
      </c>
      <c r="M1276" s="25"/>
      <c r="N1276" s="26"/>
      <c r="O1276" s="2"/>
      <c r="P1276" s="27"/>
      <c r="Q1276" s="26"/>
      <c r="T1276" s="28"/>
    </row>
    <row r="1277" spans="1:20" ht="30" customHeight="1" x14ac:dyDescent="0.45">
      <c r="A1277" s="47">
        <v>93410</v>
      </c>
      <c r="B1277" s="1018" t="s">
        <v>930</v>
      </c>
      <c r="C1277" s="1019"/>
      <c r="D1277" s="1020"/>
      <c r="E1277" s="383">
        <f>+P867</f>
        <v>11.04</v>
      </c>
      <c r="F1277" s="222" t="s">
        <v>29</v>
      </c>
      <c r="G1277" s="424">
        <v>235</v>
      </c>
      <c r="H1277" s="351" t="s">
        <v>710</v>
      </c>
      <c r="I1277" s="447">
        <f>+R867</f>
        <v>0.93771935922451721</v>
      </c>
      <c r="J1277" s="47"/>
      <c r="K1277" s="221">
        <f>+E1277*G1277*I1277</f>
        <v>2432.8191055720872</v>
      </c>
      <c r="L1277" s="47" t="s">
        <v>699</v>
      </c>
      <c r="M1277" s="25"/>
      <c r="N1277" s="26"/>
      <c r="O1277" s="2"/>
      <c r="P1277" s="27"/>
      <c r="Q1277" s="26"/>
      <c r="T1277" s="28"/>
    </row>
    <row r="1278" spans="1:20" ht="30" customHeight="1" x14ac:dyDescent="0.45">
      <c r="A1278" s="977" t="s">
        <v>712</v>
      </c>
      <c r="B1278" s="978"/>
      <c r="C1278" s="978"/>
      <c r="D1278" s="979"/>
      <c r="E1278" s="221"/>
      <c r="F1278" s="47"/>
      <c r="G1278" s="58"/>
      <c r="H1278" s="179"/>
      <c r="I1278" s="47"/>
      <c r="J1278" s="47" t="s">
        <v>360</v>
      </c>
      <c r="K1278" s="221">
        <f>SUM(K1274:K1277)</f>
        <v>47682.0804381774</v>
      </c>
      <c r="L1278" s="47" t="s">
        <v>699</v>
      </c>
      <c r="M1278" s="25"/>
      <c r="N1278" s="26"/>
      <c r="O1278" s="2"/>
      <c r="P1278" s="27"/>
      <c r="Q1278" s="26"/>
      <c r="T1278" s="28"/>
    </row>
    <row r="1279" spans="1:20" ht="30" customHeight="1" thickBot="1" x14ac:dyDescent="0.5">
      <c r="A1279" s="1352"/>
      <c r="B1279" s="1353"/>
      <c r="C1279" s="1353"/>
      <c r="D1279" s="1354"/>
      <c r="E1279" s="58"/>
      <c r="F1279" s="58"/>
      <c r="G1279" s="1032" t="s">
        <v>288</v>
      </c>
      <c r="H1279" s="1033"/>
      <c r="I1279" s="1034"/>
      <c r="J1279" s="213">
        <f>VLOOKUP(B1272,'[1]Mil Cost Premiums for PUCs'!$A$4:$R$278,18,FALSE)</f>
        <v>1.0485669999999998</v>
      </c>
      <c r="K1279" s="216">
        <f>+K1278*J1279</f>
        <v>49997.856038818354</v>
      </c>
      <c r="L1279" s="47" t="s">
        <v>699</v>
      </c>
      <c r="M1279" s="25"/>
      <c r="N1279" s="26"/>
      <c r="O1279" s="2"/>
      <c r="P1279" s="27"/>
      <c r="Q1279" s="26"/>
      <c r="T1279" s="28"/>
    </row>
    <row r="1280" spans="1:20" ht="30" customHeight="1" thickBot="1" x14ac:dyDescent="0.5">
      <c r="A1280" s="999"/>
      <c r="B1280" s="1000"/>
      <c r="C1280" s="1000"/>
      <c r="D1280" s="1000"/>
      <c r="E1280" s="1000"/>
      <c r="F1280" s="1000"/>
      <c r="G1280" s="1000"/>
      <c r="H1280" s="1000"/>
      <c r="I1280" s="1000"/>
      <c r="J1280" s="1000"/>
      <c r="K1280" s="1000"/>
      <c r="L1280" s="1001"/>
      <c r="M1280" s="25"/>
      <c r="N1280" s="26"/>
      <c r="O1280" s="2"/>
      <c r="P1280" s="27"/>
      <c r="Q1280" s="26"/>
      <c r="T1280" s="28"/>
    </row>
    <row r="1281" spans="1:20" ht="30" customHeight="1" x14ac:dyDescent="0.45">
      <c r="A1281" s="9" t="s">
        <v>4</v>
      </c>
      <c r="B1281" s="10">
        <v>1782</v>
      </c>
      <c r="C1281" s="983" t="s">
        <v>931</v>
      </c>
      <c r="D1281" s="984"/>
      <c r="E1281" s="13" t="s">
        <v>7</v>
      </c>
      <c r="F1281" s="14" t="s">
        <v>699</v>
      </c>
      <c r="G1281" s="15" t="s">
        <v>932</v>
      </c>
      <c r="H1281" s="370">
        <v>10</v>
      </c>
      <c r="I1281" s="13" t="s">
        <v>9</v>
      </c>
      <c r="J1281" s="1355" t="s">
        <v>701</v>
      </c>
      <c r="K1281" s="1355"/>
      <c r="L1281" s="1356"/>
      <c r="M1281" s="25"/>
      <c r="N1281" s="26"/>
      <c r="O1281" s="2"/>
      <c r="P1281" s="27"/>
      <c r="Q1281" s="26"/>
      <c r="T1281" s="28"/>
    </row>
    <row r="1282" spans="1:20" ht="30" customHeight="1" x14ac:dyDescent="0.45">
      <c r="A1282" s="19" t="s">
        <v>702</v>
      </c>
      <c r="B1282" s="987" t="s">
        <v>293</v>
      </c>
      <c r="C1282" s="988"/>
      <c r="D1282" s="989"/>
      <c r="E1282" s="220" t="s">
        <v>13</v>
      </c>
      <c r="F1282" s="220" t="s">
        <v>14</v>
      </c>
      <c r="G1282" s="990" t="s">
        <v>15</v>
      </c>
      <c r="H1282" s="991"/>
      <c r="I1282" s="19" t="s">
        <v>278</v>
      </c>
      <c r="J1282" s="277" t="s">
        <v>285</v>
      </c>
      <c r="K1282" s="992" t="s">
        <v>17</v>
      </c>
      <c r="L1282" s="993"/>
      <c r="M1282" s="25"/>
      <c r="N1282" s="26"/>
      <c r="O1282" s="2"/>
      <c r="P1282" s="27"/>
      <c r="Q1282" s="26"/>
      <c r="T1282" s="28"/>
    </row>
    <row r="1283" spans="1:20" ht="30" customHeight="1" x14ac:dyDescent="0.45">
      <c r="A1283" s="19"/>
      <c r="B1283" s="1008" t="s">
        <v>933</v>
      </c>
      <c r="C1283" s="1009"/>
      <c r="D1283" s="1010"/>
      <c r="E1283" s="220"/>
      <c r="F1283" s="220"/>
      <c r="G1283" s="98"/>
      <c r="H1283" s="99"/>
      <c r="I1283" s="460"/>
      <c r="J1283" s="460"/>
      <c r="K1283" s="220"/>
      <c r="L1283" s="220"/>
      <c r="M1283" s="25"/>
      <c r="N1283" s="26"/>
      <c r="O1283" s="2"/>
      <c r="P1283" s="27"/>
      <c r="Q1283" s="26"/>
      <c r="T1283" s="28"/>
    </row>
    <row r="1284" spans="1:20" ht="30" customHeight="1" x14ac:dyDescent="0.45">
      <c r="A1284" s="47" t="s">
        <v>646</v>
      </c>
      <c r="B1284" s="1018" t="s">
        <v>934</v>
      </c>
      <c r="C1284" s="1019"/>
      <c r="D1284" s="1020"/>
      <c r="E1284" s="383">
        <f>+P849</f>
        <v>11.775</v>
      </c>
      <c r="F1284" s="47" t="s">
        <v>35</v>
      </c>
      <c r="G1284" s="424">
        <f>9*62</f>
        <v>558</v>
      </c>
      <c r="H1284" s="351" t="s">
        <v>704</v>
      </c>
      <c r="I1284" s="365">
        <f>+R849</f>
        <v>1.1100000000000001</v>
      </c>
      <c r="J1284" s="365">
        <f>+S849</f>
        <v>1.0095238095238095</v>
      </c>
      <c r="K1284" s="221">
        <f t="shared" ref="K1284:K1292" si="32">+E1284*G1284*I1284*J1284</f>
        <v>7362.6585428571434</v>
      </c>
      <c r="L1284" s="47" t="s">
        <v>699</v>
      </c>
      <c r="M1284" s="25"/>
      <c r="N1284" s="26"/>
      <c r="O1284" s="2"/>
      <c r="P1284" s="27"/>
      <c r="Q1284" s="26"/>
      <c r="T1284" s="28"/>
    </row>
    <row r="1285" spans="1:20" ht="30" customHeight="1" x14ac:dyDescent="0.45">
      <c r="A1285" s="47" t="s">
        <v>282</v>
      </c>
      <c r="B1285" s="1018" t="s">
        <v>656</v>
      </c>
      <c r="C1285" s="1019"/>
      <c r="D1285" s="1020"/>
      <c r="E1285" s="383">
        <f>+P853</f>
        <v>504.5</v>
      </c>
      <c r="F1285" s="222" t="s">
        <v>88</v>
      </c>
      <c r="G1285" s="424">
        <v>9</v>
      </c>
      <c r="H1285" s="351" t="s">
        <v>705</v>
      </c>
      <c r="I1285" s="365">
        <f>+R853</f>
        <v>1.32</v>
      </c>
      <c r="J1285" s="365">
        <f>+S853</f>
        <v>1.0095238095238095</v>
      </c>
      <c r="K1285" s="221">
        <f t="shared" si="32"/>
        <v>6050.5405714285716</v>
      </c>
      <c r="L1285" s="47" t="s">
        <v>699</v>
      </c>
      <c r="M1285" s="25"/>
      <c r="N1285" s="26"/>
      <c r="O1285" s="2"/>
      <c r="P1285" s="27"/>
      <c r="Q1285" s="26"/>
      <c r="T1285" s="28"/>
    </row>
    <row r="1286" spans="1:20" ht="30" customHeight="1" x14ac:dyDescent="0.45">
      <c r="A1286" s="47" t="s">
        <v>282</v>
      </c>
      <c r="B1286" s="1092" t="s">
        <v>658</v>
      </c>
      <c r="C1286" s="1092"/>
      <c r="D1286" s="1092"/>
      <c r="E1286" s="383">
        <f>+P855</f>
        <v>362.5</v>
      </c>
      <c r="F1286" s="222" t="s">
        <v>88</v>
      </c>
      <c r="G1286" s="424">
        <v>9</v>
      </c>
      <c r="H1286" s="351" t="s">
        <v>705</v>
      </c>
      <c r="I1286" s="365">
        <f>+R855</f>
        <v>1.32</v>
      </c>
      <c r="J1286" s="365">
        <f>+S855</f>
        <v>1.0095238095238095</v>
      </c>
      <c r="K1286" s="221">
        <f t="shared" si="32"/>
        <v>4347.5142857142855</v>
      </c>
      <c r="L1286" s="47" t="s">
        <v>699</v>
      </c>
      <c r="M1286" s="25"/>
      <c r="N1286" s="26"/>
      <c r="O1286" s="2"/>
      <c r="P1286" s="27"/>
      <c r="Q1286" s="26"/>
      <c r="T1286" s="28"/>
    </row>
    <row r="1287" spans="1:20" ht="30" customHeight="1" x14ac:dyDescent="0.45">
      <c r="A1287" s="47" t="s">
        <v>646</v>
      </c>
      <c r="B1287" s="1092" t="s">
        <v>935</v>
      </c>
      <c r="C1287" s="1092"/>
      <c r="D1287" s="1092"/>
      <c r="E1287" s="383">
        <f>+P850</f>
        <v>14.375</v>
      </c>
      <c r="F1287" s="47" t="s">
        <v>35</v>
      </c>
      <c r="G1287" s="424">
        <f>2*468</f>
        <v>936</v>
      </c>
      <c r="H1287" s="351" t="s">
        <v>704</v>
      </c>
      <c r="I1287" s="365">
        <f>+R850</f>
        <v>1.1100000000000001</v>
      </c>
      <c r="J1287" s="365">
        <f>+S850</f>
        <v>1.0095238095238095</v>
      </c>
      <c r="K1287" s="221">
        <f t="shared" si="32"/>
        <v>15077.288571428571</v>
      </c>
      <c r="L1287" s="47" t="s">
        <v>699</v>
      </c>
      <c r="M1287" s="25"/>
      <c r="N1287" s="26"/>
      <c r="O1287" s="2"/>
      <c r="P1287" s="27"/>
      <c r="Q1287" s="26"/>
      <c r="T1287" s="28"/>
    </row>
    <row r="1288" spans="1:20" ht="30" customHeight="1" x14ac:dyDescent="0.45">
      <c r="A1288" s="47" t="s">
        <v>484</v>
      </c>
      <c r="B1288" s="1092" t="s">
        <v>840</v>
      </c>
      <c r="C1288" s="1092"/>
      <c r="D1288" s="1092"/>
      <c r="E1288" s="383">
        <f>+P851</f>
        <v>20.25</v>
      </c>
      <c r="F1288" s="47" t="s">
        <v>35</v>
      </c>
      <c r="G1288" s="465">
        <f>80.7*1</f>
        <v>80.7</v>
      </c>
      <c r="H1288" s="351" t="s">
        <v>704</v>
      </c>
      <c r="I1288" s="365">
        <f>+R851</f>
        <v>1.28</v>
      </c>
      <c r="J1288" s="365">
        <f>+S851</f>
        <v>1.0095238095238095</v>
      </c>
      <c r="K1288" s="221">
        <f t="shared" si="32"/>
        <v>2111.6653714285717</v>
      </c>
      <c r="L1288" s="47" t="s">
        <v>699</v>
      </c>
      <c r="M1288" s="25"/>
      <c r="N1288" s="26"/>
      <c r="O1288" s="2"/>
      <c r="P1288" s="27"/>
      <c r="Q1288" s="26"/>
      <c r="T1288" s="28"/>
    </row>
    <row r="1289" spans="1:20" ht="30" customHeight="1" x14ac:dyDescent="0.45">
      <c r="A1289" s="47" t="s">
        <v>282</v>
      </c>
      <c r="B1289" s="1092" t="s">
        <v>657</v>
      </c>
      <c r="C1289" s="1092"/>
      <c r="D1289" s="1092"/>
      <c r="E1289" s="383">
        <f>+P854</f>
        <v>920</v>
      </c>
      <c r="F1289" s="222" t="s">
        <v>88</v>
      </c>
      <c r="G1289" s="424">
        <v>2</v>
      </c>
      <c r="H1289" s="351" t="s">
        <v>705</v>
      </c>
      <c r="I1289" s="365">
        <f>+R854</f>
        <v>1.32</v>
      </c>
      <c r="J1289" s="365">
        <f>+S854</f>
        <v>1.0095238095238095</v>
      </c>
      <c r="K1289" s="221">
        <f t="shared" si="32"/>
        <v>2451.9314285714286</v>
      </c>
      <c r="L1289" s="47" t="s">
        <v>699</v>
      </c>
      <c r="M1289" s="25"/>
      <c r="N1289" s="26"/>
      <c r="O1289" s="2"/>
      <c r="P1289" s="27"/>
      <c r="Q1289" s="26"/>
      <c r="T1289" s="28"/>
    </row>
    <row r="1290" spans="1:20" ht="30" customHeight="1" x14ac:dyDescent="0.45">
      <c r="A1290" s="47" t="s">
        <v>282</v>
      </c>
      <c r="B1290" s="1092" t="s">
        <v>759</v>
      </c>
      <c r="C1290" s="1092"/>
      <c r="D1290" s="1092"/>
      <c r="E1290" s="383">
        <f>+P856</f>
        <v>1125</v>
      </c>
      <c r="F1290" s="222" t="s">
        <v>88</v>
      </c>
      <c r="G1290" s="424">
        <v>2</v>
      </c>
      <c r="H1290" s="351" t="s">
        <v>705</v>
      </c>
      <c r="I1290" s="365">
        <f t="shared" ref="I1290:J1292" si="33">+R856</f>
        <v>1.32</v>
      </c>
      <c r="J1290" s="365">
        <f t="shared" si="33"/>
        <v>1.0095238095238095</v>
      </c>
      <c r="K1290" s="221">
        <f t="shared" si="32"/>
        <v>2998.2857142857142</v>
      </c>
      <c r="L1290" s="47" t="s">
        <v>699</v>
      </c>
      <c r="M1290" s="25"/>
      <c r="N1290" s="26"/>
      <c r="O1290" s="2"/>
      <c r="P1290" s="27"/>
      <c r="Q1290" s="26"/>
      <c r="T1290" s="28"/>
    </row>
    <row r="1291" spans="1:20" ht="30" customHeight="1" x14ac:dyDescent="0.45">
      <c r="A1291" s="47" t="s">
        <v>662</v>
      </c>
      <c r="B1291" s="1092" t="s">
        <v>936</v>
      </c>
      <c r="C1291" s="1092"/>
      <c r="D1291" s="1092"/>
      <c r="E1291" s="383">
        <f>+P857</f>
        <v>157.58000000000001</v>
      </c>
      <c r="F1291" s="222" t="s">
        <v>88</v>
      </c>
      <c r="G1291" s="424">
        <v>46</v>
      </c>
      <c r="H1291" s="351" t="s">
        <v>705</v>
      </c>
      <c r="I1291" s="365">
        <f t="shared" si="33"/>
        <v>1.32</v>
      </c>
      <c r="J1291" s="365">
        <f t="shared" si="33"/>
        <v>1.0095238095238095</v>
      </c>
      <c r="K1291" s="221">
        <f t="shared" si="32"/>
        <v>9659.383862857143</v>
      </c>
      <c r="L1291" s="47" t="s">
        <v>699</v>
      </c>
      <c r="M1291" s="25"/>
      <c r="N1291" s="26"/>
      <c r="O1291" s="2"/>
      <c r="P1291" s="27"/>
      <c r="Q1291" s="26"/>
      <c r="T1291" s="28"/>
    </row>
    <row r="1292" spans="1:20" ht="30" customHeight="1" x14ac:dyDescent="0.45">
      <c r="A1292" s="47" t="s">
        <v>665</v>
      </c>
      <c r="B1292" s="1018" t="s">
        <v>666</v>
      </c>
      <c r="C1292" s="1019"/>
      <c r="D1292" s="1020"/>
      <c r="E1292" s="383">
        <f>+P858</f>
        <v>19.62</v>
      </c>
      <c r="F1292" s="222" t="s">
        <v>113</v>
      </c>
      <c r="G1292" s="424">
        <v>2753</v>
      </c>
      <c r="H1292" s="351" t="s">
        <v>707</v>
      </c>
      <c r="I1292" s="365">
        <f t="shared" si="33"/>
        <v>1.32</v>
      </c>
      <c r="J1292" s="365">
        <f t="shared" si="33"/>
        <v>1.0095238095238095</v>
      </c>
      <c r="K1292" s="221">
        <f t="shared" si="32"/>
        <v>71977.326582857146</v>
      </c>
      <c r="L1292" s="47" t="s">
        <v>699</v>
      </c>
      <c r="M1292" s="25"/>
      <c r="N1292" s="26"/>
      <c r="O1292" s="2"/>
      <c r="P1292" s="27"/>
      <c r="Q1292" s="26"/>
      <c r="T1292" s="28"/>
    </row>
    <row r="1293" spans="1:20" ht="30" customHeight="1" x14ac:dyDescent="0.45">
      <c r="A1293" s="47">
        <v>93410</v>
      </c>
      <c r="B1293" s="1018" t="s">
        <v>920</v>
      </c>
      <c r="C1293" s="1019"/>
      <c r="D1293" s="1020"/>
      <c r="E1293" s="334">
        <f>+P868</f>
        <v>2.78</v>
      </c>
      <c r="F1293" s="222" t="s">
        <v>8</v>
      </c>
      <c r="G1293" s="424">
        <v>1435</v>
      </c>
      <c r="H1293" s="351" t="s">
        <v>921</v>
      </c>
      <c r="I1293" s="447">
        <f>+R868</f>
        <v>0.93771935922451721</v>
      </c>
      <c r="J1293" s="47"/>
      <c r="K1293" s="221">
        <f>+E1293*G1293*I1293</f>
        <v>3740.8438397543664</v>
      </c>
      <c r="L1293" s="47" t="s">
        <v>699</v>
      </c>
      <c r="M1293" s="25"/>
      <c r="N1293" s="26"/>
      <c r="O1293" s="2"/>
      <c r="P1293" s="27"/>
      <c r="Q1293" s="26"/>
      <c r="T1293" s="28"/>
    </row>
    <row r="1294" spans="1:20" ht="30" customHeight="1" x14ac:dyDescent="0.45">
      <c r="A1294" s="47">
        <v>93410</v>
      </c>
      <c r="B1294" s="1018" t="s">
        <v>873</v>
      </c>
      <c r="C1294" s="1019"/>
      <c r="D1294" s="1020"/>
      <c r="E1294" s="383">
        <f>+P867</f>
        <v>11.04</v>
      </c>
      <c r="F1294" s="222" t="s">
        <v>29</v>
      </c>
      <c r="G1294" s="424">
        <v>17139</v>
      </c>
      <c r="H1294" s="351" t="s">
        <v>710</v>
      </c>
      <c r="I1294" s="447">
        <f>+R867</f>
        <v>0.93771935922451721</v>
      </c>
      <c r="J1294" s="47"/>
      <c r="K1294" s="221">
        <f>+E1294*G1294*I1294</f>
        <v>177430.15595914895</v>
      </c>
      <c r="L1294" s="47" t="s">
        <v>699</v>
      </c>
      <c r="M1294" s="25"/>
      <c r="N1294" s="26"/>
      <c r="O1294" s="2"/>
      <c r="P1294" s="27"/>
      <c r="Q1294" s="26"/>
      <c r="T1294" s="28"/>
    </row>
    <row r="1295" spans="1:20" ht="30" customHeight="1" x14ac:dyDescent="0.45">
      <c r="A1295" s="47">
        <v>93210</v>
      </c>
      <c r="B1295" s="1018" t="s">
        <v>923</v>
      </c>
      <c r="C1295" s="1019"/>
      <c r="D1295" s="1020"/>
      <c r="E1295" s="383">
        <f>+P869</f>
        <v>89.16</v>
      </c>
      <c r="F1295" s="222" t="s">
        <v>29</v>
      </c>
      <c r="G1295" s="424">
        <v>431</v>
      </c>
      <c r="H1295" s="351" t="s">
        <v>710</v>
      </c>
      <c r="I1295" s="447">
        <f>+R869</f>
        <v>0.93771935922451721</v>
      </c>
      <c r="J1295" s="47"/>
      <c r="K1295" s="221">
        <f>+E1295*G1295*I1295</f>
        <v>36034.642027505375</v>
      </c>
      <c r="L1295" s="47" t="s">
        <v>699</v>
      </c>
      <c r="M1295" s="25"/>
      <c r="N1295" s="26"/>
      <c r="O1295" s="2"/>
      <c r="P1295" s="27"/>
      <c r="Q1295" s="26"/>
      <c r="T1295" s="28"/>
    </row>
    <row r="1296" spans="1:20" ht="30" customHeight="1" x14ac:dyDescent="0.45">
      <c r="A1296" s="47" t="s">
        <v>642</v>
      </c>
      <c r="B1296" s="1018" t="s">
        <v>937</v>
      </c>
      <c r="C1296" s="1019"/>
      <c r="D1296" s="1020"/>
      <c r="E1296" s="334">
        <f>+P847</f>
        <v>21.15</v>
      </c>
      <c r="F1296" s="222" t="s">
        <v>35</v>
      </c>
      <c r="G1296" s="424">
        <v>4800</v>
      </c>
      <c r="H1296" s="351" t="s">
        <v>704</v>
      </c>
      <c r="I1296" s="365">
        <f>+R847</f>
        <v>1.29</v>
      </c>
      <c r="J1296" s="365">
        <f>+S847</f>
        <v>1.0095238095238095</v>
      </c>
      <c r="K1296" s="221">
        <f>+E1296*G1296*I1296*J1296</f>
        <v>132208.04571428572</v>
      </c>
      <c r="L1296" s="47" t="s">
        <v>699</v>
      </c>
      <c r="M1296" s="25"/>
      <c r="N1296" s="26"/>
      <c r="O1296" s="2"/>
      <c r="P1296" s="27"/>
      <c r="Q1296" s="26"/>
      <c r="T1296" s="28"/>
    </row>
    <row r="1297" spans="1:20" ht="30" customHeight="1" x14ac:dyDescent="0.45">
      <c r="A1297" s="47" t="s">
        <v>646</v>
      </c>
      <c r="B1297" s="1018" t="s">
        <v>938</v>
      </c>
      <c r="C1297" s="1019"/>
      <c r="D1297" s="1020"/>
      <c r="E1297" s="334">
        <f>+P849</f>
        <v>11.775</v>
      </c>
      <c r="F1297" s="222" t="s">
        <v>35</v>
      </c>
      <c r="G1297" s="424">
        <f>4*144</f>
        <v>576</v>
      </c>
      <c r="H1297" s="351" t="s">
        <v>704</v>
      </c>
      <c r="I1297" s="365">
        <f>+R849</f>
        <v>1.1100000000000001</v>
      </c>
      <c r="J1297" s="365">
        <f>+S849</f>
        <v>1.0095238095238095</v>
      </c>
      <c r="K1297" s="221">
        <f>+E1297*G1297*I1297*J1297</f>
        <v>7600.163657142858</v>
      </c>
      <c r="L1297" s="47" t="s">
        <v>699</v>
      </c>
      <c r="M1297" s="25"/>
      <c r="N1297" s="26"/>
      <c r="O1297" s="2"/>
      <c r="P1297" s="27"/>
      <c r="Q1297" s="26"/>
      <c r="T1297" s="28"/>
    </row>
    <row r="1298" spans="1:20" ht="30" customHeight="1" x14ac:dyDescent="0.45">
      <c r="A1298" s="47" t="s">
        <v>646</v>
      </c>
      <c r="B1298" s="1018" t="s">
        <v>939</v>
      </c>
      <c r="C1298" s="1019"/>
      <c r="D1298" s="1020"/>
      <c r="E1298" s="334">
        <f>+P850</f>
        <v>14.375</v>
      </c>
      <c r="F1298" s="47" t="s">
        <v>35</v>
      </c>
      <c r="G1298" s="424">
        <v>2152.8000000000002</v>
      </c>
      <c r="H1298" s="351" t="s">
        <v>704</v>
      </c>
      <c r="I1298" s="365">
        <f>+R850</f>
        <v>1.1100000000000001</v>
      </c>
      <c r="J1298" s="365">
        <f>+S850</f>
        <v>1.0095238095238095</v>
      </c>
      <c r="K1298" s="221">
        <f>+E1298*G1298*I1298*J1298</f>
        <v>34677.76371428572</v>
      </c>
      <c r="L1298" s="47" t="s">
        <v>699</v>
      </c>
      <c r="M1298" s="25"/>
      <c r="N1298" s="26"/>
      <c r="O1298" s="2"/>
      <c r="P1298" s="27"/>
      <c r="Q1298" s="26"/>
      <c r="T1298" s="28"/>
    </row>
    <row r="1299" spans="1:20" ht="30" customHeight="1" x14ac:dyDescent="0.45">
      <c r="A1299" s="977" t="s">
        <v>712</v>
      </c>
      <c r="B1299" s="978"/>
      <c r="C1299" s="978"/>
      <c r="D1299" s="979"/>
      <c r="E1299" s="221"/>
      <c r="F1299" s="47"/>
      <c r="G1299" s="58"/>
      <c r="H1299" s="179"/>
      <c r="I1299" s="47"/>
      <c r="J1299" s="47" t="s">
        <v>360</v>
      </c>
      <c r="K1299" s="221">
        <f>SUM(K1284:K1298)</f>
        <v>513728.20984355162</v>
      </c>
      <c r="L1299" s="47" t="s">
        <v>699</v>
      </c>
      <c r="M1299" s="25"/>
      <c r="N1299" s="26"/>
      <c r="O1299" s="2"/>
      <c r="P1299" s="27"/>
      <c r="Q1299" s="26"/>
      <c r="T1299" s="28"/>
    </row>
    <row r="1300" spans="1:20" ht="30" customHeight="1" thickBot="1" x14ac:dyDescent="0.5">
      <c r="A1300" s="1352"/>
      <c r="B1300" s="1353"/>
      <c r="C1300" s="1353"/>
      <c r="D1300" s="1354"/>
      <c r="E1300" s="58"/>
      <c r="F1300" s="58"/>
      <c r="G1300" s="1032" t="s">
        <v>288</v>
      </c>
      <c r="H1300" s="1033"/>
      <c r="I1300" s="1034"/>
      <c r="J1300" s="213">
        <f>VLOOKUP(B1281,'[1]Mil Cost Premiums for PUCs'!$A$4:$R$278,18,FALSE)</f>
        <v>1.0485669999999998</v>
      </c>
      <c r="K1300" s="216">
        <f>+K1299*J1300</f>
        <v>538678.44781102333</v>
      </c>
      <c r="L1300" s="47" t="s">
        <v>699</v>
      </c>
      <c r="M1300" s="25"/>
      <c r="N1300" s="26"/>
      <c r="O1300" s="2"/>
      <c r="P1300" s="27"/>
      <c r="Q1300" s="26"/>
      <c r="T1300" s="28"/>
    </row>
    <row r="1301" spans="1:20" ht="30" customHeight="1" thickBot="1" x14ac:dyDescent="0.5">
      <c r="A1301" s="999"/>
      <c r="B1301" s="1000"/>
      <c r="C1301" s="1000"/>
      <c r="D1301" s="1000"/>
      <c r="E1301" s="1000"/>
      <c r="F1301" s="1000"/>
      <c r="G1301" s="1000"/>
      <c r="H1301" s="1000"/>
      <c r="I1301" s="1000"/>
      <c r="J1301" s="1000"/>
      <c r="K1301" s="1000"/>
      <c r="L1301" s="1001"/>
      <c r="M1301" s="25"/>
      <c r="N1301" s="26"/>
      <c r="O1301" s="2"/>
      <c r="P1301" s="27"/>
      <c r="Q1301" s="26"/>
      <c r="T1301" s="28"/>
    </row>
    <row r="1302" spans="1:20" ht="30" customHeight="1" x14ac:dyDescent="0.45">
      <c r="A1302" s="9" t="s">
        <v>4</v>
      </c>
      <c r="B1302" s="10">
        <v>1783</v>
      </c>
      <c r="C1302" s="983" t="s">
        <v>940</v>
      </c>
      <c r="D1302" s="984"/>
      <c r="E1302" s="13" t="s">
        <v>7</v>
      </c>
      <c r="F1302" s="167" t="s">
        <v>699</v>
      </c>
      <c r="G1302" s="467" t="s">
        <v>941</v>
      </c>
      <c r="H1302" s="370">
        <v>1</v>
      </c>
      <c r="I1302" s="13" t="s">
        <v>9</v>
      </c>
      <c r="J1302" s="1355" t="s">
        <v>701</v>
      </c>
      <c r="K1302" s="1355"/>
      <c r="L1302" s="1356"/>
      <c r="M1302" s="25"/>
      <c r="N1302" s="26"/>
      <c r="O1302" s="2"/>
      <c r="P1302" s="27"/>
      <c r="Q1302" s="26"/>
      <c r="T1302" s="28"/>
    </row>
    <row r="1303" spans="1:20" ht="30" customHeight="1" x14ac:dyDescent="0.45">
      <c r="A1303" s="19" t="s">
        <v>702</v>
      </c>
      <c r="B1303" s="987" t="s">
        <v>293</v>
      </c>
      <c r="C1303" s="988"/>
      <c r="D1303" s="989"/>
      <c r="E1303" s="220" t="s">
        <v>13</v>
      </c>
      <c r="F1303" s="220" t="s">
        <v>14</v>
      </c>
      <c r="G1303" s="990" t="s">
        <v>15</v>
      </c>
      <c r="H1303" s="991"/>
      <c r="I1303" s="19" t="s">
        <v>278</v>
      </c>
      <c r="J1303" s="277" t="s">
        <v>285</v>
      </c>
      <c r="K1303" s="992" t="s">
        <v>17</v>
      </c>
      <c r="L1303" s="993"/>
      <c r="M1303" s="25"/>
      <c r="N1303" s="26"/>
      <c r="O1303" s="2"/>
      <c r="P1303" s="27"/>
      <c r="Q1303" s="26"/>
      <c r="T1303" s="28"/>
    </row>
    <row r="1304" spans="1:20" ht="30" customHeight="1" x14ac:dyDescent="0.45">
      <c r="A1304" s="47" t="s">
        <v>646</v>
      </c>
      <c r="B1304" s="1018" t="s">
        <v>942</v>
      </c>
      <c r="C1304" s="1019"/>
      <c r="D1304" s="1020"/>
      <c r="E1304" s="334">
        <f>+P849</f>
        <v>11.775</v>
      </c>
      <c r="F1304" s="222" t="s">
        <v>35</v>
      </c>
      <c r="G1304" s="424">
        <v>2896</v>
      </c>
      <c r="H1304" s="351" t="s">
        <v>704</v>
      </c>
      <c r="I1304" s="47">
        <f>+R849</f>
        <v>1.1100000000000001</v>
      </c>
      <c r="J1304" s="365">
        <f>+S849</f>
        <v>1.0095238095238095</v>
      </c>
      <c r="K1304" s="221">
        <f>+E1304*G1304*I1304*J1304</f>
        <v>38211.933942857147</v>
      </c>
      <c r="L1304" s="47" t="s">
        <v>699</v>
      </c>
      <c r="M1304" s="25"/>
      <c r="N1304" s="26"/>
      <c r="O1304" s="2"/>
      <c r="P1304" s="27"/>
      <c r="Q1304" s="26"/>
      <c r="T1304" s="28"/>
    </row>
    <row r="1305" spans="1:20" ht="30" customHeight="1" x14ac:dyDescent="0.45">
      <c r="A1305" s="47" t="s">
        <v>646</v>
      </c>
      <c r="B1305" s="1018" t="s">
        <v>943</v>
      </c>
      <c r="C1305" s="1019"/>
      <c r="D1305" s="1020"/>
      <c r="E1305" s="383">
        <f>+P850</f>
        <v>14.375</v>
      </c>
      <c r="F1305" s="47" t="s">
        <v>35</v>
      </c>
      <c r="G1305" s="424">
        <f>100*3*10.7639</f>
        <v>3229.17</v>
      </c>
      <c r="H1305" s="351" t="s">
        <v>704</v>
      </c>
      <c r="I1305" s="47">
        <f>+R850</f>
        <v>1.1100000000000001</v>
      </c>
      <c r="J1305" s="365">
        <f>+S850</f>
        <v>1.0095238095238095</v>
      </c>
      <c r="K1305" s="221">
        <f>+E1305*G1305*I1305*J1305</f>
        <v>52016.162324999998</v>
      </c>
      <c r="L1305" s="47" t="s">
        <v>699</v>
      </c>
      <c r="M1305" s="25"/>
      <c r="N1305" s="26"/>
      <c r="O1305" s="2"/>
      <c r="P1305" s="27"/>
      <c r="Q1305" s="26"/>
      <c r="T1305" s="28"/>
    </row>
    <row r="1306" spans="1:20" ht="30" customHeight="1" x14ac:dyDescent="0.45">
      <c r="A1306" s="47" t="s">
        <v>646</v>
      </c>
      <c r="B1306" s="1018" t="s">
        <v>944</v>
      </c>
      <c r="C1306" s="1019"/>
      <c r="D1306" s="1020"/>
      <c r="E1306" s="383">
        <f>+P850</f>
        <v>14.375</v>
      </c>
      <c r="F1306" s="47" t="s">
        <v>35</v>
      </c>
      <c r="G1306" s="424">
        <v>2153</v>
      </c>
      <c r="H1306" s="351" t="s">
        <v>704</v>
      </c>
      <c r="I1306" s="47">
        <f>+R850</f>
        <v>1.1100000000000001</v>
      </c>
      <c r="J1306" s="365">
        <f>+S850</f>
        <v>1.0095238095238095</v>
      </c>
      <c r="K1306" s="221">
        <f>+E1306*G1306*I1306*J1306</f>
        <v>34680.985357142854</v>
      </c>
      <c r="L1306" s="47" t="s">
        <v>699</v>
      </c>
      <c r="M1306" s="25"/>
      <c r="N1306" s="26"/>
      <c r="O1306" s="2"/>
      <c r="P1306" s="27"/>
      <c r="Q1306" s="26"/>
      <c r="T1306" s="28"/>
    </row>
    <row r="1307" spans="1:20" ht="30" customHeight="1" x14ac:dyDescent="0.45">
      <c r="A1307" s="47">
        <v>93410</v>
      </c>
      <c r="B1307" s="1018" t="s">
        <v>945</v>
      </c>
      <c r="C1307" s="1019"/>
      <c r="D1307" s="1020"/>
      <c r="E1307" s="383">
        <f>+P867</f>
        <v>11.04</v>
      </c>
      <c r="F1307" s="222" t="s">
        <v>29</v>
      </c>
      <c r="G1307" s="424">
        <v>2040</v>
      </c>
      <c r="H1307" s="351" t="s">
        <v>710</v>
      </c>
      <c r="I1307" s="392">
        <f>+R867</f>
        <v>0.93771935922451721</v>
      </c>
      <c r="J1307" s="47"/>
      <c r="K1307" s="221">
        <f>+E1307*G1307*I1307</f>
        <v>21118.940320710884</v>
      </c>
      <c r="L1307" s="47" t="s">
        <v>699</v>
      </c>
      <c r="M1307" s="25"/>
      <c r="N1307" s="26"/>
      <c r="O1307" s="2"/>
      <c r="P1307" s="27"/>
      <c r="Q1307" s="26"/>
      <c r="T1307" s="28"/>
    </row>
    <row r="1308" spans="1:20" ht="30" customHeight="1" x14ac:dyDescent="0.45">
      <c r="A1308" s="977" t="s">
        <v>712</v>
      </c>
      <c r="B1308" s="978"/>
      <c r="C1308" s="978"/>
      <c r="D1308" s="979"/>
      <c r="E1308" s="221"/>
      <c r="F1308" s="47"/>
      <c r="G1308" s="58"/>
      <c r="H1308" s="179"/>
      <c r="I1308" s="47"/>
      <c r="J1308" s="47" t="s">
        <v>360</v>
      </c>
      <c r="K1308" s="221">
        <f>SUM(K1304:K1307)</f>
        <v>146028.02194571088</v>
      </c>
      <c r="L1308" s="47" t="s">
        <v>699</v>
      </c>
      <c r="M1308" s="25"/>
      <c r="N1308" s="26"/>
      <c r="O1308" s="2"/>
      <c r="P1308" s="27"/>
      <c r="Q1308" s="26"/>
      <c r="T1308" s="28"/>
    </row>
    <row r="1309" spans="1:20" ht="30" customHeight="1" thickBot="1" x14ac:dyDescent="0.5">
      <c r="A1309" s="1352"/>
      <c r="B1309" s="1353"/>
      <c r="C1309" s="1353"/>
      <c r="D1309" s="1354"/>
      <c r="E1309" s="58"/>
      <c r="F1309" s="58"/>
      <c r="G1309" s="1032" t="s">
        <v>288</v>
      </c>
      <c r="H1309" s="1033"/>
      <c r="I1309" s="1034"/>
      <c r="J1309" s="213">
        <f>VLOOKUP(B1302,'[1]Mil Cost Premiums for PUCs'!$A$4:$R$278,18,FALSE)</f>
        <v>1.0485669999999998</v>
      </c>
      <c r="K1309" s="216">
        <f>+K1308*J1309</f>
        <v>153120.16488754819</v>
      </c>
      <c r="L1309" s="47" t="s">
        <v>699</v>
      </c>
      <c r="M1309" s="25"/>
      <c r="N1309" s="26"/>
      <c r="O1309" s="2"/>
      <c r="P1309" s="27"/>
      <c r="Q1309" s="26"/>
      <c r="T1309" s="28"/>
    </row>
    <row r="1310" spans="1:20" ht="30" customHeight="1" thickBot="1" x14ac:dyDescent="0.5">
      <c r="A1310" s="999"/>
      <c r="B1310" s="1000"/>
      <c r="C1310" s="1000"/>
      <c r="D1310" s="1000"/>
      <c r="E1310" s="1000"/>
      <c r="F1310" s="1000"/>
      <c r="G1310" s="1000"/>
      <c r="H1310" s="1000"/>
      <c r="I1310" s="1000"/>
      <c r="J1310" s="1000"/>
      <c r="K1310" s="1000"/>
      <c r="L1310" s="1001"/>
      <c r="M1310" s="25"/>
      <c r="N1310" s="26"/>
      <c r="O1310" s="2"/>
      <c r="P1310" s="27"/>
      <c r="Q1310" s="26"/>
      <c r="T1310" s="28"/>
    </row>
    <row r="1311" spans="1:20" ht="30" customHeight="1" x14ac:dyDescent="0.45">
      <c r="A1311" s="329" t="s">
        <v>4</v>
      </c>
      <c r="B1311" s="480">
        <v>1790</v>
      </c>
      <c r="C1311" s="1298" t="s">
        <v>946</v>
      </c>
      <c r="D1311" s="1299"/>
      <c r="E1311" s="481" t="s">
        <v>7</v>
      </c>
      <c r="F1311" s="482" t="s">
        <v>88</v>
      </c>
      <c r="G1311" s="483" t="s">
        <v>932</v>
      </c>
      <c r="H1311" s="484">
        <v>1</v>
      </c>
      <c r="I1311" s="481" t="s">
        <v>9</v>
      </c>
      <c r="J1311" s="1355" t="s">
        <v>701</v>
      </c>
      <c r="K1311" s="1355"/>
      <c r="L1311" s="1363"/>
      <c r="M1311" s="25"/>
      <c r="N1311" s="26"/>
      <c r="O1311" s="2"/>
      <c r="P1311" s="27"/>
      <c r="Q1311" s="26"/>
      <c r="T1311" s="28"/>
    </row>
    <row r="1312" spans="1:20" ht="30" customHeight="1" x14ac:dyDescent="0.45">
      <c r="A1312" s="485" t="s">
        <v>702</v>
      </c>
      <c r="B1312" s="987" t="s">
        <v>293</v>
      </c>
      <c r="C1312" s="988"/>
      <c r="D1312" s="989"/>
      <c r="E1312" s="220" t="s">
        <v>13</v>
      </c>
      <c r="F1312" s="220" t="s">
        <v>14</v>
      </c>
      <c r="G1312" s="990" t="s">
        <v>15</v>
      </c>
      <c r="H1312" s="991"/>
      <c r="I1312" s="19" t="s">
        <v>278</v>
      </c>
      <c r="J1312" s="277" t="s">
        <v>285</v>
      </c>
      <c r="K1312" s="992" t="s">
        <v>17</v>
      </c>
      <c r="L1312" s="1364"/>
      <c r="M1312" s="25"/>
      <c r="N1312" s="26"/>
      <c r="O1312" s="2"/>
      <c r="P1312" s="27"/>
      <c r="Q1312" s="26"/>
      <c r="T1312" s="28"/>
    </row>
    <row r="1313" spans="1:20" ht="30" customHeight="1" x14ac:dyDescent="0.45">
      <c r="A1313" s="485"/>
      <c r="B1313" s="1018" t="s">
        <v>947</v>
      </c>
      <c r="C1313" s="1259"/>
      <c r="D1313" s="1260"/>
      <c r="E1313" s="220"/>
      <c r="F1313" s="220"/>
      <c r="G1313" s="98"/>
      <c r="H1313" s="99"/>
      <c r="I1313" s="19"/>
      <c r="J1313" s="277"/>
      <c r="K1313" s="23"/>
      <c r="L1313" s="486"/>
      <c r="M1313" s="25"/>
      <c r="N1313" s="26"/>
      <c r="O1313" s="2"/>
      <c r="P1313" s="27"/>
      <c r="Q1313" s="26"/>
      <c r="T1313" s="28"/>
    </row>
    <row r="1314" spans="1:20" ht="30" customHeight="1" x14ac:dyDescent="0.45">
      <c r="A1314" s="441" t="s">
        <v>646</v>
      </c>
      <c r="B1314" s="1018" t="s">
        <v>948</v>
      </c>
      <c r="C1314" s="1019"/>
      <c r="D1314" s="1020"/>
      <c r="E1314" s="383">
        <f>+P849</f>
        <v>11.775</v>
      </c>
      <c r="F1314" s="47" t="s">
        <v>35</v>
      </c>
      <c r="G1314" s="424">
        <f>6*62</f>
        <v>372</v>
      </c>
      <c r="H1314" s="351" t="s">
        <v>806</v>
      </c>
      <c r="I1314" s="365">
        <f>+R849</f>
        <v>1.1100000000000001</v>
      </c>
      <c r="J1314" s="365">
        <f>+S849</f>
        <v>1.0095238095238095</v>
      </c>
      <c r="K1314" s="221">
        <f t="shared" ref="K1314:K1321" si="34">+E1314*G1314*I1314*J1314</f>
        <v>4908.4390285714289</v>
      </c>
      <c r="L1314" s="449" t="s">
        <v>88</v>
      </c>
      <c r="M1314" s="25"/>
      <c r="N1314" s="435"/>
      <c r="O1314" s="2"/>
      <c r="P1314" s="27"/>
      <c r="Q1314" s="26"/>
      <c r="T1314" s="28"/>
    </row>
    <row r="1315" spans="1:20" ht="30" customHeight="1" x14ac:dyDescent="0.45">
      <c r="A1315" s="441" t="s">
        <v>282</v>
      </c>
      <c r="B1315" s="1018" t="s">
        <v>656</v>
      </c>
      <c r="C1315" s="1019"/>
      <c r="D1315" s="1020"/>
      <c r="E1315" s="383">
        <f>+P853</f>
        <v>504.5</v>
      </c>
      <c r="F1315" s="222" t="s">
        <v>88</v>
      </c>
      <c r="G1315" s="424">
        <v>6</v>
      </c>
      <c r="H1315" s="351" t="s">
        <v>807</v>
      </c>
      <c r="I1315" s="365">
        <f>+R853</f>
        <v>1.32</v>
      </c>
      <c r="J1315" s="365">
        <f>+S853</f>
        <v>1.0095238095238095</v>
      </c>
      <c r="K1315" s="221">
        <f t="shared" si="34"/>
        <v>4033.6937142857146</v>
      </c>
      <c r="L1315" s="449" t="s">
        <v>88</v>
      </c>
      <c r="M1315" s="25"/>
      <c r="N1315" s="26"/>
      <c r="O1315" s="2"/>
      <c r="P1315" s="27"/>
      <c r="Q1315" s="26"/>
      <c r="T1315" s="28"/>
    </row>
    <row r="1316" spans="1:20" ht="30" customHeight="1" x14ac:dyDescent="0.45">
      <c r="A1316" s="441" t="s">
        <v>282</v>
      </c>
      <c r="B1316" s="1018" t="s">
        <v>658</v>
      </c>
      <c r="C1316" s="1019"/>
      <c r="D1316" s="1020"/>
      <c r="E1316" s="383">
        <f>+P855</f>
        <v>362.5</v>
      </c>
      <c r="F1316" s="222" t="s">
        <v>88</v>
      </c>
      <c r="G1316" s="424">
        <v>6</v>
      </c>
      <c r="H1316" s="351" t="s">
        <v>807</v>
      </c>
      <c r="I1316" s="365">
        <f>+R855</f>
        <v>1.32</v>
      </c>
      <c r="J1316" s="365">
        <f>+S855</f>
        <v>1.0095238095238095</v>
      </c>
      <c r="K1316" s="221">
        <f t="shared" si="34"/>
        <v>2898.3428571428572</v>
      </c>
      <c r="L1316" s="449" t="s">
        <v>88</v>
      </c>
      <c r="M1316" s="25"/>
      <c r="N1316" s="26"/>
      <c r="O1316" s="2"/>
      <c r="P1316" s="27"/>
      <c r="Q1316" s="26"/>
      <c r="T1316" s="28"/>
    </row>
    <row r="1317" spans="1:20" ht="30" customHeight="1" x14ac:dyDescent="0.45">
      <c r="A1317" s="441" t="s">
        <v>646</v>
      </c>
      <c r="B1317" s="1018" t="s">
        <v>949</v>
      </c>
      <c r="C1317" s="1019"/>
      <c r="D1317" s="1020"/>
      <c r="E1317" s="383">
        <f>+P850</f>
        <v>14.375</v>
      </c>
      <c r="F1317" s="47" t="s">
        <v>35</v>
      </c>
      <c r="G1317" s="424">
        <f>2*468</f>
        <v>936</v>
      </c>
      <c r="H1317" s="351" t="s">
        <v>806</v>
      </c>
      <c r="I1317" s="365">
        <f>+R850</f>
        <v>1.1100000000000001</v>
      </c>
      <c r="J1317" s="365">
        <f>+S850</f>
        <v>1.0095238095238095</v>
      </c>
      <c r="K1317" s="221">
        <f t="shared" si="34"/>
        <v>15077.288571428571</v>
      </c>
      <c r="L1317" s="449" t="s">
        <v>88</v>
      </c>
      <c r="M1317" s="25"/>
      <c r="N1317" s="26"/>
      <c r="O1317" s="2"/>
      <c r="P1317" s="27"/>
      <c r="Q1317" s="26"/>
      <c r="T1317" s="28"/>
    </row>
    <row r="1318" spans="1:20" ht="30" customHeight="1" x14ac:dyDescent="0.45">
      <c r="A1318" s="441" t="s">
        <v>282</v>
      </c>
      <c r="B1318" s="1018" t="s">
        <v>657</v>
      </c>
      <c r="C1318" s="1019"/>
      <c r="D1318" s="1020"/>
      <c r="E1318" s="383">
        <f>+P854</f>
        <v>920</v>
      </c>
      <c r="F1318" s="222" t="s">
        <v>88</v>
      </c>
      <c r="G1318" s="424">
        <v>2</v>
      </c>
      <c r="H1318" s="351" t="s">
        <v>807</v>
      </c>
      <c r="I1318" s="365">
        <f>+R854</f>
        <v>1.32</v>
      </c>
      <c r="J1318" s="365">
        <f>+S854</f>
        <v>1.0095238095238095</v>
      </c>
      <c r="K1318" s="221">
        <f t="shared" si="34"/>
        <v>2451.9314285714286</v>
      </c>
      <c r="L1318" s="449" t="s">
        <v>88</v>
      </c>
      <c r="M1318" s="25"/>
      <c r="N1318" s="26"/>
      <c r="O1318" s="2"/>
      <c r="P1318" s="27"/>
      <c r="Q1318" s="26"/>
      <c r="T1318" s="28"/>
    </row>
    <row r="1319" spans="1:20" ht="30" customHeight="1" x14ac:dyDescent="0.45">
      <c r="A1319" s="441" t="s">
        <v>282</v>
      </c>
      <c r="B1319" s="1018" t="s">
        <v>759</v>
      </c>
      <c r="C1319" s="1019"/>
      <c r="D1319" s="1020"/>
      <c r="E1319" s="383">
        <f>+P856</f>
        <v>1125</v>
      </c>
      <c r="F1319" s="222" t="s">
        <v>88</v>
      </c>
      <c r="G1319" s="424">
        <v>2</v>
      </c>
      <c r="H1319" s="351" t="s">
        <v>807</v>
      </c>
      <c r="I1319" s="365">
        <f t="shared" ref="I1319:J1321" si="35">+R856</f>
        <v>1.32</v>
      </c>
      <c r="J1319" s="365">
        <f t="shared" si="35"/>
        <v>1.0095238095238095</v>
      </c>
      <c r="K1319" s="221">
        <f t="shared" si="34"/>
        <v>2998.2857142857142</v>
      </c>
      <c r="L1319" s="449" t="s">
        <v>88</v>
      </c>
      <c r="M1319" s="25"/>
      <c r="N1319" s="26"/>
      <c r="O1319" s="2"/>
      <c r="P1319" s="27"/>
      <c r="Q1319" s="26"/>
      <c r="T1319" s="28"/>
    </row>
    <row r="1320" spans="1:20" ht="30" customHeight="1" x14ac:dyDescent="0.45">
      <c r="A1320" s="441" t="s">
        <v>662</v>
      </c>
      <c r="B1320" s="1092" t="s">
        <v>936</v>
      </c>
      <c r="C1320" s="1092"/>
      <c r="D1320" s="1092"/>
      <c r="E1320" s="383">
        <f>+P857</f>
        <v>157.58000000000001</v>
      </c>
      <c r="F1320" s="222" t="s">
        <v>88</v>
      </c>
      <c r="G1320" s="424">
        <f>6*4+2*5</f>
        <v>34</v>
      </c>
      <c r="H1320" s="351" t="s">
        <v>807</v>
      </c>
      <c r="I1320" s="365">
        <f t="shared" si="35"/>
        <v>1.32</v>
      </c>
      <c r="J1320" s="365">
        <f t="shared" si="35"/>
        <v>1.0095238095238095</v>
      </c>
      <c r="K1320" s="221">
        <f t="shared" si="34"/>
        <v>7139.5445942857141</v>
      </c>
      <c r="L1320" s="449" t="s">
        <v>88</v>
      </c>
      <c r="M1320" s="25"/>
      <c r="N1320" s="26"/>
      <c r="O1320" s="2"/>
      <c r="P1320" s="27"/>
      <c r="Q1320" s="26"/>
      <c r="T1320" s="28"/>
    </row>
    <row r="1321" spans="1:20" ht="30" customHeight="1" x14ac:dyDescent="0.45">
      <c r="A1321" s="441" t="s">
        <v>665</v>
      </c>
      <c r="B1321" s="1018" t="s">
        <v>666</v>
      </c>
      <c r="C1321" s="1019"/>
      <c r="D1321" s="1020"/>
      <c r="E1321" s="383">
        <f>+P858</f>
        <v>19.62</v>
      </c>
      <c r="F1321" s="222" t="s">
        <v>113</v>
      </c>
      <c r="G1321" s="424">
        <v>905</v>
      </c>
      <c r="H1321" s="351" t="s">
        <v>810</v>
      </c>
      <c r="I1321" s="365">
        <f t="shared" si="35"/>
        <v>1.32</v>
      </c>
      <c r="J1321" s="365">
        <f t="shared" si="35"/>
        <v>1.0095238095238095</v>
      </c>
      <c r="K1321" s="221">
        <f t="shared" si="34"/>
        <v>23661.271542857146</v>
      </c>
      <c r="L1321" s="449" t="s">
        <v>88</v>
      </c>
      <c r="M1321" s="25"/>
      <c r="N1321" s="26"/>
      <c r="O1321" s="2"/>
      <c r="P1321" s="27"/>
      <c r="Q1321" s="26"/>
      <c r="T1321" s="28"/>
    </row>
    <row r="1322" spans="1:20" ht="30" customHeight="1" x14ac:dyDescent="0.45">
      <c r="A1322" s="441">
        <v>93410</v>
      </c>
      <c r="B1322" s="1018" t="s">
        <v>950</v>
      </c>
      <c r="C1322" s="1019"/>
      <c r="D1322" s="1020"/>
      <c r="E1322" s="334">
        <f>+P868</f>
        <v>2.78</v>
      </c>
      <c r="F1322" s="222" t="s">
        <v>8</v>
      </c>
      <c r="G1322" s="424">
        <v>1913</v>
      </c>
      <c r="H1322" s="351" t="s">
        <v>811</v>
      </c>
      <c r="I1322" s="447">
        <f>+R868</f>
        <v>0.93771935922451721</v>
      </c>
      <c r="J1322" s="47"/>
      <c r="K1322" s="221">
        <f>+E1322*G1322*I1322</f>
        <v>4986.9228330662736</v>
      </c>
      <c r="L1322" s="449" t="s">
        <v>88</v>
      </c>
      <c r="M1322" s="25"/>
      <c r="N1322" s="26"/>
      <c r="O1322" s="2"/>
      <c r="P1322" s="27"/>
      <c r="Q1322" s="26"/>
      <c r="T1322" s="28"/>
    </row>
    <row r="1323" spans="1:20" ht="30" customHeight="1" x14ac:dyDescent="0.45">
      <c r="A1323" s="441">
        <v>93410</v>
      </c>
      <c r="B1323" s="1018" t="s">
        <v>951</v>
      </c>
      <c r="C1323" s="1019"/>
      <c r="D1323" s="1020"/>
      <c r="E1323" s="383">
        <f>+P867</f>
        <v>11.04</v>
      </c>
      <c r="F1323" s="222" t="s">
        <v>29</v>
      </c>
      <c r="G1323" s="424">
        <v>1046</v>
      </c>
      <c r="H1323" s="351" t="s">
        <v>814</v>
      </c>
      <c r="I1323" s="447">
        <f>+R867</f>
        <v>0.93771935922451721</v>
      </c>
      <c r="J1323" s="47"/>
      <c r="K1323" s="221">
        <f>+E1323*G1323*I1323</f>
        <v>10828.633125227247</v>
      </c>
      <c r="L1323" s="449" t="s">
        <v>88</v>
      </c>
      <c r="M1323" s="25"/>
      <c r="N1323" s="26"/>
      <c r="O1323" s="2"/>
      <c r="P1323" s="27"/>
      <c r="Q1323" s="26"/>
      <c r="T1323" s="28"/>
    </row>
    <row r="1324" spans="1:20" ht="30" customHeight="1" x14ac:dyDescent="0.45">
      <c r="A1324" s="441">
        <v>93210</v>
      </c>
      <c r="B1324" s="1018" t="s">
        <v>952</v>
      </c>
      <c r="C1324" s="1019"/>
      <c r="D1324" s="1020"/>
      <c r="E1324" s="383">
        <f>+P869</f>
        <v>89.16</v>
      </c>
      <c r="F1324" s="222" t="s">
        <v>29</v>
      </c>
      <c r="G1324" s="424">
        <v>628</v>
      </c>
      <c r="H1324" s="351" t="s">
        <v>814</v>
      </c>
      <c r="I1324" s="447">
        <f>+R869</f>
        <v>0.93771935922451721</v>
      </c>
      <c r="J1324" s="47"/>
      <c r="K1324" s="221">
        <f>+E1324*G1324*I1324</f>
        <v>52505.232466991591</v>
      </c>
      <c r="L1324" s="449" t="s">
        <v>88</v>
      </c>
      <c r="M1324" s="25"/>
      <c r="N1324" s="26"/>
      <c r="O1324" s="2"/>
      <c r="P1324" s="27"/>
      <c r="Q1324" s="26"/>
      <c r="T1324" s="28"/>
    </row>
    <row r="1325" spans="1:20" ht="30" customHeight="1" x14ac:dyDescent="0.45">
      <c r="A1325" s="441" t="s">
        <v>642</v>
      </c>
      <c r="B1325" s="1018" t="s">
        <v>953</v>
      </c>
      <c r="C1325" s="1019"/>
      <c r="D1325" s="1020"/>
      <c r="E1325" s="334">
        <f>+P847</f>
        <v>21.15</v>
      </c>
      <c r="F1325" s="222" t="s">
        <v>35</v>
      </c>
      <c r="G1325" s="424">
        <v>800</v>
      </c>
      <c r="H1325" s="351" t="s">
        <v>806</v>
      </c>
      <c r="I1325" s="365">
        <f>+R847</f>
        <v>1.29</v>
      </c>
      <c r="J1325" s="365">
        <f>+S847</f>
        <v>1.0095238095238095</v>
      </c>
      <c r="K1325" s="221">
        <f>+E1325*G1325*I1325*J1325</f>
        <v>22034.674285714285</v>
      </c>
      <c r="L1325" s="449" t="s">
        <v>88</v>
      </c>
      <c r="M1325" s="25"/>
      <c r="N1325" s="26"/>
      <c r="O1325" s="2"/>
      <c r="P1325" s="27"/>
      <c r="Q1325" s="26"/>
      <c r="T1325" s="28"/>
    </row>
    <row r="1326" spans="1:20" ht="30" customHeight="1" x14ac:dyDescent="0.45">
      <c r="A1326" s="441" t="s">
        <v>646</v>
      </c>
      <c r="B1326" s="1018" t="s">
        <v>954</v>
      </c>
      <c r="C1326" s="1019"/>
      <c r="D1326" s="1020"/>
      <c r="E1326" s="334">
        <f>+P849</f>
        <v>11.775</v>
      </c>
      <c r="F1326" s="222" t="s">
        <v>35</v>
      </c>
      <c r="G1326" s="424">
        <f>2*144</f>
        <v>288</v>
      </c>
      <c r="H1326" s="351" t="s">
        <v>806</v>
      </c>
      <c r="I1326" s="47">
        <f>+R849</f>
        <v>1.1100000000000001</v>
      </c>
      <c r="J1326" s="365">
        <f>+S849</f>
        <v>1.0095238095238095</v>
      </c>
      <c r="K1326" s="221">
        <f>+E1326*G1326*I1326*J1326</f>
        <v>3800.081828571429</v>
      </c>
      <c r="L1326" s="449" t="s">
        <v>88</v>
      </c>
      <c r="M1326" s="25"/>
      <c r="N1326" s="26"/>
      <c r="O1326" s="2"/>
      <c r="P1326" s="27"/>
      <c r="Q1326" s="26"/>
      <c r="T1326" s="28"/>
    </row>
    <row r="1327" spans="1:20" ht="30" customHeight="1" x14ac:dyDescent="0.45">
      <c r="A1327" s="441"/>
      <c r="B1327" s="1273" t="s">
        <v>955</v>
      </c>
      <c r="C1327" s="1274"/>
      <c r="D1327" s="1275"/>
      <c r="E1327" s="221"/>
      <c r="F1327" s="47"/>
      <c r="G1327" s="58"/>
      <c r="H1327" s="179"/>
      <c r="I1327" s="47"/>
      <c r="J1327" s="47" t="s">
        <v>360</v>
      </c>
      <c r="K1327" s="221">
        <f>SUM(K1314:K1326)</f>
        <v>157324.34199099938</v>
      </c>
      <c r="L1327" s="449" t="s">
        <v>88</v>
      </c>
      <c r="M1327" s="25"/>
      <c r="N1327" s="26"/>
      <c r="O1327" s="2"/>
      <c r="P1327" s="27"/>
      <c r="Q1327" s="26"/>
      <c r="T1327" s="28"/>
    </row>
    <row r="1328" spans="1:20" ht="30" customHeight="1" thickBot="1" x14ac:dyDescent="0.5">
      <c r="A1328" s="1359" t="s">
        <v>712</v>
      </c>
      <c r="B1328" s="978"/>
      <c r="C1328" s="978"/>
      <c r="D1328" s="978"/>
      <c r="E1328" s="315"/>
      <c r="F1328" s="150"/>
      <c r="G1328" s="1032" t="s">
        <v>288</v>
      </c>
      <c r="H1328" s="1033"/>
      <c r="I1328" s="1034"/>
      <c r="J1328" s="226">
        <f>VLOOKUP(B1311,'[1]Mil Cost Premiums for PUCs'!$A$4:$R$278,18,FALSE)</f>
        <v>1.0485669999999998</v>
      </c>
      <c r="K1328" s="227">
        <f>+K1327*J1328</f>
        <v>164965.11330847623</v>
      </c>
      <c r="L1328" s="487" t="s">
        <v>88</v>
      </c>
      <c r="M1328" s="25"/>
      <c r="N1328" s="26"/>
      <c r="O1328" s="2"/>
      <c r="P1328" s="27"/>
      <c r="Q1328" s="26"/>
      <c r="T1328" s="28"/>
    </row>
    <row r="1329" spans="1:18" ht="30" customHeight="1" thickBot="1" x14ac:dyDescent="0.5">
      <c r="A1329" s="1360"/>
      <c r="B1329" s="1353"/>
      <c r="C1329" s="1353"/>
      <c r="D1329" s="1353"/>
      <c r="E1329" s="1361"/>
      <c r="F1329" s="1361"/>
      <c r="G1329" s="1361"/>
      <c r="H1329" s="1361"/>
      <c r="I1329" s="1361"/>
      <c r="J1329" s="1361"/>
      <c r="K1329" s="1361"/>
      <c r="L1329" s="1362"/>
      <c r="M1329" s="25"/>
      <c r="N1329" s="26"/>
      <c r="O1329" s="2"/>
      <c r="P1329" s="27"/>
      <c r="Q1329" s="26"/>
      <c r="R1329" s="28"/>
    </row>
    <row r="1330" spans="1:18" ht="30" customHeight="1" thickBot="1" x14ac:dyDescent="0.5">
      <c r="A1330" s="1288"/>
      <c r="B1330" s="1289"/>
      <c r="C1330" s="1289"/>
      <c r="D1330" s="1289"/>
      <c r="E1330" s="1289"/>
      <c r="F1330" s="1289"/>
      <c r="G1330" s="1289"/>
      <c r="H1330" s="1289"/>
      <c r="I1330" s="1289"/>
      <c r="J1330" s="1289"/>
      <c r="K1330" s="1289"/>
      <c r="L1330" s="1290"/>
      <c r="M1330" s="25"/>
      <c r="N1330" s="26"/>
      <c r="O1330" s="2"/>
      <c r="P1330" s="27"/>
      <c r="Q1330" s="26"/>
      <c r="R1330" s="28"/>
    </row>
    <row r="1331" spans="1:18" ht="30" customHeight="1" x14ac:dyDescent="0.45">
      <c r="A1331" s="9" t="s">
        <v>4</v>
      </c>
      <c r="B1331" s="10">
        <v>1791</v>
      </c>
      <c r="C1331" s="983" t="s">
        <v>956</v>
      </c>
      <c r="D1331" s="984"/>
      <c r="E1331" s="13" t="s">
        <v>7</v>
      </c>
      <c r="F1331" s="14" t="s">
        <v>88</v>
      </c>
      <c r="G1331" s="467" t="s">
        <v>957</v>
      </c>
      <c r="H1331" s="370">
        <v>1</v>
      </c>
      <c r="I1331" s="13" t="s">
        <v>9</v>
      </c>
      <c r="J1331" s="1355" t="s">
        <v>701</v>
      </c>
      <c r="K1331" s="1355"/>
      <c r="L1331" s="1356"/>
      <c r="M1331" s="25"/>
      <c r="N1331" s="26"/>
      <c r="O1331" s="2"/>
      <c r="P1331" s="27"/>
      <c r="Q1331" s="26"/>
      <c r="R1331" s="28"/>
    </row>
    <row r="1332" spans="1:18" ht="30" customHeight="1" x14ac:dyDescent="0.45">
      <c r="A1332" s="19" t="s">
        <v>702</v>
      </c>
      <c r="B1332" s="987" t="s">
        <v>293</v>
      </c>
      <c r="C1332" s="988"/>
      <c r="D1332" s="989"/>
      <c r="E1332" s="220" t="s">
        <v>13</v>
      </c>
      <c r="F1332" s="220" t="s">
        <v>14</v>
      </c>
      <c r="G1332" s="990" t="s">
        <v>15</v>
      </c>
      <c r="H1332" s="991"/>
      <c r="I1332" s="19" t="s">
        <v>278</v>
      </c>
      <c r="J1332" s="277" t="s">
        <v>285</v>
      </c>
      <c r="K1332" s="992" t="s">
        <v>17</v>
      </c>
      <c r="L1332" s="993"/>
      <c r="M1332" s="25"/>
      <c r="N1332" s="26"/>
      <c r="O1332" s="2"/>
      <c r="P1332" s="27"/>
      <c r="Q1332" s="26"/>
      <c r="R1332" s="28"/>
    </row>
    <row r="1333" spans="1:18" ht="30" customHeight="1" x14ac:dyDescent="0.45">
      <c r="A1333" s="19"/>
      <c r="B1333" s="1008" t="s">
        <v>958</v>
      </c>
      <c r="C1333" s="1009"/>
      <c r="D1333" s="1010"/>
      <c r="E1333" s="220"/>
      <c r="F1333" s="220"/>
      <c r="G1333" s="98"/>
      <c r="H1333" s="99"/>
      <c r="I1333" s="460"/>
      <c r="J1333" s="460"/>
      <c r="K1333" s="220"/>
      <c r="L1333" s="220"/>
      <c r="M1333" s="25"/>
      <c r="N1333" s="488"/>
      <c r="O1333" s="2"/>
      <c r="P1333" s="27"/>
      <c r="Q1333" s="26"/>
      <c r="R1333" s="28"/>
    </row>
    <row r="1334" spans="1:18" ht="30" customHeight="1" x14ac:dyDescent="0.45">
      <c r="A1334" s="47" t="s">
        <v>646</v>
      </c>
      <c r="B1334" s="1018" t="s">
        <v>959</v>
      </c>
      <c r="C1334" s="1019"/>
      <c r="D1334" s="1020"/>
      <c r="E1334" s="383">
        <f>+P849</f>
        <v>11.775</v>
      </c>
      <c r="F1334" s="47" t="s">
        <v>35</v>
      </c>
      <c r="G1334" s="424">
        <f>8*62</f>
        <v>496</v>
      </c>
      <c r="H1334" s="351" t="s">
        <v>806</v>
      </c>
      <c r="I1334" s="365">
        <f>+R849</f>
        <v>1.1100000000000001</v>
      </c>
      <c r="J1334" s="365">
        <f>+S849</f>
        <v>1.0095238095238095</v>
      </c>
      <c r="K1334" s="221">
        <f t="shared" ref="K1334:K1341" si="36">+E1334*G1334*I1334*J1334</f>
        <v>6544.5853714285722</v>
      </c>
      <c r="L1334" s="47" t="s">
        <v>88</v>
      </c>
      <c r="M1334" s="25"/>
      <c r="N1334" s="489"/>
      <c r="O1334" s="2"/>
      <c r="P1334" s="27"/>
      <c r="Q1334" s="26"/>
      <c r="R1334" s="28"/>
    </row>
    <row r="1335" spans="1:18" ht="30" customHeight="1" x14ac:dyDescent="0.45">
      <c r="A1335" s="47" t="s">
        <v>282</v>
      </c>
      <c r="B1335" s="1018" t="s">
        <v>656</v>
      </c>
      <c r="C1335" s="1019"/>
      <c r="D1335" s="1020"/>
      <c r="E1335" s="383">
        <f>+P853</f>
        <v>504.5</v>
      </c>
      <c r="F1335" s="222" t="s">
        <v>88</v>
      </c>
      <c r="G1335" s="424">
        <v>8</v>
      </c>
      <c r="H1335" s="351" t="s">
        <v>807</v>
      </c>
      <c r="I1335" s="365">
        <f>+R853</f>
        <v>1.32</v>
      </c>
      <c r="J1335" s="365">
        <f>+S853</f>
        <v>1.0095238095238095</v>
      </c>
      <c r="K1335" s="221">
        <f t="shared" si="36"/>
        <v>5378.2582857142861</v>
      </c>
      <c r="L1335" s="47" t="s">
        <v>88</v>
      </c>
      <c r="M1335" s="25"/>
      <c r="N1335" s="26"/>
      <c r="O1335" s="2"/>
      <c r="P1335" s="27"/>
      <c r="Q1335" s="26"/>
      <c r="R1335" s="28"/>
    </row>
    <row r="1336" spans="1:18" ht="30" customHeight="1" x14ac:dyDescent="0.45">
      <c r="A1336" s="47" t="s">
        <v>282</v>
      </c>
      <c r="B1336" s="1018" t="s">
        <v>658</v>
      </c>
      <c r="C1336" s="1019"/>
      <c r="D1336" s="1020"/>
      <c r="E1336" s="383">
        <f>+P855</f>
        <v>362.5</v>
      </c>
      <c r="F1336" s="222" t="s">
        <v>88</v>
      </c>
      <c r="G1336" s="424">
        <v>8</v>
      </c>
      <c r="H1336" s="351" t="s">
        <v>807</v>
      </c>
      <c r="I1336" s="365">
        <f>+R855</f>
        <v>1.32</v>
      </c>
      <c r="J1336" s="365">
        <f>+S855</f>
        <v>1.0095238095238095</v>
      </c>
      <c r="K1336" s="221">
        <f t="shared" si="36"/>
        <v>3864.4571428571426</v>
      </c>
      <c r="L1336" s="47" t="s">
        <v>88</v>
      </c>
      <c r="M1336" s="25"/>
      <c r="N1336" s="26"/>
      <c r="O1336" s="2"/>
      <c r="P1336" s="27"/>
      <c r="Q1336" s="26"/>
      <c r="R1336" s="28"/>
    </row>
    <row r="1337" spans="1:18" ht="30" customHeight="1" x14ac:dyDescent="0.45">
      <c r="A1337" s="47" t="s">
        <v>646</v>
      </c>
      <c r="B1337" s="1018" t="s">
        <v>960</v>
      </c>
      <c r="C1337" s="1019"/>
      <c r="D1337" s="1020"/>
      <c r="E1337" s="383">
        <f>+P850</f>
        <v>14.375</v>
      </c>
      <c r="F1337" s="47" t="s">
        <v>35</v>
      </c>
      <c r="G1337" s="424">
        <f>8*468</f>
        <v>3744</v>
      </c>
      <c r="H1337" s="351" t="s">
        <v>806</v>
      </c>
      <c r="I1337" s="365">
        <f>+R850</f>
        <v>1.1100000000000001</v>
      </c>
      <c r="J1337" s="365">
        <f>+S850</f>
        <v>1.0095238095238095</v>
      </c>
      <c r="K1337" s="221">
        <f t="shared" si="36"/>
        <v>60309.154285714285</v>
      </c>
      <c r="L1337" s="47" t="s">
        <v>88</v>
      </c>
      <c r="M1337" s="25"/>
      <c r="N1337" s="437"/>
      <c r="O1337" s="2"/>
      <c r="P1337" s="27"/>
      <c r="Q1337" s="26"/>
      <c r="R1337" s="28"/>
    </row>
    <row r="1338" spans="1:18" ht="30" customHeight="1" x14ac:dyDescent="0.45">
      <c r="A1338" s="47" t="s">
        <v>282</v>
      </c>
      <c r="B1338" s="1018" t="s">
        <v>657</v>
      </c>
      <c r="C1338" s="1019"/>
      <c r="D1338" s="1020"/>
      <c r="E1338" s="383">
        <f>+P854</f>
        <v>920</v>
      </c>
      <c r="F1338" s="222" t="s">
        <v>88</v>
      </c>
      <c r="G1338" s="424">
        <v>8</v>
      </c>
      <c r="H1338" s="351" t="s">
        <v>807</v>
      </c>
      <c r="I1338" s="365">
        <f>+R854</f>
        <v>1.32</v>
      </c>
      <c r="J1338" s="365">
        <f>+S854</f>
        <v>1.0095238095238095</v>
      </c>
      <c r="K1338" s="221">
        <f t="shared" si="36"/>
        <v>9807.7257142857143</v>
      </c>
      <c r="L1338" s="47" t="s">
        <v>88</v>
      </c>
      <c r="M1338" s="25"/>
      <c r="N1338" s="437"/>
      <c r="O1338" s="2"/>
      <c r="P1338" s="27"/>
      <c r="Q1338" s="26"/>
      <c r="R1338" s="28"/>
    </row>
    <row r="1339" spans="1:18" ht="30" customHeight="1" x14ac:dyDescent="0.45">
      <c r="A1339" s="47" t="s">
        <v>282</v>
      </c>
      <c r="B1339" s="1018" t="s">
        <v>759</v>
      </c>
      <c r="C1339" s="1019"/>
      <c r="D1339" s="1020"/>
      <c r="E1339" s="383">
        <f>+P856</f>
        <v>1125</v>
      </c>
      <c r="F1339" s="222" t="s">
        <v>88</v>
      </c>
      <c r="G1339" s="424">
        <v>8</v>
      </c>
      <c r="H1339" s="351" t="s">
        <v>807</v>
      </c>
      <c r="I1339" s="365">
        <f t="shared" ref="I1339:J1341" si="37">+R856</f>
        <v>1.32</v>
      </c>
      <c r="J1339" s="365">
        <f t="shared" si="37"/>
        <v>1.0095238095238095</v>
      </c>
      <c r="K1339" s="221">
        <f t="shared" si="36"/>
        <v>11993.142857142857</v>
      </c>
      <c r="L1339" s="47" t="s">
        <v>88</v>
      </c>
      <c r="M1339" s="25"/>
      <c r="N1339" s="26"/>
      <c r="O1339" s="2"/>
      <c r="P1339" s="27"/>
      <c r="Q1339" s="26"/>
      <c r="R1339" s="28"/>
    </row>
    <row r="1340" spans="1:18" ht="30" customHeight="1" x14ac:dyDescent="0.45">
      <c r="A1340" s="47" t="s">
        <v>662</v>
      </c>
      <c r="B1340" s="1092" t="s">
        <v>825</v>
      </c>
      <c r="C1340" s="1092"/>
      <c r="D1340" s="1092"/>
      <c r="E1340" s="383">
        <f>+P857</f>
        <v>157.58000000000001</v>
      </c>
      <c r="F1340" s="222" t="s">
        <v>88</v>
      </c>
      <c r="G1340" s="424">
        <v>72</v>
      </c>
      <c r="H1340" s="351" t="s">
        <v>807</v>
      </c>
      <c r="I1340" s="365">
        <f t="shared" si="37"/>
        <v>1.32</v>
      </c>
      <c r="J1340" s="365">
        <f t="shared" si="37"/>
        <v>1.0095238095238095</v>
      </c>
      <c r="K1340" s="221">
        <f t="shared" si="36"/>
        <v>15119.035611428571</v>
      </c>
      <c r="L1340" s="47" t="s">
        <v>88</v>
      </c>
      <c r="M1340" s="25"/>
      <c r="N1340" s="26"/>
      <c r="O1340" s="2"/>
      <c r="P1340" s="27"/>
      <c r="Q1340" s="26"/>
      <c r="R1340" s="28"/>
    </row>
    <row r="1341" spans="1:18" ht="30" customHeight="1" x14ac:dyDescent="0.45">
      <c r="A1341" s="47" t="s">
        <v>665</v>
      </c>
      <c r="B1341" s="1018" t="s">
        <v>666</v>
      </c>
      <c r="C1341" s="1019"/>
      <c r="D1341" s="1020"/>
      <c r="E1341" s="383">
        <f>+P858</f>
        <v>19.62</v>
      </c>
      <c r="F1341" s="222" t="s">
        <v>113</v>
      </c>
      <c r="G1341" s="424">
        <v>4248</v>
      </c>
      <c r="H1341" s="351" t="s">
        <v>810</v>
      </c>
      <c r="I1341" s="365">
        <f t="shared" si="37"/>
        <v>1.32</v>
      </c>
      <c r="J1341" s="365">
        <f t="shared" si="37"/>
        <v>1.0095238095238095</v>
      </c>
      <c r="K1341" s="221">
        <f t="shared" si="36"/>
        <v>111064.17846857144</v>
      </c>
      <c r="L1341" s="47" t="s">
        <v>88</v>
      </c>
      <c r="M1341" s="25"/>
      <c r="N1341" s="26"/>
      <c r="O1341" s="2"/>
      <c r="P1341" s="27"/>
      <c r="Q1341" s="26"/>
      <c r="R1341" s="28"/>
    </row>
    <row r="1342" spans="1:18" ht="30" customHeight="1" x14ac:dyDescent="0.45">
      <c r="A1342" s="47">
        <v>93410</v>
      </c>
      <c r="B1342" s="1018" t="s">
        <v>961</v>
      </c>
      <c r="C1342" s="1019"/>
      <c r="D1342" s="1020"/>
      <c r="E1342" s="334">
        <f>+P868</f>
        <v>2.78</v>
      </c>
      <c r="F1342" s="222" t="s">
        <v>8</v>
      </c>
      <c r="G1342" s="424">
        <v>1913</v>
      </c>
      <c r="H1342" s="351" t="s">
        <v>811</v>
      </c>
      <c r="I1342" s="392">
        <f>+R868</f>
        <v>0.93771935922451721</v>
      </c>
      <c r="J1342" s="47"/>
      <c r="K1342" s="221">
        <f>+E1342*G1342*I1342</f>
        <v>4986.9228330662736</v>
      </c>
      <c r="L1342" s="47" t="s">
        <v>88</v>
      </c>
      <c r="M1342" s="25"/>
      <c r="N1342" s="26"/>
      <c r="O1342" s="2"/>
      <c r="P1342" s="27"/>
      <c r="Q1342" s="26"/>
      <c r="R1342" s="28"/>
    </row>
    <row r="1343" spans="1:18" ht="30" customHeight="1" x14ac:dyDescent="0.45">
      <c r="A1343" s="47">
        <v>85110</v>
      </c>
      <c r="B1343" s="1018" t="s">
        <v>962</v>
      </c>
      <c r="C1343" s="1019"/>
      <c r="D1343" s="1020"/>
      <c r="E1343" s="334">
        <f>+P866</f>
        <v>148.53</v>
      </c>
      <c r="F1343" s="222" t="s">
        <v>8</v>
      </c>
      <c r="G1343" s="424">
        <f>40*40/9</f>
        <v>177.77777777777777</v>
      </c>
      <c r="H1343" s="351" t="s">
        <v>811</v>
      </c>
      <c r="I1343" s="392">
        <f>+R866</f>
        <v>0.93771935922451721</v>
      </c>
      <c r="K1343" s="221">
        <f>+E1343*G1343*I1343</f>
        <v>24760.792253443116</v>
      </c>
      <c r="L1343" s="47" t="s">
        <v>88</v>
      </c>
      <c r="M1343" s="25"/>
      <c r="N1343" s="26"/>
      <c r="O1343" s="2"/>
      <c r="P1343" s="27"/>
      <c r="Q1343" s="26"/>
      <c r="R1343" s="28"/>
    </row>
    <row r="1344" spans="1:18" ht="30" customHeight="1" x14ac:dyDescent="0.45">
      <c r="A1344" s="977" t="s">
        <v>712</v>
      </c>
      <c r="B1344" s="978"/>
      <c r="C1344" s="978"/>
      <c r="D1344" s="979"/>
      <c r="E1344" s="221"/>
      <c r="F1344" s="47"/>
      <c r="G1344" s="58"/>
      <c r="H1344" s="179"/>
      <c r="I1344" s="47"/>
      <c r="J1344" s="47" t="s">
        <v>360</v>
      </c>
      <c r="K1344" s="221">
        <f>SUM(K1333:K1343)</f>
        <v>253828.25282365226</v>
      </c>
      <c r="L1344" s="47" t="s">
        <v>88</v>
      </c>
      <c r="M1344" s="25"/>
      <c r="N1344" s="26"/>
      <c r="O1344" s="2"/>
      <c r="P1344" s="27"/>
      <c r="Q1344" s="26"/>
      <c r="R1344" s="28"/>
    </row>
    <row r="1345" spans="1:20" ht="30" customHeight="1" thickBot="1" x14ac:dyDescent="0.5">
      <c r="A1345" s="1352"/>
      <c r="B1345" s="1353"/>
      <c r="C1345" s="1353"/>
      <c r="D1345" s="1354"/>
      <c r="E1345" s="58"/>
      <c r="F1345" s="58"/>
      <c r="G1345" s="1032" t="s">
        <v>288</v>
      </c>
      <c r="H1345" s="1033"/>
      <c r="I1345" s="1034"/>
      <c r="J1345" s="213">
        <f>VLOOKUP(B1331,'[1]Mil Cost Premiums for PUCs'!$A$4:$R$278,18,FALSE)</f>
        <v>1.0485669999999998</v>
      </c>
      <c r="K1345" s="216">
        <f>+K1344*J1345</f>
        <v>266155.92957853852</v>
      </c>
      <c r="L1345" s="47" t="s">
        <v>88</v>
      </c>
      <c r="M1345" s="25"/>
      <c r="N1345" s="26"/>
      <c r="O1345" s="2"/>
      <c r="P1345" s="27"/>
      <c r="Q1345" s="26"/>
      <c r="R1345" s="28"/>
    </row>
    <row r="1346" spans="1:20" ht="30" customHeight="1" thickBot="1" x14ac:dyDescent="0.5">
      <c r="A1346" s="999"/>
      <c r="B1346" s="1000"/>
      <c r="C1346" s="1000"/>
      <c r="D1346" s="1000"/>
      <c r="E1346" s="1000"/>
      <c r="F1346" s="1000"/>
      <c r="G1346" s="1000"/>
      <c r="H1346" s="1000"/>
      <c r="I1346" s="1000"/>
      <c r="J1346" s="1000"/>
      <c r="K1346" s="1000"/>
      <c r="L1346" s="1001"/>
      <c r="M1346" s="25"/>
      <c r="N1346" s="26"/>
      <c r="O1346" s="2"/>
      <c r="P1346" s="27"/>
      <c r="Q1346" s="26"/>
      <c r="R1346" s="28"/>
    </row>
    <row r="1347" spans="1:20" ht="30" customHeight="1" x14ac:dyDescent="0.45">
      <c r="A1347" s="9" t="s">
        <v>4</v>
      </c>
      <c r="B1347" s="10">
        <v>1792</v>
      </c>
      <c r="C1347" s="983" t="s">
        <v>963</v>
      </c>
      <c r="D1347" s="984"/>
      <c r="E1347" s="13" t="s">
        <v>7</v>
      </c>
      <c r="F1347" s="14" t="s">
        <v>88</v>
      </c>
      <c r="G1347" s="467" t="s">
        <v>964</v>
      </c>
      <c r="H1347" s="370">
        <v>1</v>
      </c>
      <c r="I1347" s="13" t="s">
        <v>9</v>
      </c>
      <c r="J1347" s="1355" t="s">
        <v>701</v>
      </c>
      <c r="K1347" s="1355"/>
      <c r="L1347" s="1356"/>
      <c r="M1347" s="25"/>
      <c r="N1347" s="26"/>
      <c r="O1347" s="2"/>
      <c r="P1347" s="27"/>
      <c r="Q1347" s="26"/>
      <c r="R1347" s="28"/>
    </row>
    <row r="1348" spans="1:20" ht="30" customHeight="1" x14ac:dyDescent="0.45">
      <c r="A1348" s="19" t="s">
        <v>702</v>
      </c>
      <c r="B1348" s="987" t="s">
        <v>293</v>
      </c>
      <c r="C1348" s="988"/>
      <c r="D1348" s="989"/>
      <c r="E1348" s="220" t="s">
        <v>13</v>
      </c>
      <c r="F1348" s="220" t="s">
        <v>14</v>
      </c>
      <c r="G1348" s="990" t="s">
        <v>15</v>
      </c>
      <c r="H1348" s="991"/>
      <c r="I1348" s="19" t="s">
        <v>278</v>
      </c>
      <c r="J1348" s="277" t="s">
        <v>285</v>
      </c>
      <c r="K1348" s="992" t="s">
        <v>17</v>
      </c>
      <c r="L1348" s="993"/>
      <c r="M1348" s="25"/>
      <c r="N1348" s="26"/>
      <c r="O1348" s="2"/>
      <c r="P1348" s="27"/>
      <c r="Q1348" s="26"/>
      <c r="T1348" s="28"/>
    </row>
    <row r="1349" spans="1:20" ht="30" customHeight="1" x14ac:dyDescent="0.45">
      <c r="A1349" s="19"/>
      <c r="B1349" s="1008" t="s">
        <v>965</v>
      </c>
      <c r="C1349" s="1009"/>
      <c r="D1349" s="1010"/>
      <c r="E1349" s="220"/>
      <c r="F1349" s="220"/>
      <c r="G1349" s="98"/>
      <c r="H1349" s="99"/>
      <c r="I1349" s="460"/>
      <c r="J1349" s="460"/>
      <c r="K1349" s="220"/>
      <c r="L1349" s="220"/>
      <c r="M1349" s="25"/>
      <c r="N1349" s="26"/>
      <c r="O1349" s="2"/>
      <c r="P1349" s="27"/>
      <c r="Q1349" s="26"/>
      <c r="T1349" s="28"/>
    </row>
    <row r="1350" spans="1:20" ht="30" customHeight="1" x14ac:dyDescent="0.45">
      <c r="A1350" s="47" t="s">
        <v>646</v>
      </c>
      <c r="B1350" s="1018" t="s">
        <v>966</v>
      </c>
      <c r="C1350" s="1019"/>
      <c r="D1350" s="1020"/>
      <c r="E1350" s="383">
        <f>+P849</f>
        <v>11.775</v>
      </c>
      <c r="F1350" s="47" t="s">
        <v>35</v>
      </c>
      <c r="G1350" s="424">
        <f>246*62</f>
        <v>15252</v>
      </c>
      <c r="H1350" s="351" t="s">
        <v>806</v>
      </c>
      <c r="I1350" s="365">
        <f>+R849</f>
        <v>1.1100000000000001</v>
      </c>
      <c r="J1350" s="365">
        <f>+S849</f>
        <v>1.0095238095238095</v>
      </c>
      <c r="K1350" s="221">
        <f t="shared" ref="K1350:K1361" si="38">+E1350*G1350*I1350*J1350</f>
        <v>201246.0001714286</v>
      </c>
      <c r="L1350" s="47" t="s">
        <v>88</v>
      </c>
      <c r="M1350" s="25"/>
      <c r="N1350" s="26"/>
      <c r="O1350" s="2"/>
      <c r="P1350" s="27"/>
      <c r="Q1350" s="26"/>
      <c r="T1350" s="28"/>
    </row>
    <row r="1351" spans="1:20" ht="30" customHeight="1" x14ac:dyDescent="0.45">
      <c r="A1351" s="47" t="s">
        <v>282</v>
      </c>
      <c r="B1351" s="1018" t="s">
        <v>967</v>
      </c>
      <c r="C1351" s="1019"/>
      <c r="D1351" s="1020"/>
      <c r="E1351" s="383">
        <f>+P853</f>
        <v>504.5</v>
      </c>
      <c r="F1351" s="222" t="s">
        <v>88</v>
      </c>
      <c r="G1351" s="424">
        <v>246</v>
      </c>
      <c r="H1351" s="351" t="s">
        <v>807</v>
      </c>
      <c r="I1351" s="365">
        <f>+R853</f>
        <v>1.32</v>
      </c>
      <c r="J1351" s="365">
        <f>+S853</f>
        <v>1.0095238095238095</v>
      </c>
      <c r="K1351" s="221">
        <f t="shared" si="38"/>
        <v>165381.44228571429</v>
      </c>
      <c r="L1351" s="47" t="s">
        <v>88</v>
      </c>
      <c r="M1351" s="25"/>
      <c r="N1351" s="26"/>
      <c r="O1351" s="2"/>
      <c r="P1351" s="27"/>
      <c r="Q1351" s="26"/>
      <c r="T1351" s="28"/>
    </row>
    <row r="1352" spans="1:20" ht="30" customHeight="1" x14ac:dyDescent="0.45">
      <c r="A1352" s="47" t="s">
        <v>282</v>
      </c>
      <c r="B1352" s="1018" t="s">
        <v>968</v>
      </c>
      <c r="C1352" s="1019"/>
      <c r="D1352" s="1020"/>
      <c r="E1352" s="383">
        <f>+P855</f>
        <v>362.5</v>
      </c>
      <c r="F1352" s="222" t="s">
        <v>88</v>
      </c>
      <c r="G1352" s="424">
        <v>246</v>
      </c>
      <c r="H1352" s="351" t="s">
        <v>807</v>
      </c>
      <c r="I1352" s="365">
        <f>+R855</f>
        <v>1.32</v>
      </c>
      <c r="J1352" s="365">
        <f>+S855</f>
        <v>1.0095238095238095</v>
      </c>
      <c r="K1352" s="221">
        <f t="shared" si="38"/>
        <v>118832.05714285714</v>
      </c>
      <c r="L1352" s="47" t="s">
        <v>88</v>
      </c>
      <c r="M1352" s="25"/>
      <c r="N1352" s="26"/>
      <c r="O1352" s="2"/>
      <c r="P1352" s="27"/>
      <c r="Q1352" s="26"/>
      <c r="T1352" s="28"/>
    </row>
    <row r="1353" spans="1:20" ht="30" customHeight="1" x14ac:dyDescent="0.45">
      <c r="A1353" s="47" t="s">
        <v>646</v>
      </c>
      <c r="B1353" s="1092" t="s">
        <v>969</v>
      </c>
      <c r="C1353" s="1092"/>
      <c r="D1353" s="1092"/>
      <c r="E1353" s="383">
        <f>+P850</f>
        <v>14.375</v>
      </c>
      <c r="F1353" s="47" t="s">
        <v>35</v>
      </c>
      <c r="G1353" s="424">
        <f>50*468</f>
        <v>23400</v>
      </c>
      <c r="H1353" s="351" t="s">
        <v>806</v>
      </c>
      <c r="I1353" s="365">
        <f>+R850</f>
        <v>1.1100000000000001</v>
      </c>
      <c r="J1353" s="365">
        <f>+S850</f>
        <v>1.0095238095238095</v>
      </c>
      <c r="K1353" s="221">
        <f t="shared" si="38"/>
        <v>376932.21428571432</v>
      </c>
      <c r="L1353" s="47" t="s">
        <v>88</v>
      </c>
      <c r="M1353" s="25"/>
      <c r="N1353" s="26"/>
      <c r="O1353" s="2"/>
      <c r="P1353" s="27"/>
      <c r="Q1353" s="26"/>
      <c r="T1353" s="28"/>
    </row>
    <row r="1354" spans="1:20" ht="30" customHeight="1" x14ac:dyDescent="0.45">
      <c r="A1354" s="47" t="s">
        <v>484</v>
      </c>
      <c r="B1354" s="1092" t="s">
        <v>821</v>
      </c>
      <c r="C1354" s="1092"/>
      <c r="D1354" s="1092"/>
      <c r="E1354" s="383">
        <f>+P851</f>
        <v>20.25</v>
      </c>
      <c r="F1354" s="47" t="s">
        <v>35</v>
      </c>
      <c r="G1354" s="424">
        <f>2152*8</f>
        <v>17216</v>
      </c>
      <c r="H1354" s="351" t="s">
        <v>806</v>
      </c>
      <c r="I1354" s="365">
        <f>+R851</f>
        <v>1.28</v>
      </c>
      <c r="J1354" s="365">
        <f>+S851</f>
        <v>1.0095238095238095</v>
      </c>
      <c r="K1354" s="221">
        <f t="shared" si="38"/>
        <v>450488.61257142859</v>
      </c>
      <c r="L1354" s="47" t="s">
        <v>88</v>
      </c>
      <c r="M1354" s="25"/>
      <c r="N1354" s="26"/>
      <c r="O1354" s="2"/>
      <c r="P1354" s="27"/>
      <c r="Q1354" s="26"/>
      <c r="T1354" s="28"/>
    </row>
    <row r="1355" spans="1:20" ht="30" customHeight="1" x14ac:dyDescent="0.45">
      <c r="A1355" s="47" t="s">
        <v>484</v>
      </c>
      <c r="B1355" s="1092" t="s">
        <v>840</v>
      </c>
      <c r="C1355" s="1092"/>
      <c r="D1355" s="1092"/>
      <c r="E1355" s="383">
        <f>+P851</f>
        <v>20.25</v>
      </c>
      <c r="F1355" s="47" t="s">
        <v>35</v>
      </c>
      <c r="G1355" s="424">
        <f>80.7*35</f>
        <v>2824.5</v>
      </c>
      <c r="H1355" s="351" t="s">
        <v>806</v>
      </c>
      <c r="I1355" s="365">
        <f>+R851</f>
        <v>1.28</v>
      </c>
      <c r="J1355" s="365">
        <f>+S851</f>
        <v>1.0095238095238095</v>
      </c>
      <c r="K1355" s="221">
        <f t="shared" si="38"/>
        <v>73908.288</v>
      </c>
      <c r="L1355" s="47" t="s">
        <v>88</v>
      </c>
      <c r="M1355" s="25"/>
      <c r="O1355" s="2"/>
      <c r="P1355" s="27"/>
      <c r="Q1355" s="26"/>
      <c r="T1355" s="28"/>
    </row>
    <row r="1356" spans="1:20" ht="30" customHeight="1" x14ac:dyDescent="0.45">
      <c r="A1356" s="47" t="s">
        <v>282</v>
      </c>
      <c r="B1356" s="1092" t="s">
        <v>970</v>
      </c>
      <c r="C1356" s="1092"/>
      <c r="D1356" s="1092"/>
      <c r="E1356" s="383">
        <f>+P854</f>
        <v>920</v>
      </c>
      <c r="F1356" s="222" t="s">
        <v>88</v>
      </c>
      <c r="G1356" s="424">
        <v>93</v>
      </c>
      <c r="H1356" s="351" t="s">
        <v>807</v>
      </c>
      <c r="I1356" s="365">
        <f>+R854</f>
        <v>1.32</v>
      </c>
      <c r="J1356" s="365">
        <f>+S854</f>
        <v>1.0095238095238095</v>
      </c>
      <c r="K1356" s="221">
        <f t="shared" si="38"/>
        <v>114014.81142857144</v>
      </c>
      <c r="L1356" s="47" t="s">
        <v>88</v>
      </c>
      <c r="M1356" s="25"/>
      <c r="N1356" s="26"/>
      <c r="O1356" s="2"/>
      <c r="P1356" s="27"/>
      <c r="Q1356" s="26"/>
      <c r="T1356" s="28"/>
    </row>
    <row r="1357" spans="1:20" ht="30" customHeight="1" x14ac:dyDescent="0.45">
      <c r="A1357" s="47" t="s">
        <v>470</v>
      </c>
      <c r="B1357" s="1092" t="s">
        <v>971</v>
      </c>
      <c r="C1357" s="1092"/>
      <c r="D1357" s="1092"/>
      <c r="E1357" s="383">
        <f>+P860</f>
        <v>21.1</v>
      </c>
      <c r="F1357" s="222" t="s">
        <v>113</v>
      </c>
      <c r="G1357" s="424">
        <f>+((656*8)+(49*35))</f>
        <v>6963</v>
      </c>
      <c r="H1357" s="351" t="s">
        <v>810</v>
      </c>
      <c r="I1357" s="365">
        <f>+R860</f>
        <v>1.26</v>
      </c>
      <c r="J1357" s="365">
        <f>+S860</f>
        <v>1.0095238095238095</v>
      </c>
      <c r="K1357" s="221">
        <f t="shared" si="38"/>
        <v>186881.34960000002</v>
      </c>
      <c r="L1357" s="47" t="s">
        <v>88</v>
      </c>
      <c r="M1357" s="25"/>
      <c r="N1357" s="26"/>
      <c r="O1357" s="2"/>
      <c r="P1357" s="27"/>
      <c r="Q1357" s="26"/>
      <c r="T1357" s="28"/>
    </row>
    <row r="1358" spans="1:20" ht="30" customHeight="1" x14ac:dyDescent="0.45">
      <c r="A1358" s="47" t="s">
        <v>470</v>
      </c>
      <c r="B1358" s="1018" t="s">
        <v>824</v>
      </c>
      <c r="C1358" s="1019"/>
      <c r="D1358" s="1020"/>
      <c r="E1358" s="383">
        <f>+P861</f>
        <v>3352.5</v>
      </c>
      <c r="F1358" s="222" t="s">
        <v>88</v>
      </c>
      <c r="G1358" s="424">
        <v>43</v>
      </c>
      <c r="H1358" s="351" t="s">
        <v>807</v>
      </c>
      <c r="I1358" s="365">
        <f>+R861</f>
        <v>1.26</v>
      </c>
      <c r="J1358" s="365">
        <f>+S861</f>
        <v>1.0095238095238095</v>
      </c>
      <c r="K1358" s="221">
        <f t="shared" si="38"/>
        <v>183368.34</v>
      </c>
      <c r="L1358" s="47" t="s">
        <v>88</v>
      </c>
      <c r="M1358" s="25"/>
      <c r="N1358" s="26"/>
      <c r="O1358" s="2"/>
      <c r="P1358" s="27"/>
      <c r="Q1358" s="26"/>
      <c r="T1358" s="28"/>
    </row>
    <row r="1359" spans="1:20" ht="30" customHeight="1" x14ac:dyDescent="0.45">
      <c r="A1359" s="47" t="s">
        <v>282</v>
      </c>
      <c r="B1359" s="1018" t="s">
        <v>759</v>
      </c>
      <c r="C1359" s="1019"/>
      <c r="D1359" s="1020"/>
      <c r="E1359" s="383">
        <f>+P856</f>
        <v>1125</v>
      </c>
      <c r="F1359" s="222" t="s">
        <v>88</v>
      </c>
      <c r="G1359" s="424">
        <v>93</v>
      </c>
      <c r="H1359" s="351" t="s">
        <v>807</v>
      </c>
      <c r="I1359" s="365">
        <f t="shared" ref="I1359:J1361" si="39">+R856</f>
        <v>1.32</v>
      </c>
      <c r="J1359" s="365">
        <f t="shared" si="39"/>
        <v>1.0095238095238095</v>
      </c>
      <c r="K1359" s="221">
        <f t="shared" si="38"/>
        <v>139420.28571428571</v>
      </c>
      <c r="L1359" s="47" t="s">
        <v>88</v>
      </c>
      <c r="M1359" s="25"/>
      <c r="N1359" s="26"/>
      <c r="O1359" s="2"/>
      <c r="P1359" s="27"/>
      <c r="Q1359" s="26"/>
      <c r="T1359" s="28"/>
    </row>
    <row r="1360" spans="1:20" ht="30" customHeight="1" x14ac:dyDescent="0.45">
      <c r="A1360" s="47" t="s">
        <v>662</v>
      </c>
      <c r="B1360" s="1092" t="s">
        <v>825</v>
      </c>
      <c r="C1360" s="1092"/>
      <c r="D1360" s="1092"/>
      <c r="E1360" s="383">
        <f>+P857</f>
        <v>157.58000000000001</v>
      </c>
      <c r="F1360" s="222" t="s">
        <v>88</v>
      </c>
      <c r="G1360" s="424">
        <f>(5*50)+(4*(8+246+35))</f>
        <v>1406</v>
      </c>
      <c r="H1360" s="351" t="s">
        <v>807</v>
      </c>
      <c r="I1360" s="365">
        <f t="shared" si="39"/>
        <v>1.32</v>
      </c>
      <c r="J1360" s="365">
        <f t="shared" si="39"/>
        <v>1.0095238095238095</v>
      </c>
      <c r="K1360" s="221">
        <f t="shared" si="38"/>
        <v>295241.16763428575</v>
      </c>
      <c r="L1360" s="47" t="s">
        <v>88</v>
      </c>
      <c r="M1360" s="25"/>
      <c r="N1360" s="26"/>
      <c r="O1360" s="2"/>
      <c r="P1360" s="27"/>
      <c r="Q1360" s="26"/>
      <c r="T1360" s="28"/>
    </row>
    <row r="1361" spans="1:24" ht="30" customHeight="1" x14ac:dyDescent="0.45">
      <c r="A1361" s="47" t="s">
        <v>665</v>
      </c>
      <c r="B1361" s="1018" t="s">
        <v>666</v>
      </c>
      <c r="C1361" s="1019"/>
      <c r="D1361" s="1020"/>
      <c r="E1361" s="383">
        <f>+P858</f>
        <v>19.62</v>
      </c>
      <c r="F1361" s="222" t="s">
        <v>113</v>
      </c>
      <c r="G1361" s="424">
        <v>29527</v>
      </c>
      <c r="H1361" s="351" t="s">
        <v>810</v>
      </c>
      <c r="I1361" s="365">
        <f t="shared" si="39"/>
        <v>1.32</v>
      </c>
      <c r="J1361" s="365">
        <f t="shared" si="39"/>
        <v>1.0095238095238095</v>
      </c>
      <c r="K1361" s="221">
        <f t="shared" si="38"/>
        <v>771984.93353142857</v>
      </c>
      <c r="L1361" s="47" t="s">
        <v>88</v>
      </c>
      <c r="M1361" s="25"/>
      <c r="N1361" s="26"/>
      <c r="O1361" s="2"/>
      <c r="P1361" s="27"/>
      <c r="Q1361" s="26"/>
      <c r="T1361" s="28"/>
    </row>
    <row r="1362" spans="1:24" ht="30" customHeight="1" x14ac:dyDescent="0.45">
      <c r="A1362" s="47">
        <v>93410</v>
      </c>
      <c r="B1362" s="1018" t="s">
        <v>972</v>
      </c>
      <c r="C1362" s="1019"/>
      <c r="D1362" s="1020"/>
      <c r="E1362" s="334">
        <f>+P868</f>
        <v>2.78</v>
      </c>
      <c r="F1362" s="222" t="s">
        <v>8</v>
      </c>
      <c r="G1362" s="424">
        <v>10525</v>
      </c>
      <c r="H1362" s="351" t="s">
        <v>811</v>
      </c>
      <c r="I1362" s="392">
        <f>+R868</f>
        <v>0.93771935922451721</v>
      </c>
      <c r="J1362" s="47"/>
      <c r="K1362" s="221">
        <f>+E1362*G1362*I1362</f>
        <v>27437.199591229757</v>
      </c>
      <c r="L1362" s="47" t="s">
        <v>88</v>
      </c>
      <c r="M1362" s="25"/>
      <c r="N1362" s="26"/>
      <c r="O1362" s="2"/>
      <c r="P1362" s="27"/>
      <c r="Q1362" s="26"/>
      <c r="T1362" s="28"/>
    </row>
    <row r="1363" spans="1:24" ht="30" customHeight="1" x14ac:dyDescent="0.45">
      <c r="A1363" s="47">
        <v>93410</v>
      </c>
      <c r="B1363" s="1018" t="s">
        <v>973</v>
      </c>
      <c r="C1363" s="1019"/>
      <c r="D1363" s="1020"/>
      <c r="E1363" s="383">
        <f>+P867</f>
        <v>11.04</v>
      </c>
      <c r="F1363" s="222" t="s">
        <v>29</v>
      </c>
      <c r="G1363" s="424">
        <v>6644</v>
      </c>
      <c r="H1363" s="351" t="s">
        <v>814</v>
      </c>
      <c r="I1363" s="392">
        <f>+R867</f>
        <v>0.93771935922451721</v>
      </c>
      <c r="J1363" s="47"/>
      <c r="K1363" s="221">
        <f>+E1363*G1363*I1363</f>
        <v>68781.489946472124</v>
      </c>
      <c r="L1363" s="47" t="s">
        <v>88</v>
      </c>
      <c r="M1363" s="25"/>
      <c r="N1363" s="26"/>
      <c r="O1363" s="2"/>
      <c r="P1363" s="27"/>
      <c r="Q1363" s="26"/>
      <c r="T1363" s="28"/>
    </row>
    <row r="1364" spans="1:24" ht="30" customHeight="1" x14ac:dyDescent="0.45">
      <c r="A1364" s="47">
        <v>93210</v>
      </c>
      <c r="B1364" s="1018" t="s">
        <v>974</v>
      </c>
      <c r="C1364" s="1019"/>
      <c r="D1364" s="1020"/>
      <c r="E1364" s="383">
        <f>+P869</f>
        <v>89.16</v>
      </c>
      <c r="F1364" s="222" t="s">
        <v>29</v>
      </c>
      <c r="G1364" s="424">
        <v>1569</v>
      </c>
      <c r="H1364" s="351" t="s">
        <v>814</v>
      </c>
      <c r="I1364" s="392">
        <f>+R869</f>
        <v>0.93771935922451721</v>
      </c>
      <c r="J1364" s="47"/>
      <c r="K1364" s="221">
        <f>+E1364*G1364*I1364</f>
        <v>131179.47410941054</v>
      </c>
      <c r="L1364" s="47" t="s">
        <v>88</v>
      </c>
      <c r="M1364" s="25"/>
      <c r="N1364" s="26"/>
      <c r="O1364" s="2"/>
      <c r="P1364" s="27"/>
      <c r="Q1364" s="26"/>
      <c r="T1364" s="28"/>
    </row>
    <row r="1365" spans="1:24" ht="30" customHeight="1" x14ac:dyDescent="0.45">
      <c r="A1365" s="47" t="s">
        <v>642</v>
      </c>
      <c r="B1365" s="1018" t="s">
        <v>975</v>
      </c>
      <c r="C1365" s="1019"/>
      <c r="D1365" s="1020"/>
      <c r="E1365" s="334">
        <f>+P847</f>
        <v>21.15</v>
      </c>
      <c r="F1365" s="222" t="s">
        <v>35</v>
      </c>
      <c r="G1365" s="424">
        <f>20*20*13</f>
        <v>5200</v>
      </c>
      <c r="H1365" s="351" t="s">
        <v>806</v>
      </c>
      <c r="I1365" s="410">
        <f>+R847</f>
        <v>1.29</v>
      </c>
      <c r="J1365" s="365">
        <f>+S847</f>
        <v>1.0095238095238095</v>
      </c>
      <c r="K1365" s="221">
        <f>+E1365*G1365*I1365*J1365</f>
        <v>143225.38285714283</v>
      </c>
      <c r="L1365" s="47" t="s">
        <v>88</v>
      </c>
      <c r="M1365" s="25"/>
      <c r="N1365" s="26"/>
      <c r="O1365" s="2"/>
      <c r="P1365" s="27"/>
      <c r="Q1365" s="26"/>
      <c r="T1365" s="28"/>
    </row>
    <row r="1366" spans="1:24" ht="30" customHeight="1" x14ac:dyDescent="0.45">
      <c r="A1366" s="977" t="s">
        <v>712</v>
      </c>
      <c r="B1366" s="978"/>
      <c r="C1366" s="978"/>
      <c r="D1366" s="979"/>
      <c r="E1366" s="221"/>
      <c r="F1366" s="47"/>
      <c r="G1366" s="58"/>
      <c r="H1366" s="179"/>
      <c r="I1366" s="47"/>
      <c r="J1366" s="47" t="s">
        <v>360</v>
      </c>
      <c r="K1366" s="221">
        <f>SUM(K1350:K1365)</f>
        <v>3448323.0488699693</v>
      </c>
      <c r="L1366" s="47" t="s">
        <v>88</v>
      </c>
      <c r="M1366" s="25"/>
      <c r="N1366" s="26"/>
      <c r="O1366" s="2"/>
      <c r="P1366" s="27"/>
      <c r="Q1366" s="26"/>
      <c r="T1366" s="28"/>
    </row>
    <row r="1367" spans="1:24" ht="30" customHeight="1" thickBot="1" x14ac:dyDescent="0.5">
      <c r="A1367" s="1352"/>
      <c r="B1367" s="1353"/>
      <c r="C1367" s="1353"/>
      <c r="D1367" s="1354"/>
      <c r="E1367" s="58"/>
      <c r="F1367" s="58"/>
      <c r="G1367" s="1032" t="s">
        <v>288</v>
      </c>
      <c r="H1367" s="1033"/>
      <c r="I1367" s="1034"/>
      <c r="J1367" s="213">
        <f>VLOOKUP(B1347,'[1]Mil Cost Premiums for PUCs'!$A$4:$R$278,18,FALSE)</f>
        <v>1.0821211439999998</v>
      </c>
      <c r="K1367" s="216">
        <f>+K1366*J1367</f>
        <v>3731503.2825247385</v>
      </c>
      <c r="L1367" s="47" t="s">
        <v>88</v>
      </c>
      <c r="M1367" s="25"/>
      <c r="N1367" s="26"/>
      <c r="O1367" s="2"/>
      <c r="P1367" s="27"/>
      <c r="Q1367" s="26"/>
      <c r="T1367" s="28"/>
    </row>
    <row r="1368" spans="1:24" ht="30" customHeight="1" thickBot="1" x14ac:dyDescent="0.5">
      <c r="A1368" s="999"/>
      <c r="B1368" s="1000"/>
      <c r="C1368" s="1000"/>
      <c r="D1368" s="1000"/>
      <c r="E1368" s="1000"/>
      <c r="F1368" s="1000"/>
      <c r="G1368" s="1000"/>
      <c r="H1368" s="1000"/>
      <c r="I1368" s="1000"/>
      <c r="J1368" s="1000"/>
      <c r="K1368" s="1000"/>
      <c r="L1368" s="1001"/>
      <c r="M1368" s="25"/>
      <c r="N1368" s="26"/>
      <c r="O1368" s="2"/>
      <c r="P1368" s="27"/>
      <c r="Q1368" s="26"/>
      <c r="T1368" s="28"/>
    </row>
    <row r="1369" spans="1:24" ht="30" customHeight="1" x14ac:dyDescent="0.45">
      <c r="A1369" s="9" t="s">
        <v>4</v>
      </c>
      <c r="B1369" s="10">
        <v>1793</v>
      </c>
      <c r="C1369" s="1138" t="s">
        <v>976</v>
      </c>
      <c r="D1369" s="1139"/>
      <c r="E1369" s="13" t="s">
        <v>7</v>
      </c>
      <c r="F1369" s="14" t="s">
        <v>88</v>
      </c>
      <c r="G1369" s="11" t="s">
        <v>6</v>
      </c>
      <c r="H1369" s="490">
        <v>1</v>
      </c>
      <c r="I1369" s="13" t="s">
        <v>9</v>
      </c>
      <c r="J1369" s="985" t="s">
        <v>673</v>
      </c>
      <c r="K1369" s="985"/>
      <c r="L1369" s="986"/>
      <c r="M1369" s="25"/>
      <c r="U1369" s="18"/>
      <c r="V1369" s="18"/>
      <c r="W1369" s="18"/>
      <c r="X1369" s="18"/>
    </row>
    <row r="1370" spans="1:24" s="18" customFormat="1" ht="30" customHeight="1" x14ac:dyDescent="0.45">
      <c r="A1370" s="19"/>
      <c r="B1370" s="1005" t="s">
        <v>12</v>
      </c>
      <c r="C1370" s="1005"/>
      <c r="D1370" s="1005"/>
      <c r="E1370" s="19" t="s">
        <v>13</v>
      </c>
      <c r="F1370" s="19" t="s">
        <v>14</v>
      </c>
      <c r="G1370" s="990" t="s">
        <v>15</v>
      </c>
      <c r="H1370" s="991"/>
      <c r="I1370" s="19" t="s">
        <v>59</v>
      </c>
      <c r="J1370" s="19" t="s">
        <v>60</v>
      </c>
      <c r="K1370" s="992" t="s">
        <v>39</v>
      </c>
      <c r="L1370" s="993"/>
      <c r="M1370" s="25"/>
      <c r="N1370" s="2"/>
      <c r="O1370" s="3"/>
      <c r="P1370" s="2"/>
      <c r="Q1370" s="2"/>
      <c r="R1370" s="2"/>
      <c r="S1370" s="2"/>
      <c r="T1370" s="2"/>
      <c r="U1370" s="2"/>
      <c r="V1370" s="2"/>
      <c r="W1370" s="2"/>
      <c r="X1370" s="2"/>
    </row>
    <row r="1371" spans="1:24" ht="30" customHeight="1" thickBot="1" x14ac:dyDescent="0.5">
      <c r="A1371" s="38"/>
      <c r="B1371" s="1203" t="s">
        <v>676</v>
      </c>
      <c r="C1371" s="1203"/>
      <c r="D1371" s="1203"/>
      <c r="E1371" s="104"/>
      <c r="F1371" s="105"/>
      <c r="G1371" s="1084"/>
      <c r="H1371" s="1085"/>
      <c r="I1371" s="105"/>
      <c r="J1371" s="106" t="s">
        <v>676</v>
      </c>
      <c r="K1371" s="28" t="s">
        <v>676</v>
      </c>
      <c r="L1371" s="167" t="s">
        <v>88</v>
      </c>
      <c r="M1371" s="25"/>
      <c r="U1371" s="18"/>
      <c r="V1371" s="18"/>
      <c r="W1371" s="18"/>
      <c r="X1371" s="18"/>
    </row>
    <row r="1372" spans="1:24" s="18" customFormat="1" ht="30" customHeight="1" thickBot="1" x14ac:dyDescent="0.5">
      <c r="A1372" s="999"/>
      <c r="B1372" s="1000"/>
      <c r="C1372" s="1000"/>
      <c r="D1372" s="1000"/>
      <c r="E1372" s="1000"/>
      <c r="F1372" s="1000"/>
      <c r="G1372" s="1000"/>
      <c r="H1372" s="1000"/>
      <c r="I1372" s="1000"/>
      <c r="J1372" s="1000"/>
      <c r="K1372" s="1000"/>
      <c r="L1372" s="1001"/>
      <c r="M1372" s="25"/>
      <c r="N1372" s="2"/>
      <c r="O1372" s="3"/>
      <c r="P1372" s="2"/>
      <c r="Q1372" s="2"/>
      <c r="R1372" s="2"/>
      <c r="S1372" s="41"/>
      <c r="T1372" s="41"/>
      <c r="U1372" s="2"/>
      <c r="V1372" s="2"/>
      <c r="W1372" s="2"/>
      <c r="X1372" s="2"/>
    </row>
    <row r="1373" spans="1:24" ht="30" customHeight="1" x14ac:dyDescent="0.45">
      <c r="A1373" s="9" t="s">
        <v>4</v>
      </c>
      <c r="B1373" s="10">
        <v>1794</v>
      </c>
      <c r="C1373" s="983" t="s">
        <v>977</v>
      </c>
      <c r="D1373" s="984"/>
      <c r="E1373" s="13" t="s">
        <v>7</v>
      </c>
      <c r="F1373" s="14" t="s">
        <v>699</v>
      </c>
      <c r="G1373" s="467" t="s">
        <v>978</v>
      </c>
      <c r="H1373" s="370">
        <v>1</v>
      </c>
      <c r="I1373" s="13" t="s">
        <v>9</v>
      </c>
      <c r="J1373" s="1355" t="s">
        <v>701</v>
      </c>
      <c r="K1373" s="1355"/>
      <c r="L1373" s="1356"/>
      <c r="M1373" s="25"/>
      <c r="N1373" s="26"/>
      <c r="O1373" s="2"/>
      <c r="P1373" s="27"/>
      <c r="Q1373" s="26"/>
      <c r="T1373" s="28"/>
    </row>
    <row r="1374" spans="1:24" ht="30" customHeight="1" x14ac:dyDescent="0.45">
      <c r="A1374" s="19" t="s">
        <v>702</v>
      </c>
      <c r="B1374" s="987" t="s">
        <v>293</v>
      </c>
      <c r="C1374" s="988"/>
      <c r="D1374" s="989"/>
      <c r="E1374" s="220" t="s">
        <v>13</v>
      </c>
      <c r="F1374" s="220" t="s">
        <v>14</v>
      </c>
      <c r="G1374" s="990" t="s">
        <v>15</v>
      </c>
      <c r="H1374" s="991"/>
      <c r="I1374" s="277" t="s">
        <v>278</v>
      </c>
      <c r="J1374" s="277" t="s">
        <v>285</v>
      </c>
      <c r="K1374" s="992" t="s">
        <v>17</v>
      </c>
      <c r="L1374" s="993"/>
      <c r="M1374" s="25"/>
      <c r="N1374" s="26"/>
      <c r="O1374" s="2"/>
      <c r="P1374" s="27"/>
      <c r="Q1374" s="26"/>
      <c r="T1374" s="28"/>
    </row>
    <row r="1375" spans="1:24" ht="30" customHeight="1" x14ac:dyDescent="0.45">
      <c r="A1375" s="47" t="s">
        <v>646</v>
      </c>
      <c r="B1375" s="1018" t="s">
        <v>979</v>
      </c>
      <c r="C1375" s="1019"/>
      <c r="D1375" s="1020"/>
      <c r="E1375" s="383">
        <f>+P850</f>
        <v>14.375</v>
      </c>
      <c r="F1375" s="47" t="s">
        <v>35</v>
      </c>
      <c r="G1375" s="424">
        <v>481</v>
      </c>
      <c r="H1375" s="351" t="s">
        <v>704</v>
      </c>
      <c r="I1375" s="47">
        <f>+R850</f>
        <v>1.1100000000000001</v>
      </c>
      <c r="J1375" s="365">
        <f>+S850</f>
        <v>1.0095238095238095</v>
      </c>
      <c r="K1375" s="221">
        <f>+E1375*G1375*I1375*J1375</f>
        <v>7748.051071428572</v>
      </c>
      <c r="L1375" s="47" t="s">
        <v>699</v>
      </c>
      <c r="M1375" s="25"/>
      <c r="N1375" s="26"/>
      <c r="O1375" s="2"/>
      <c r="P1375" s="27"/>
      <c r="Q1375" s="26"/>
      <c r="T1375" s="28"/>
    </row>
    <row r="1376" spans="1:24" ht="30" customHeight="1" x14ac:dyDescent="0.45">
      <c r="A1376" s="47">
        <v>93410</v>
      </c>
      <c r="B1376" s="1018" t="s">
        <v>980</v>
      </c>
      <c r="C1376" s="1019"/>
      <c r="D1376" s="1020"/>
      <c r="E1376" s="383">
        <f>+P867</f>
        <v>11.04</v>
      </c>
      <c r="F1376" s="222" t="s">
        <v>29</v>
      </c>
      <c r="G1376" s="424">
        <v>706</v>
      </c>
      <c r="H1376" s="351" t="s">
        <v>710</v>
      </c>
      <c r="I1376" s="392">
        <f>+R867</f>
        <v>0.93771935922451721</v>
      </c>
      <c r="J1376" s="47"/>
      <c r="K1376" s="221">
        <f>+E1376*G1376*I1376</f>
        <v>7308.8097384421008</v>
      </c>
      <c r="L1376" s="47" t="s">
        <v>699</v>
      </c>
      <c r="M1376" s="25"/>
      <c r="N1376" s="26"/>
      <c r="O1376" s="2"/>
      <c r="P1376" s="27"/>
      <c r="Q1376" s="26"/>
      <c r="T1376" s="28"/>
    </row>
    <row r="1377" spans="1:24" ht="30" customHeight="1" x14ac:dyDescent="0.45">
      <c r="A1377" s="47">
        <v>93210</v>
      </c>
      <c r="B1377" s="1018" t="s">
        <v>767</v>
      </c>
      <c r="C1377" s="1019"/>
      <c r="D1377" s="1020"/>
      <c r="E1377" s="383">
        <f>+P869</f>
        <v>89.16</v>
      </c>
      <c r="F1377" s="222" t="s">
        <v>29</v>
      </c>
      <c r="G1377" s="424">
        <v>81.75</v>
      </c>
      <c r="H1377" s="351" t="s">
        <v>710</v>
      </c>
      <c r="I1377" s="392">
        <f>+R869</f>
        <v>0.93771935922451721</v>
      </c>
      <c r="J1377" s="47"/>
      <c r="K1377" s="221">
        <f>+E1377*G1377*I1377</f>
        <v>6834.8769970964377</v>
      </c>
      <c r="L1377" s="47" t="s">
        <v>699</v>
      </c>
      <c r="M1377" s="25"/>
      <c r="N1377" s="26"/>
      <c r="O1377" s="2"/>
      <c r="P1377" s="27"/>
      <c r="Q1377" s="26"/>
      <c r="T1377" s="28"/>
    </row>
    <row r="1378" spans="1:24" ht="30" customHeight="1" x14ac:dyDescent="0.45">
      <c r="A1378" s="977" t="s">
        <v>712</v>
      </c>
      <c r="B1378" s="978"/>
      <c r="C1378" s="978"/>
      <c r="D1378" s="979"/>
      <c r="E1378" s="221"/>
      <c r="F1378" s="47"/>
      <c r="G1378" s="58"/>
      <c r="H1378" s="179"/>
      <c r="I1378" s="47"/>
      <c r="J1378" s="47" t="s">
        <v>360</v>
      </c>
      <c r="K1378" s="221">
        <f>SUM(K1375:K1377)</f>
        <v>21891.73780696711</v>
      </c>
      <c r="L1378" s="47" t="s">
        <v>699</v>
      </c>
      <c r="M1378" s="25"/>
      <c r="N1378" s="491"/>
      <c r="P1378" s="325"/>
      <c r="Q1378" s="491"/>
      <c r="R1378" s="3"/>
      <c r="S1378" s="3"/>
      <c r="T1378" s="492"/>
      <c r="U1378" s="3"/>
      <c r="V1378" s="3"/>
      <c r="W1378" s="3"/>
      <c r="X1378" s="3"/>
    </row>
    <row r="1379" spans="1:24" s="3" customFormat="1" ht="30" customHeight="1" thickBot="1" x14ac:dyDescent="0.5">
      <c r="A1379" s="1352"/>
      <c r="B1379" s="1353"/>
      <c r="C1379" s="1353"/>
      <c r="D1379" s="1354"/>
      <c r="E1379" s="58"/>
      <c r="F1379" s="58"/>
      <c r="G1379" s="1032" t="s">
        <v>288</v>
      </c>
      <c r="H1379" s="1033"/>
      <c r="I1379" s="1034"/>
      <c r="J1379" s="213">
        <f>VLOOKUP(B1373,'[1]Mil Cost Premiums for PUCs'!$A$4:$R$278,18,FALSE)</f>
        <v>1.0485669999999998</v>
      </c>
      <c r="K1379" s="216">
        <f>+K1378*J1379</f>
        <v>22954.953837038076</v>
      </c>
      <c r="L1379" s="47" t="s">
        <v>699</v>
      </c>
      <c r="M1379" s="25"/>
      <c r="N1379" s="26"/>
      <c r="O1379" s="2"/>
      <c r="P1379" s="27"/>
      <c r="Q1379" s="26"/>
      <c r="R1379" s="2"/>
      <c r="S1379" s="2"/>
      <c r="T1379" s="28"/>
      <c r="U1379" s="2"/>
      <c r="V1379" s="2"/>
      <c r="W1379" s="2"/>
      <c r="X1379" s="2"/>
    </row>
    <row r="1380" spans="1:24" ht="30" customHeight="1" thickBot="1" x14ac:dyDescent="0.5">
      <c r="A1380" s="999"/>
      <c r="B1380" s="1000"/>
      <c r="C1380" s="1000"/>
      <c r="D1380" s="1000"/>
      <c r="E1380" s="1000"/>
      <c r="F1380" s="1000"/>
      <c r="G1380" s="1000"/>
      <c r="H1380" s="1000"/>
      <c r="I1380" s="1000"/>
      <c r="J1380" s="1000"/>
      <c r="K1380" s="1000"/>
      <c r="L1380" s="1001"/>
      <c r="M1380" s="25"/>
      <c r="N1380" s="26"/>
      <c r="O1380" s="2"/>
      <c r="P1380" s="27"/>
      <c r="Q1380" s="26"/>
      <c r="T1380" s="28"/>
    </row>
    <row r="1381" spans="1:24" ht="30" customHeight="1" x14ac:dyDescent="0.45">
      <c r="A1381" s="9" t="s">
        <v>4</v>
      </c>
      <c r="B1381" s="10">
        <v>1795</v>
      </c>
      <c r="C1381" s="1002" t="s">
        <v>981</v>
      </c>
      <c r="D1381" s="1003"/>
      <c r="E1381" s="13" t="s">
        <v>7</v>
      </c>
      <c r="F1381" s="14" t="s">
        <v>35</v>
      </c>
      <c r="G1381" s="11" t="s">
        <v>148</v>
      </c>
      <c r="H1381" s="493">
        <v>3200</v>
      </c>
      <c r="I1381" s="13" t="s">
        <v>9</v>
      </c>
      <c r="J1381" s="1355" t="s">
        <v>982</v>
      </c>
      <c r="K1381" s="1355"/>
      <c r="L1381" s="1356"/>
      <c r="M1381" s="446"/>
      <c r="N1381" s="26"/>
      <c r="O1381" s="494"/>
      <c r="P1381" s="27"/>
      <c r="Q1381" s="26"/>
      <c r="T1381" s="28"/>
    </row>
    <row r="1382" spans="1:24" ht="30" customHeight="1" x14ac:dyDescent="0.45">
      <c r="A1382" s="85" t="s">
        <v>277</v>
      </c>
      <c r="B1382" s="987" t="s">
        <v>293</v>
      </c>
      <c r="C1382" s="988"/>
      <c r="D1382" s="989"/>
      <c r="E1382" s="220" t="s">
        <v>13</v>
      </c>
      <c r="F1382" s="220" t="s">
        <v>14</v>
      </c>
      <c r="G1382" s="990" t="s">
        <v>15</v>
      </c>
      <c r="H1382" s="991"/>
      <c r="I1382" s="277" t="s">
        <v>278</v>
      </c>
      <c r="J1382" s="277" t="s">
        <v>285</v>
      </c>
      <c r="K1382" s="992" t="s">
        <v>17</v>
      </c>
      <c r="L1382" s="993"/>
      <c r="M1382" s="446"/>
      <c r="N1382" s="26"/>
      <c r="O1382" s="363"/>
      <c r="P1382" s="27"/>
      <c r="Q1382" s="26"/>
      <c r="T1382" s="28"/>
    </row>
    <row r="1383" spans="1:24" ht="30" customHeight="1" x14ac:dyDescent="0.45">
      <c r="A1383" s="47" t="s">
        <v>611</v>
      </c>
      <c r="B1383" s="1018" t="s">
        <v>983</v>
      </c>
      <c r="C1383" s="1019"/>
      <c r="D1383" s="1020"/>
      <c r="E1383" s="216">
        <f>+((13.45+22.65)/2)*1.45</f>
        <v>26.172499999999996</v>
      </c>
      <c r="F1383" s="222" t="s">
        <v>488</v>
      </c>
      <c r="G1383" s="428">
        <v>261.73</v>
      </c>
      <c r="H1383" s="105" t="s">
        <v>613</v>
      </c>
      <c r="I1383" s="47">
        <v>1.1200000000000001</v>
      </c>
      <c r="J1383" s="365">
        <f>1.06/1.05</f>
        <v>1.0095238095238095</v>
      </c>
      <c r="K1383" s="221">
        <f>+G1383*I1383*J1383</f>
        <v>295.92938666666669</v>
      </c>
      <c r="L1383" s="47" t="s">
        <v>35</v>
      </c>
      <c r="M1383" s="25"/>
      <c r="N1383" s="495"/>
      <c r="O1383" s="2"/>
      <c r="P1383" s="27"/>
      <c r="Q1383" s="26"/>
      <c r="T1383" s="28"/>
    </row>
    <row r="1384" spans="1:24" ht="30" customHeight="1" x14ac:dyDescent="0.45">
      <c r="A1384" s="47" t="s">
        <v>614</v>
      </c>
      <c r="B1384" s="1018" t="s">
        <v>615</v>
      </c>
      <c r="C1384" s="1019"/>
      <c r="D1384" s="1020"/>
      <c r="E1384" s="41">
        <f>+(1.63+3.28)/2</f>
        <v>2.4550000000000001</v>
      </c>
      <c r="F1384" s="47" t="s">
        <v>163</v>
      </c>
      <c r="G1384" s="430">
        <f>+(E1384*5000)/H1381</f>
        <v>3.8359375</v>
      </c>
      <c r="H1384" s="105" t="s">
        <v>616</v>
      </c>
      <c r="I1384" s="365">
        <v>1.1100000000000001</v>
      </c>
      <c r="J1384" s="365">
        <f>1.06/1.05</f>
        <v>1.0095238095238095</v>
      </c>
      <c r="K1384" s="221">
        <f>+G1384*I1384*J1384</f>
        <v>4.2984419642857148</v>
      </c>
      <c r="L1384" s="47" t="s">
        <v>35</v>
      </c>
      <c r="M1384" s="25"/>
      <c r="N1384" s="26"/>
      <c r="O1384" s="2"/>
      <c r="P1384" s="27"/>
      <c r="Q1384" s="26"/>
      <c r="T1384" s="28"/>
    </row>
    <row r="1385" spans="1:24" ht="30" customHeight="1" x14ac:dyDescent="0.45">
      <c r="A1385" s="47">
        <v>83210</v>
      </c>
      <c r="B1385" s="1018" t="s">
        <v>984</v>
      </c>
      <c r="C1385" s="1019"/>
      <c r="D1385" s="1020"/>
      <c r="E1385" s="185">
        <v>62916.09</v>
      </c>
      <c r="F1385" s="47" t="s">
        <v>88</v>
      </c>
      <c r="G1385" s="496">
        <f>E1385/H1381</f>
        <v>19.661278124999999</v>
      </c>
      <c r="H1385" s="105" t="s">
        <v>621</v>
      </c>
      <c r="I1385" s="497">
        <f>+'[1]2023 MILCON Inflation Table'!F22</f>
        <v>0.93771935922451721</v>
      </c>
      <c r="J1385" s="47"/>
      <c r="K1385" s="221">
        <f>+G1385*I1385</f>
        <v>18.436761124910017</v>
      </c>
      <c r="L1385" s="47" t="s">
        <v>35</v>
      </c>
      <c r="M1385" s="25"/>
      <c r="N1385" s="26"/>
      <c r="O1385" s="2"/>
      <c r="P1385" s="27"/>
      <c r="Q1385" s="26"/>
      <c r="T1385" s="28"/>
    </row>
    <row r="1386" spans="1:24" ht="30" customHeight="1" x14ac:dyDescent="0.45">
      <c r="A1386" s="47">
        <v>84472</v>
      </c>
      <c r="B1386" s="1018" t="s">
        <v>985</v>
      </c>
      <c r="C1386" s="1019"/>
      <c r="D1386" s="1020"/>
      <c r="E1386" s="185">
        <v>103213.95</v>
      </c>
      <c r="F1386" s="47" t="s">
        <v>88</v>
      </c>
      <c r="G1386" s="496">
        <f>+E1386/H1381</f>
        <v>32.254359375</v>
      </c>
      <c r="H1386" s="105" t="s">
        <v>621</v>
      </c>
      <c r="I1386" s="497">
        <f>+I1385</f>
        <v>0.93771935922451721</v>
      </c>
      <c r="J1386" s="47"/>
      <c r="K1386" s="221">
        <f>+G1386*I1386</f>
        <v>30.2455372053223</v>
      </c>
      <c r="L1386" s="47" t="s">
        <v>35</v>
      </c>
      <c r="M1386" s="25"/>
      <c r="N1386" s="26"/>
      <c r="O1386" s="2"/>
      <c r="P1386" s="27"/>
      <c r="Q1386" s="26"/>
      <c r="T1386" s="28"/>
    </row>
    <row r="1387" spans="1:24" ht="30" customHeight="1" x14ac:dyDescent="0.45">
      <c r="A1387" s="47">
        <v>84210</v>
      </c>
      <c r="B1387" s="1018" t="s">
        <v>986</v>
      </c>
      <c r="C1387" s="1019"/>
      <c r="D1387" s="1020"/>
      <c r="E1387" s="185">
        <v>25.87</v>
      </c>
      <c r="F1387" s="47" t="s">
        <v>113</v>
      </c>
      <c r="G1387" s="496">
        <f>480/H1381</f>
        <v>0.15</v>
      </c>
      <c r="H1387" s="105" t="s">
        <v>626</v>
      </c>
      <c r="I1387" s="497">
        <f>+I1385</f>
        <v>0.93771935922451721</v>
      </c>
      <c r="J1387" s="47"/>
      <c r="K1387" s="221">
        <f>+E1387*G1387*I1387</f>
        <v>3.6388199734707389</v>
      </c>
      <c r="L1387" s="47" t="s">
        <v>35</v>
      </c>
      <c r="M1387" s="25"/>
      <c r="N1387" s="26"/>
      <c r="O1387" s="2"/>
      <c r="P1387" s="27"/>
      <c r="Q1387" s="26"/>
      <c r="T1387" s="28"/>
    </row>
    <row r="1388" spans="1:24" ht="30" customHeight="1" x14ac:dyDescent="0.45">
      <c r="A1388" s="47">
        <v>85110</v>
      </c>
      <c r="B1388" s="1018" t="s">
        <v>987</v>
      </c>
      <c r="C1388" s="1019"/>
      <c r="D1388" s="1020"/>
      <c r="E1388" s="185">
        <v>15.73</v>
      </c>
      <c r="F1388" s="47" t="s">
        <v>8</v>
      </c>
      <c r="G1388" s="496">
        <f>2500/H1381</f>
        <v>0.78125</v>
      </c>
      <c r="H1388" s="105" t="s">
        <v>988</v>
      </c>
      <c r="I1388" s="497">
        <f>+I1385</f>
        <v>0.93771935922451721</v>
      </c>
      <c r="J1388" s="47"/>
      <c r="K1388" s="221">
        <f>+E1388*G1388*I1388</f>
        <v>11.523691812970043</v>
      </c>
      <c r="L1388" s="47" t="s">
        <v>35</v>
      </c>
      <c r="M1388" s="25"/>
      <c r="N1388" s="26"/>
      <c r="O1388" s="2"/>
      <c r="P1388" s="27"/>
      <c r="Q1388" s="26"/>
      <c r="T1388" s="28"/>
    </row>
    <row r="1389" spans="1:24" ht="30" customHeight="1" x14ac:dyDescent="0.45">
      <c r="A1389" s="47"/>
      <c r="B1389" s="1092"/>
      <c r="C1389" s="1092"/>
      <c r="D1389" s="1092"/>
      <c r="E1389" s="394"/>
      <c r="F1389" s="47"/>
      <c r="G1389" s="406"/>
      <c r="H1389" s="79"/>
      <c r="I1389" s="47"/>
      <c r="J1389" s="47" t="s">
        <v>360</v>
      </c>
      <c r="K1389" s="221">
        <f>SUM(K1383:K1388)</f>
        <v>364.07263874762543</v>
      </c>
      <c r="L1389" s="47" t="s">
        <v>35</v>
      </c>
      <c r="M1389" s="25"/>
      <c r="N1389" s="26"/>
      <c r="O1389" s="2"/>
      <c r="P1389" s="27"/>
      <c r="Q1389" s="26"/>
      <c r="T1389" s="28"/>
    </row>
    <row r="1390" spans="1:24" ht="30" customHeight="1" thickBot="1" x14ac:dyDescent="0.5">
      <c r="A1390" s="47"/>
      <c r="B1390" s="1092"/>
      <c r="C1390" s="1092"/>
      <c r="D1390" s="1092"/>
      <c r="E1390" s="58"/>
      <c r="F1390" s="58"/>
      <c r="G1390" s="58"/>
      <c r="H1390" s="58"/>
      <c r="I1390" s="58"/>
      <c r="J1390" s="85" t="s">
        <v>39</v>
      </c>
      <c r="K1390" s="216">
        <f>+K1389</f>
        <v>364.07263874762543</v>
      </c>
      <c r="L1390" s="47" t="s">
        <v>35</v>
      </c>
      <c r="M1390" s="25"/>
      <c r="N1390" s="26"/>
      <c r="O1390" s="2"/>
      <c r="P1390" s="27"/>
      <c r="Q1390" s="26"/>
      <c r="T1390" s="28"/>
    </row>
    <row r="1391" spans="1:24" ht="30" customHeight="1" thickBot="1" x14ac:dyDescent="0.5">
      <c r="A1391" s="999"/>
      <c r="B1391" s="1000"/>
      <c r="C1391" s="1000"/>
      <c r="D1391" s="1000"/>
      <c r="E1391" s="1000"/>
      <c r="F1391" s="1000"/>
      <c r="G1391" s="1000"/>
      <c r="H1391" s="1000"/>
      <c r="I1391" s="1000"/>
      <c r="J1391" s="1000"/>
      <c r="K1391" s="1000"/>
      <c r="L1391" s="1001"/>
      <c r="M1391" s="25"/>
      <c r="S1391" s="41"/>
      <c r="T1391" s="41"/>
    </row>
    <row r="1392" spans="1:24" ht="30" customHeight="1" x14ac:dyDescent="0.45">
      <c r="A1392" s="9" t="s">
        <v>4</v>
      </c>
      <c r="B1392" s="10">
        <v>1796</v>
      </c>
      <c r="C1392" s="983" t="s">
        <v>989</v>
      </c>
      <c r="D1392" s="984"/>
      <c r="E1392" s="13" t="s">
        <v>7</v>
      </c>
      <c r="F1392" s="14" t="s">
        <v>35</v>
      </c>
      <c r="G1392" s="11" t="s">
        <v>6</v>
      </c>
      <c r="H1392" s="493">
        <v>72868</v>
      </c>
      <c r="I1392" s="13" t="s">
        <v>9</v>
      </c>
      <c r="J1392" s="1355" t="s">
        <v>982</v>
      </c>
      <c r="K1392" s="1355"/>
      <c r="L1392" s="1356"/>
      <c r="M1392" s="25"/>
      <c r="S1392" s="41"/>
      <c r="T1392" s="41"/>
    </row>
    <row r="1393" spans="1:24" ht="60" customHeight="1" x14ac:dyDescent="0.45">
      <c r="A1393" s="19" t="s">
        <v>702</v>
      </c>
      <c r="B1393" s="987" t="s">
        <v>293</v>
      </c>
      <c r="C1393" s="988"/>
      <c r="D1393" s="989"/>
      <c r="E1393" s="220" t="s">
        <v>13</v>
      </c>
      <c r="F1393" s="220" t="s">
        <v>14</v>
      </c>
      <c r="G1393" s="990" t="s">
        <v>15</v>
      </c>
      <c r="H1393" s="991"/>
      <c r="I1393" s="19" t="s">
        <v>278</v>
      </c>
      <c r="J1393" s="277" t="s">
        <v>285</v>
      </c>
      <c r="K1393" s="992" t="s">
        <v>17</v>
      </c>
      <c r="L1393" s="993"/>
      <c r="M1393" s="25"/>
      <c r="S1393" s="41"/>
      <c r="T1393" s="41"/>
    </row>
    <row r="1394" spans="1:24" ht="30" customHeight="1" x14ac:dyDescent="0.45">
      <c r="A1394" s="47" t="s">
        <v>642</v>
      </c>
      <c r="B1394" s="1018" t="s">
        <v>990</v>
      </c>
      <c r="C1394" s="1019"/>
      <c r="D1394" s="1020"/>
      <c r="E1394" s="442">
        <f>+P847</f>
        <v>21.15</v>
      </c>
      <c r="F1394" s="222" t="s">
        <v>35</v>
      </c>
      <c r="G1394" s="354"/>
      <c r="H1394" s="351"/>
      <c r="I1394" s="365">
        <f>+R847</f>
        <v>1.29</v>
      </c>
      <c r="J1394" s="365">
        <f>+S847</f>
        <v>1.0095238095238095</v>
      </c>
      <c r="K1394" s="221">
        <f>+E1394*I1394*J1394</f>
        <v>27.543342857142857</v>
      </c>
      <c r="L1394" s="47" t="s">
        <v>35</v>
      </c>
      <c r="M1394" s="25"/>
      <c r="O1394" s="2"/>
    </row>
    <row r="1395" spans="1:24" ht="30" customHeight="1" x14ac:dyDescent="0.45">
      <c r="A1395" s="47" t="s">
        <v>484</v>
      </c>
      <c r="B1395" s="1018" t="s">
        <v>654</v>
      </c>
      <c r="C1395" s="1019"/>
      <c r="D1395" s="1020"/>
      <c r="E1395" s="334">
        <f>+P852</f>
        <v>5.29</v>
      </c>
      <c r="F1395" s="222" t="s">
        <v>35</v>
      </c>
      <c r="G1395" s="354"/>
      <c r="H1395" s="351"/>
      <c r="I1395" s="365">
        <f>+R852</f>
        <v>1.28</v>
      </c>
      <c r="J1395" s="365">
        <f>+S852</f>
        <v>1.0095238095238095</v>
      </c>
      <c r="K1395" s="221">
        <f>+E1395*I1395*J1395</f>
        <v>6.8356876190476195</v>
      </c>
      <c r="L1395" s="47" t="s">
        <v>35</v>
      </c>
      <c r="M1395" s="25"/>
      <c r="O1395" s="2"/>
    </row>
    <row r="1396" spans="1:24" ht="30" customHeight="1" x14ac:dyDescent="0.45">
      <c r="A1396" s="47" t="s">
        <v>294</v>
      </c>
      <c r="B1396" s="1018" t="s">
        <v>991</v>
      </c>
      <c r="C1396" s="1019"/>
      <c r="D1396" s="1020"/>
      <c r="E1396" s="442">
        <f>+P846</f>
        <v>60</v>
      </c>
      <c r="F1396" s="222" t="s">
        <v>35</v>
      </c>
      <c r="G1396" s="222"/>
      <c r="H1396" s="351"/>
      <c r="I1396" s="365">
        <f>+R846</f>
        <v>1.1200000000000001</v>
      </c>
      <c r="J1396" s="365">
        <f>+S846</f>
        <v>1.0095238095238095</v>
      </c>
      <c r="K1396" s="221">
        <f>+E1396*I1396*J1396</f>
        <v>67.84</v>
      </c>
      <c r="L1396" s="47" t="s">
        <v>35</v>
      </c>
      <c r="M1396" s="25"/>
      <c r="N1396" s="5"/>
      <c r="O1396" s="2"/>
    </row>
    <row r="1397" spans="1:24" ht="30" customHeight="1" x14ac:dyDescent="0.45">
      <c r="A1397" s="47"/>
      <c r="B1397" s="204"/>
      <c r="C1397" s="205"/>
      <c r="D1397" s="206"/>
      <c r="E1397" s="216"/>
      <c r="F1397" s="222"/>
      <c r="G1397" s="222"/>
      <c r="H1397" s="351"/>
      <c r="I1397" s="1357" t="s">
        <v>27</v>
      </c>
      <c r="J1397" s="1358"/>
      <c r="K1397" s="221">
        <f>0.09*K1394+0.06*K1395+0.85*K1396</f>
        <v>60.553042114285716</v>
      </c>
      <c r="L1397" s="47" t="s">
        <v>35</v>
      </c>
      <c r="M1397" s="25"/>
      <c r="N1397" s="5"/>
      <c r="O1397" s="2"/>
    </row>
    <row r="1398" spans="1:24" ht="30" customHeight="1" x14ac:dyDescent="0.45">
      <c r="A1398" s="47" t="s">
        <v>282</v>
      </c>
      <c r="B1398" s="1018" t="s">
        <v>656</v>
      </c>
      <c r="C1398" s="1019"/>
      <c r="D1398" s="1020"/>
      <c r="E1398" s="383">
        <f>+P853</f>
        <v>504.5</v>
      </c>
      <c r="F1398" s="222" t="s">
        <v>88</v>
      </c>
      <c r="G1398" s="222">
        <v>2.5000000000000001E-2</v>
      </c>
      <c r="H1398" s="351" t="s">
        <v>992</v>
      </c>
      <c r="I1398" s="365">
        <f>+R853</f>
        <v>1.32</v>
      </c>
      <c r="J1398" s="365">
        <f>+S853</f>
        <v>1.0095238095238095</v>
      </c>
      <c r="K1398" s="221">
        <f>+E1398*G1398*I1398*J1398</f>
        <v>16.807057142857143</v>
      </c>
      <c r="L1398" s="47" t="s">
        <v>35</v>
      </c>
      <c r="M1398" s="25"/>
      <c r="O1398" s="2"/>
    </row>
    <row r="1399" spans="1:24" ht="30" customHeight="1" x14ac:dyDescent="0.45">
      <c r="A1399" s="47" t="s">
        <v>282</v>
      </c>
      <c r="B1399" s="1018" t="s">
        <v>658</v>
      </c>
      <c r="C1399" s="1019"/>
      <c r="D1399" s="1020"/>
      <c r="E1399" s="383">
        <f>+P855</f>
        <v>362.5</v>
      </c>
      <c r="F1399" s="222" t="s">
        <v>88</v>
      </c>
      <c r="G1399" s="222">
        <v>2.5000000000000001E-2</v>
      </c>
      <c r="H1399" s="351" t="s">
        <v>992</v>
      </c>
      <c r="I1399" s="365">
        <f>+R855</f>
        <v>1.32</v>
      </c>
      <c r="J1399" s="365">
        <f>+S855</f>
        <v>1.0095238095238095</v>
      </c>
      <c r="K1399" s="221">
        <f>+E1399*G1399*I1399*J1399</f>
        <v>12.076428571428572</v>
      </c>
      <c r="L1399" s="47" t="s">
        <v>35</v>
      </c>
      <c r="M1399" s="25"/>
      <c r="O1399" s="2"/>
    </row>
    <row r="1400" spans="1:24" ht="30" customHeight="1" x14ac:dyDescent="0.45">
      <c r="A1400" s="47" t="s">
        <v>665</v>
      </c>
      <c r="B1400" s="1018" t="s">
        <v>993</v>
      </c>
      <c r="C1400" s="1019"/>
      <c r="D1400" s="1020"/>
      <c r="E1400" s="383">
        <f>+P858</f>
        <v>19.62</v>
      </c>
      <c r="F1400" s="222" t="s">
        <v>113</v>
      </c>
      <c r="G1400" s="498">
        <f>2400/19600</f>
        <v>0.12244897959183673</v>
      </c>
      <c r="H1400" s="351" t="s">
        <v>994</v>
      </c>
      <c r="I1400" s="365">
        <f>+R858</f>
        <v>1.32</v>
      </c>
      <c r="J1400" s="365">
        <f>+S858</f>
        <v>1.0095238095238095</v>
      </c>
      <c r="K1400" s="311">
        <f>+E1400*G1400*I1400*J1400</f>
        <v>3.2014348688046645</v>
      </c>
      <c r="L1400" s="47" t="s">
        <v>35</v>
      </c>
      <c r="M1400" s="25"/>
      <c r="O1400" s="2"/>
    </row>
    <row r="1401" spans="1:24" ht="30" customHeight="1" x14ac:dyDescent="0.45">
      <c r="A1401" s="47">
        <v>85110</v>
      </c>
      <c r="B1401" s="1018" t="s">
        <v>995</v>
      </c>
      <c r="C1401" s="1019"/>
      <c r="D1401" s="1020"/>
      <c r="E1401" s="383">
        <f>+P866</f>
        <v>148.53</v>
      </c>
      <c r="F1401" s="47" t="s">
        <v>8</v>
      </c>
      <c r="G1401" s="222">
        <v>1.01</v>
      </c>
      <c r="H1401" s="351" t="s">
        <v>996</v>
      </c>
      <c r="I1401" s="447">
        <f>+R866</f>
        <v>0.93771935922451721</v>
      </c>
      <c r="J1401" s="47"/>
      <c r="K1401" s="311">
        <f>+E1401*G1401*I1401</f>
        <v>140.6722509898737</v>
      </c>
      <c r="L1401" s="47" t="s">
        <v>35</v>
      </c>
      <c r="M1401" s="25"/>
      <c r="O1401" s="2"/>
    </row>
    <row r="1402" spans="1:24" ht="30" customHeight="1" x14ac:dyDescent="0.45">
      <c r="A1402" s="47">
        <v>85110</v>
      </c>
      <c r="B1402" s="1018" t="s">
        <v>997</v>
      </c>
      <c r="C1402" s="1019"/>
      <c r="D1402" s="1020"/>
      <c r="E1402" s="383">
        <f>+P865</f>
        <v>36.590000000000003</v>
      </c>
      <c r="F1402" s="222" t="s">
        <v>8</v>
      </c>
      <c r="G1402" s="222">
        <v>0.69</v>
      </c>
      <c r="H1402" s="351" t="s">
        <v>996</v>
      </c>
      <c r="I1402" s="447">
        <f>+R865</f>
        <v>0.93771935922451721</v>
      </c>
      <c r="J1402" s="47"/>
      <c r="K1402" s="311">
        <f>+E1402*G1402*I1402</f>
        <v>23.67469443427731</v>
      </c>
      <c r="L1402" s="47" t="s">
        <v>35</v>
      </c>
      <c r="M1402" s="25"/>
      <c r="O1402" s="2"/>
    </row>
    <row r="1403" spans="1:24" ht="30" customHeight="1" x14ac:dyDescent="0.45">
      <c r="A1403" s="47" t="s">
        <v>486</v>
      </c>
      <c r="B1403" s="1018" t="s">
        <v>998</v>
      </c>
      <c r="C1403" s="1019"/>
      <c r="D1403" s="1020"/>
      <c r="E1403" s="376">
        <f>+P864</f>
        <v>25.5</v>
      </c>
      <c r="F1403" s="56" t="s">
        <v>488</v>
      </c>
      <c r="G1403" s="499">
        <v>0.9</v>
      </c>
      <c r="H1403" s="349" t="s">
        <v>613</v>
      </c>
      <c r="I1403" s="47">
        <f>+R864</f>
        <v>1.28</v>
      </c>
      <c r="J1403" s="365">
        <f>+S864</f>
        <v>1.0095238095238095</v>
      </c>
      <c r="K1403" s="376">
        <f>+E1403*G1403*I1403*J1403</f>
        <v>29.65577142857143</v>
      </c>
      <c r="L1403" s="56" t="s">
        <v>35</v>
      </c>
      <c r="M1403" s="25"/>
      <c r="N1403" s="26"/>
      <c r="O1403" s="2"/>
      <c r="P1403" s="27"/>
      <c r="Q1403" s="26"/>
      <c r="R1403" s="28"/>
    </row>
    <row r="1404" spans="1:24" ht="30" customHeight="1" x14ac:dyDescent="0.45">
      <c r="A1404" s="47" t="s">
        <v>646</v>
      </c>
      <c r="B1404" s="1018" t="s">
        <v>999</v>
      </c>
      <c r="C1404" s="1019"/>
      <c r="D1404" s="1020"/>
      <c r="E1404" s="334">
        <f>+P849</f>
        <v>11.775</v>
      </c>
      <c r="F1404" s="222" t="s">
        <v>35</v>
      </c>
      <c r="G1404" s="222">
        <v>0.22</v>
      </c>
      <c r="H1404" s="351" t="s">
        <v>992</v>
      </c>
      <c r="I1404" s="47">
        <f>R849</f>
        <v>1.1100000000000001</v>
      </c>
      <c r="J1404" s="365">
        <f>+S849</f>
        <v>1.0095238095238095</v>
      </c>
      <c r="K1404" s="311">
        <f>+E1404*G1404*I1404*J1404</f>
        <v>2.9028402857142859</v>
      </c>
      <c r="L1404" s="47" t="s">
        <v>35</v>
      </c>
      <c r="M1404" s="25"/>
      <c r="N1404" s="26"/>
      <c r="O1404" s="2"/>
      <c r="P1404" s="27"/>
      <c r="Q1404" s="26"/>
      <c r="R1404" s="28"/>
    </row>
    <row r="1405" spans="1:24" ht="30" customHeight="1" x14ac:dyDescent="0.45">
      <c r="A1405" s="47">
        <v>93210</v>
      </c>
      <c r="B1405" s="1018" t="s">
        <v>1000</v>
      </c>
      <c r="C1405" s="1019"/>
      <c r="D1405" s="1020"/>
      <c r="E1405" s="383">
        <f>+P869</f>
        <v>89.16</v>
      </c>
      <c r="F1405" s="222" t="s">
        <v>29</v>
      </c>
      <c r="G1405" s="498">
        <v>0.217</v>
      </c>
      <c r="H1405" s="351" t="s">
        <v>1001</v>
      </c>
      <c r="I1405" s="447">
        <f>+R869</f>
        <v>0.93771935922451721</v>
      </c>
      <c r="J1405" s="47"/>
      <c r="K1405" s="311">
        <f>+E1405*G1405*I1405</f>
        <v>18.142731600855374</v>
      </c>
      <c r="L1405" s="47" t="s">
        <v>35</v>
      </c>
      <c r="M1405" s="25"/>
      <c r="O1405" s="2"/>
    </row>
    <row r="1406" spans="1:24" ht="30" customHeight="1" x14ac:dyDescent="0.45">
      <c r="A1406" s="47">
        <v>93410</v>
      </c>
      <c r="B1406" s="1018" t="s">
        <v>1002</v>
      </c>
      <c r="C1406" s="1019"/>
      <c r="D1406" s="1020"/>
      <c r="E1406" s="383">
        <f>+P867</f>
        <v>11.04</v>
      </c>
      <c r="F1406" s="222" t="s">
        <v>29</v>
      </c>
      <c r="G1406" s="498">
        <v>0.10306122448979592</v>
      </c>
      <c r="H1406" s="351" t="s">
        <v>1001</v>
      </c>
      <c r="I1406" s="447">
        <f>+R867</f>
        <v>0.93771935922451721</v>
      </c>
      <c r="J1406" s="47"/>
      <c r="K1406" s="221">
        <f>+E1406*G1406*I1406</f>
        <v>1.0669332594996996</v>
      </c>
      <c r="L1406" s="47" t="s">
        <v>35</v>
      </c>
      <c r="M1406" s="25"/>
      <c r="O1406" s="2"/>
    </row>
    <row r="1407" spans="1:24" ht="30" customHeight="1" x14ac:dyDescent="0.45">
      <c r="A1407" s="47"/>
      <c r="B1407" s="1092"/>
      <c r="C1407" s="1092"/>
      <c r="D1407" s="1092"/>
      <c r="E1407" s="221"/>
      <c r="F1407" s="47"/>
      <c r="G1407" s="58"/>
      <c r="H1407" s="179"/>
      <c r="I1407" s="47"/>
      <c r="J1407" s="47" t="s">
        <v>360</v>
      </c>
      <c r="K1407" s="311">
        <f>SUM(K1397:K1406)</f>
        <v>308.75318469616786</v>
      </c>
      <c r="L1407" s="47" t="s">
        <v>35</v>
      </c>
      <c r="M1407" s="25"/>
      <c r="O1407" s="2"/>
    </row>
    <row r="1408" spans="1:24" ht="30" customHeight="1" x14ac:dyDescent="0.45">
      <c r="A1408" s="977" t="s">
        <v>712</v>
      </c>
      <c r="B1408" s="978"/>
      <c r="C1408" s="978"/>
      <c r="D1408" s="979"/>
      <c r="E1408" s="58"/>
      <c r="F1408" s="58"/>
      <c r="G1408" s="58"/>
      <c r="H1408" s="58"/>
      <c r="I1408" s="58"/>
      <c r="J1408" s="47" t="s">
        <v>39</v>
      </c>
      <c r="K1408" s="216">
        <f>+K1407</f>
        <v>308.75318469616786</v>
      </c>
      <c r="L1408" s="47" t="s">
        <v>35</v>
      </c>
      <c r="M1408" s="25"/>
      <c r="N1408" s="229"/>
      <c r="O1408" s="5"/>
      <c r="P1408" s="18"/>
      <c r="Q1408" s="18"/>
      <c r="R1408" s="18"/>
      <c r="S1408" s="18"/>
      <c r="T1408" s="18"/>
      <c r="U1408" s="18"/>
      <c r="V1408" s="18"/>
      <c r="W1408" s="18"/>
      <c r="X1408" s="18"/>
    </row>
    <row r="1409" spans="1:24" s="18" customFormat="1" ht="30" customHeight="1" thickBot="1" x14ac:dyDescent="0.5">
      <c r="A1409" s="1352"/>
      <c r="B1409" s="1353"/>
      <c r="C1409" s="1353"/>
      <c r="D1409" s="1354"/>
      <c r="E1409" s="58"/>
      <c r="F1409" s="58"/>
      <c r="G1409" s="1032" t="s">
        <v>288</v>
      </c>
      <c r="H1409" s="1033"/>
      <c r="I1409" s="1034"/>
      <c r="J1409" s="213">
        <f>VLOOKUP(B1392,'[1]Mil Cost Premiums for PUCs'!$A$4:$R$278,18,FALSE)</f>
        <v>1.0821211439999998</v>
      </c>
      <c r="K1409" s="216">
        <f>+K1408*J1409</f>
        <v>334.10834943706038</v>
      </c>
      <c r="L1409" s="47" t="s">
        <v>35</v>
      </c>
      <c r="M1409" s="25"/>
      <c r="N1409" s="2"/>
      <c r="O1409" s="3"/>
      <c r="P1409" s="2"/>
      <c r="Q1409" s="2"/>
      <c r="R1409" s="2"/>
      <c r="S1409" s="2"/>
      <c r="T1409" s="2"/>
      <c r="U1409" s="2"/>
      <c r="V1409" s="2"/>
      <c r="W1409" s="2"/>
      <c r="X1409" s="2"/>
    </row>
    <row r="1410" spans="1:24" ht="30" customHeight="1" thickBot="1" x14ac:dyDescent="0.5">
      <c r="A1410" s="999"/>
      <c r="B1410" s="1000"/>
      <c r="C1410" s="1000"/>
      <c r="D1410" s="1000"/>
      <c r="E1410" s="1000"/>
      <c r="F1410" s="1000"/>
      <c r="G1410" s="1000"/>
      <c r="H1410" s="1000"/>
      <c r="I1410" s="1000"/>
      <c r="J1410" s="1000"/>
      <c r="K1410" s="1000"/>
      <c r="L1410" s="1001"/>
      <c r="M1410" s="25"/>
      <c r="N1410" s="3"/>
    </row>
    <row r="1411" spans="1:24" ht="30" customHeight="1" x14ac:dyDescent="0.45">
      <c r="A1411" s="9" t="s">
        <v>4</v>
      </c>
      <c r="B1411" s="10">
        <v>1797</v>
      </c>
      <c r="C1411" s="983" t="s">
        <v>1003</v>
      </c>
      <c r="D1411" s="984"/>
      <c r="E1411" s="13" t="s">
        <v>7</v>
      </c>
      <c r="F1411" s="14" t="s">
        <v>699</v>
      </c>
      <c r="G1411" s="15" t="s">
        <v>1004</v>
      </c>
      <c r="H1411" s="370">
        <v>1</v>
      </c>
      <c r="I1411" s="13" t="s">
        <v>9</v>
      </c>
      <c r="J1411" s="1355" t="s">
        <v>701</v>
      </c>
      <c r="K1411" s="1355"/>
      <c r="L1411" s="1356"/>
      <c r="M1411" s="25"/>
      <c r="N1411" s="26"/>
      <c r="O1411" s="2"/>
      <c r="P1411" s="27"/>
      <c r="Q1411" s="26"/>
      <c r="R1411" s="28"/>
    </row>
    <row r="1412" spans="1:24" ht="30" customHeight="1" x14ac:dyDescent="0.45">
      <c r="A1412" s="19" t="s">
        <v>702</v>
      </c>
      <c r="B1412" s="987" t="s">
        <v>293</v>
      </c>
      <c r="C1412" s="988"/>
      <c r="D1412" s="989"/>
      <c r="E1412" s="220" t="s">
        <v>13</v>
      </c>
      <c r="F1412" s="220" t="s">
        <v>14</v>
      </c>
      <c r="G1412" s="990" t="s">
        <v>15</v>
      </c>
      <c r="H1412" s="991"/>
      <c r="I1412" s="19" t="s">
        <v>278</v>
      </c>
      <c r="J1412" s="277" t="s">
        <v>285</v>
      </c>
      <c r="K1412" s="992" t="s">
        <v>17</v>
      </c>
      <c r="L1412" s="993"/>
      <c r="M1412" s="25"/>
      <c r="N1412" s="437"/>
      <c r="O1412" s="2"/>
      <c r="P1412" s="27"/>
      <c r="Q1412" s="26"/>
      <c r="R1412" s="28"/>
    </row>
    <row r="1413" spans="1:24" ht="30" customHeight="1" x14ac:dyDescent="0.45">
      <c r="A1413" s="47" t="s">
        <v>646</v>
      </c>
      <c r="B1413" s="1018" t="s">
        <v>1005</v>
      </c>
      <c r="C1413" s="1019"/>
      <c r="D1413" s="1020"/>
      <c r="E1413" s="334">
        <f>+P849</f>
        <v>11.775</v>
      </c>
      <c r="F1413" s="222" t="s">
        <v>35</v>
      </c>
      <c r="G1413" s="424">
        <v>104</v>
      </c>
      <c r="H1413" s="351" t="s">
        <v>704</v>
      </c>
      <c r="I1413" s="47">
        <f>+R849</f>
        <v>1.1100000000000001</v>
      </c>
      <c r="J1413" s="365">
        <f>+S849</f>
        <v>1.0095238095238095</v>
      </c>
      <c r="K1413" s="221">
        <f>+E1413*G1413*I1413*J1413</f>
        <v>1372.2517714285716</v>
      </c>
      <c r="L1413" s="47" t="s">
        <v>699</v>
      </c>
      <c r="M1413" s="25"/>
      <c r="N1413" s="26"/>
      <c r="O1413" s="2"/>
      <c r="P1413" s="27"/>
      <c r="Q1413" s="26"/>
      <c r="R1413" s="28"/>
    </row>
    <row r="1414" spans="1:24" ht="30" customHeight="1" x14ac:dyDescent="0.45">
      <c r="A1414" s="47" t="s">
        <v>646</v>
      </c>
      <c r="B1414" s="1018" t="s">
        <v>1006</v>
      </c>
      <c r="C1414" s="1019"/>
      <c r="D1414" s="1020"/>
      <c r="E1414" s="334">
        <f>+P849</f>
        <v>11.775</v>
      </c>
      <c r="F1414" s="222" t="s">
        <v>35</v>
      </c>
      <c r="G1414" s="424">
        <f>2*144</f>
        <v>288</v>
      </c>
      <c r="H1414" s="351" t="s">
        <v>704</v>
      </c>
      <c r="I1414" s="47">
        <f>+R849</f>
        <v>1.1100000000000001</v>
      </c>
      <c r="J1414" s="365">
        <f>+S849</f>
        <v>1.0095238095238095</v>
      </c>
      <c r="K1414" s="221">
        <f>+E1414*G1414*I1414*J1414</f>
        <v>3800.081828571429</v>
      </c>
      <c r="L1414" s="47" t="s">
        <v>699</v>
      </c>
      <c r="M1414" s="25"/>
      <c r="N1414" s="26"/>
      <c r="O1414" s="2"/>
      <c r="P1414" s="27"/>
      <c r="Q1414" s="26"/>
      <c r="R1414" s="28"/>
    </row>
    <row r="1415" spans="1:24" ht="30" customHeight="1" x14ac:dyDescent="0.45">
      <c r="A1415" s="47">
        <v>93410</v>
      </c>
      <c r="B1415" s="1018" t="s">
        <v>1007</v>
      </c>
      <c r="C1415" s="1019"/>
      <c r="D1415" s="1020"/>
      <c r="E1415" s="383">
        <f>+P867</f>
        <v>11.04</v>
      </c>
      <c r="F1415" s="222" t="s">
        <v>29</v>
      </c>
      <c r="G1415" s="465">
        <f>2.6*4</f>
        <v>10.4</v>
      </c>
      <c r="H1415" s="351" t="s">
        <v>710</v>
      </c>
      <c r="I1415" s="447">
        <f>+R867</f>
        <v>0.93771935922451721</v>
      </c>
      <c r="J1415" s="47"/>
      <c r="K1415" s="221">
        <f>+E1415*G1415*I1415</f>
        <v>107.66518594872215</v>
      </c>
      <c r="L1415" s="47" t="s">
        <v>699</v>
      </c>
      <c r="M1415" s="25"/>
      <c r="N1415" s="26"/>
      <c r="O1415" s="2"/>
      <c r="P1415" s="27"/>
      <c r="Q1415" s="26"/>
      <c r="R1415" s="28"/>
    </row>
    <row r="1416" spans="1:24" ht="30" customHeight="1" x14ac:dyDescent="0.45">
      <c r="A1416" s="47">
        <v>93410</v>
      </c>
      <c r="B1416" s="1018" t="s">
        <v>1008</v>
      </c>
      <c r="C1416" s="1019"/>
      <c r="D1416" s="1020"/>
      <c r="E1416" s="383">
        <f>+P867</f>
        <v>11.04</v>
      </c>
      <c r="F1416" s="222" t="s">
        <v>29</v>
      </c>
      <c r="G1416" s="424">
        <v>26</v>
      </c>
      <c r="H1416" s="351" t="s">
        <v>710</v>
      </c>
      <c r="I1416" s="447">
        <f>+R867</f>
        <v>0.93771935922451721</v>
      </c>
      <c r="J1416" s="47"/>
      <c r="K1416" s="221">
        <f>+E1416*G1416*I1416</f>
        <v>269.1629648718054</v>
      </c>
      <c r="L1416" s="47" t="s">
        <v>699</v>
      </c>
      <c r="M1416" s="25"/>
      <c r="N1416" s="26"/>
      <c r="O1416" s="2"/>
      <c r="P1416" s="27"/>
      <c r="Q1416" s="26"/>
      <c r="R1416" s="28"/>
    </row>
    <row r="1417" spans="1:24" ht="30" customHeight="1" x14ac:dyDescent="0.45">
      <c r="A1417" s="47">
        <v>93210</v>
      </c>
      <c r="B1417" s="1018" t="s">
        <v>1009</v>
      </c>
      <c r="C1417" s="1019"/>
      <c r="D1417" s="1020"/>
      <c r="E1417" s="383">
        <f>+P869</f>
        <v>89.16</v>
      </c>
      <c r="F1417" s="222" t="s">
        <v>29</v>
      </c>
      <c r="G1417" s="424">
        <v>26</v>
      </c>
      <c r="H1417" s="351" t="s">
        <v>710</v>
      </c>
      <c r="I1417" s="447">
        <f>+R869</f>
        <v>0.93771935922451721</v>
      </c>
      <c r="J1417" s="47"/>
      <c r="K1417" s="221">
        <f>+E1417*G1417*I1417</f>
        <v>2173.7835097799066</v>
      </c>
      <c r="L1417" s="47" t="s">
        <v>699</v>
      </c>
      <c r="M1417" s="25"/>
      <c r="N1417" s="26"/>
      <c r="O1417" s="2"/>
      <c r="P1417" s="27"/>
      <c r="Q1417" s="26"/>
      <c r="R1417" s="28"/>
    </row>
    <row r="1418" spans="1:24" ht="30" customHeight="1" x14ac:dyDescent="0.45">
      <c r="A1418" s="977" t="s">
        <v>712</v>
      </c>
      <c r="B1418" s="978"/>
      <c r="C1418" s="978"/>
      <c r="D1418" s="979"/>
      <c r="E1418" s="221"/>
      <c r="F1418" s="47"/>
      <c r="G1418" s="58"/>
      <c r="H1418" s="179"/>
      <c r="I1418" s="47"/>
      <c r="J1418" s="47" t="s">
        <v>360</v>
      </c>
      <c r="K1418" s="221">
        <f>SUM(K1413:K1417)</f>
        <v>7722.9452606004343</v>
      </c>
      <c r="L1418" s="47" t="s">
        <v>699</v>
      </c>
      <c r="M1418" s="25"/>
      <c r="N1418" s="26"/>
      <c r="O1418" s="2"/>
      <c r="P1418" s="27"/>
      <c r="Q1418" s="26"/>
      <c r="R1418" s="28"/>
    </row>
    <row r="1419" spans="1:24" ht="30" customHeight="1" thickBot="1" x14ac:dyDescent="0.5">
      <c r="A1419" s="1352"/>
      <c r="B1419" s="1353"/>
      <c r="C1419" s="1353"/>
      <c r="D1419" s="1354"/>
      <c r="E1419" s="58"/>
      <c r="F1419" s="58"/>
      <c r="G1419" s="1032" t="s">
        <v>288</v>
      </c>
      <c r="H1419" s="1033"/>
      <c r="I1419" s="1034"/>
      <c r="J1419" s="213">
        <f>VLOOKUP(B1411,'[1]Mil Cost Premiums for PUCs'!$A$4:$R$278,18,FALSE)</f>
        <v>1.0485669999999998</v>
      </c>
      <c r="K1419" s="216">
        <f>+K1418*J1419</f>
        <v>8098.0255430720144</v>
      </c>
      <c r="L1419" s="47" t="s">
        <v>699</v>
      </c>
      <c r="M1419" s="25"/>
      <c r="N1419" s="26"/>
      <c r="O1419" s="2"/>
      <c r="P1419" s="27"/>
      <c r="Q1419" s="26"/>
      <c r="R1419" s="28"/>
    </row>
    <row r="1420" spans="1:24" ht="30" customHeight="1" thickBot="1" x14ac:dyDescent="0.5">
      <c r="A1420" s="999"/>
      <c r="B1420" s="1000"/>
      <c r="C1420" s="1000"/>
      <c r="D1420" s="1000"/>
      <c r="E1420" s="1000"/>
      <c r="F1420" s="1000"/>
      <c r="G1420" s="1000"/>
      <c r="H1420" s="1000"/>
      <c r="I1420" s="1000"/>
      <c r="J1420" s="1000"/>
      <c r="K1420" s="1000"/>
      <c r="L1420" s="1001"/>
      <c r="M1420" s="25"/>
      <c r="N1420" s="26"/>
      <c r="O1420" s="2"/>
      <c r="P1420" s="27"/>
      <c r="Q1420" s="26"/>
      <c r="R1420" s="28"/>
    </row>
    <row r="1421" spans="1:24" ht="30" customHeight="1" x14ac:dyDescent="0.45">
      <c r="A1421" s="9" t="s">
        <v>4</v>
      </c>
      <c r="B1421" s="10">
        <v>1798</v>
      </c>
      <c r="C1421" s="983" t="s">
        <v>1010</v>
      </c>
      <c r="D1421" s="984"/>
      <c r="E1421" s="13" t="s">
        <v>7</v>
      </c>
      <c r="F1421" s="14" t="s">
        <v>88</v>
      </c>
      <c r="G1421" s="15" t="s">
        <v>1011</v>
      </c>
      <c r="H1421" s="370">
        <v>1</v>
      </c>
      <c r="I1421" s="13" t="s">
        <v>9</v>
      </c>
      <c r="J1421" s="1355" t="s">
        <v>701</v>
      </c>
      <c r="K1421" s="1355"/>
      <c r="L1421" s="1356"/>
      <c r="M1421" s="25"/>
      <c r="N1421" s="26"/>
      <c r="O1421" s="2"/>
      <c r="P1421" s="27"/>
      <c r="Q1421" s="26"/>
      <c r="R1421" s="28"/>
    </row>
    <row r="1422" spans="1:24" ht="30" customHeight="1" x14ac:dyDescent="0.45">
      <c r="A1422" s="19" t="s">
        <v>702</v>
      </c>
      <c r="B1422" s="987" t="s">
        <v>293</v>
      </c>
      <c r="C1422" s="988"/>
      <c r="D1422" s="989"/>
      <c r="E1422" s="220" t="s">
        <v>13</v>
      </c>
      <c r="F1422" s="220" t="s">
        <v>14</v>
      </c>
      <c r="G1422" s="990" t="s">
        <v>15</v>
      </c>
      <c r="H1422" s="991"/>
      <c r="I1422" s="19" t="s">
        <v>278</v>
      </c>
      <c r="J1422" s="277" t="s">
        <v>285</v>
      </c>
      <c r="K1422" s="992" t="s">
        <v>17</v>
      </c>
      <c r="L1422" s="993"/>
      <c r="M1422" s="25"/>
      <c r="N1422" s="26"/>
      <c r="O1422" s="2"/>
      <c r="P1422" s="27"/>
      <c r="Q1422" s="26"/>
      <c r="R1422" s="28"/>
    </row>
    <row r="1423" spans="1:24" ht="30" customHeight="1" x14ac:dyDescent="0.45">
      <c r="A1423" s="47" t="s">
        <v>646</v>
      </c>
      <c r="B1423" s="1018" t="s">
        <v>1012</v>
      </c>
      <c r="C1423" s="1019"/>
      <c r="D1423" s="1020"/>
      <c r="E1423" s="383">
        <f>+P850</f>
        <v>14.375</v>
      </c>
      <c r="F1423" s="47" t="s">
        <v>35</v>
      </c>
      <c r="G1423" s="424">
        <f>(720*10.7639)</f>
        <v>7750.0079999999998</v>
      </c>
      <c r="H1423" s="351" t="s">
        <v>806</v>
      </c>
      <c r="I1423" s="47">
        <f>+R850</f>
        <v>1.1100000000000001</v>
      </c>
      <c r="J1423" s="365">
        <f>+S850</f>
        <v>1.0095238095238095</v>
      </c>
      <c r="K1423" s="221">
        <f>+E1423*G1423*I1423*J1423</f>
        <v>124838.78958</v>
      </c>
      <c r="L1423" s="47" t="s">
        <v>88</v>
      </c>
      <c r="M1423" s="25"/>
      <c r="N1423" s="26"/>
      <c r="O1423" s="2"/>
      <c r="P1423" s="27"/>
      <c r="Q1423" s="26"/>
      <c r="R1423" s="28"/>
    </row>
    <row r="1424" spans="1:24" ht="30" customHeight="1" x14ac:dyDescent="0.45">
      <c r="A1424" s="47" t="s">
        <v>646</v>
      </c>
      <c r="B1424" s="1018" t="s">
        <v>1013</v>
      </c>
      <c r="C1424" s="1019"/>
      <c r="D1424" s="1020"/>
      <c r="E1424" s="334">
        <f>+P849</f>
        <v>11.775</v>
      </c>
      <c r="F1424" s="222" t="s">
        <v>35</v>
      </c>
      <c r="G1424" s="424">
        <f>3*144</f>
        <v>432</v>
      </c>
      <c r="H1424" s="351" t="s">
        <v>806</v>
      </c>
      <c r="I1424" s="47">
        <f>+R849</f>
        <v>1.1100000000000001</v>
      </c>
      <c r="J1424" s="365">
        <f>+S849</f>
        <v>1.0095238095238095</v>
      </c>
      <c r="K1424" s="221">
        <f>+E1424*G1424*I1424*J1424</f>
        <v>5700.1227428571437</v>
      </c>
      <c r="L1424" s="47" t="s">
        <v>88</v>
      </c>
      <c r="M1424" s="25"/>
      <c r="N1424" s="26"/>
      <c r="O1424" s="2"/>
      <c r="P1424" s="27"/>
      <c r="Q1424" s="26"/>
      <c r="R1424" s="28"/>
    </row>
    <row r="1425" spans="1:24" ht="30" customHeight="1" x14ac:dyDescent="0.45">
      <c r="A1425" s="47">
        <v>93410</v>
      </c>
      <c r="B1425" s="1018" t="s">
        <v>1014</v>
      </c>
      <c r="C1425" s="1019"/>
      <c r="D1425" s="1020"/>
      <c r="E1425" s="383">
        <f>+P867</f>
        <v>11.04</v>
      </c>
      <c r="F1425" s="222" t="s">
        <v>29</v>
      </c>
      <c r="G1425" s="424">
        <v>1883</v>
      </c>
      <c r="H1425" s="351" t="s">
        <v>814</v>
      </c>
      <c r="I1425" s="447">
        <f>+R867</f>
        <v>0.93771935922451721</v>
      </c>
      <c r="J1425" s="47"/>
      <c r="K1425" s="221">
        <f>+E1425*G1425*I1425</f>
        <v>19493.610109754216</v>
      </c>
      <c r="L1425" s="47" t="s">
        <v>88</v>
      </c>
      <c r="M1425" s="25"/>
      <c r="N1425" s="26"/>
      <c r="O1425" s="2"/>
      <c r="P1425" s="27"/>
      <c r="Q1425" s="26"/>
      <c r="R1425" s="28"/>
    </row>
    <row r="1426" spans="1:24" ht="30" customHeight="1" x14ac:dyDescent="0.45">
      <c r="A1426" s="47">
        <v>93210</v>
      </c>
      <c r="B1426" s="1018" t="s">
        <v>1015</v>
      </c>
      <c r="C1426" s="1019"/>
      <c r="D1426" s="1020"/>
      <c r="E1426" s="383">
        <f>+P869</f>
        <v>89.16</v>
      </c>
      <c r="F1426" s="222" t="s">
        <v>29</v>
      </c>
      <c r="G1426" s="424">
        <v>205</v>
      </c>
      <c r="H1426" s="351" t="s">
        <v>814</v>
      </c>
      <c r="I1426" s="447">
        <f>+R869</f>
        <v>0.93771935922451721</v>
      </c>
      <c r="J1426" s="47"/>
      <c r="K1426" s="221">
        <f>+E1426*G1426*I1426</f>
        <v>17139.446904033881</v>
      </c>
      <c r="L1426" s="47" t="s">
        <v>88</v>
      </c>
      <c r="M1426" s="25"/>
      <c r="N1426" s="26"/>
      <c r="O1426" s="2"/>
      <c r="P1426" s="27"/>
      <c r="Q1426" s="26"/>
      <c r="R1426" s="28"/>
    </row>
    <row r="1427" spans="1:24" ht="30" customHeight="1" x14ac:dyDescent="0.45">
      <c r="A1427" s="977" t="s">
        <v>712</v>
      </c>
      <c r="B1427" s="978"/>
      <c r="C1427" s="978"/>
      <c r="D1427" s="979"/>
      <c r="E1427" s="221"/>
      <c r="F1427" s="47"/>
      <c r="G1427" s="58"/>
      <c r="H1427" s="179"/>
      <c r="I1427" s="47"/>
      <c r="J1427" s="47" t="s">
        <v>360</v>
      </c>
      <c r="K1427" s="221">
        <f>SUM(K1423:K1426)</f>
        <v>167171.96933664524</v>
      </c>
      <c r="L1427" s="47" t="s">
        <v>88</v>
      </c>
      <c r="M1427" s="121"/>
      <c r="S1427" s="41"/>
      <c r="T1427" s="41"/>
    </row>
    <row r="1428" spans="1:24" ht="30" customHeight="1" thickBot="1" x14ac:dyDescent="0.5">
      <c r="A1428" s="1352"/>
      <c r="B1428" s="1353"/>
      <c r="C1428" s="1353"/>
      <c r="D1428" s="1354"/>
      <c r="E1428" s="58"/>
      <c r="F1428" s="58"/>
      <c r="G1428" s="1032" t="s">
        <v>288</v>
      </c>
      <c r="H1428" s="1033"/>
      <c r="I1428" s="1034"/>
      <c r="J1428" s="213">
        <f>VLOOKUP(B1421,'[1]Mil Cost Premiums for PUCs'!$A$4:$R$278,18,FALSE)</f>
        <v>1.0485669999999998</v>
      </c>
      <c r="K1428" s="216">
        <f>+K1427*J1428</f>
        <v>175291.01037141806</v>
      </c>
      <c r="L1428" s="47" t="s">
        <v>88</v>
      </c>
      <c r="M1428" s="25"/>
      <c r="S1428" s="41"/>
      <c r="T1428" s="41"/>
    </row>
    <row r="1429" spans="1:24" ht="30" customHeight="1" thickBot="1" x14ac:dyDescent="0.5">
      <c r="A1429" s="999"/>
      <c r="B1429" s="1000"/>
      <c r="C1429" s="1000"/>
      <c r="D1429" s="1000"/>
      <c r="E1429" s="1000"/>
      <c r="F1429" s="1000"/>
      <c r="G1429" s="1000"/>
      <c r="H1429" s="1000"/>
      <c r="I1429" s="1000"/>
      <c r="J1429" s="1000"/>
      <c r="K1429" s="1000"/>
      <c r="L1429" s="1001"/>
      <c r="M1429" s="25"/>
      <c r="N1429" s="229"/>
      <c r="O1429" s="5"/>
      <c r="P1429" s="18"/>
      <c r="Q1429" s="18"/>
      <c r="R1429" s="18"/>
      <c r="S1429" s="18"/>
      <c r="T1429" s="18"/>
      <c r="U1429" s="18"/>
      <c r="V1429" s="18"/>
      <c r="W1429" s="18"/>
      <c r="X1429" s="18"/>
    </row>
    <row r="1430" spans="1:24" s="18" customFormat="1" ht="30" customHeight="1" x14ac:dyDescent="0.45">
      <c r="A1430" s="9" t="s">
        <v>4</v>
      </c>
      <c r="B1430" s="10">
        <v>1799</v>
      </c>
      <c r="C1430" s="1138" t="s">
        <v>1016</v>
      </c>
      <c r="D1430" s="1139"/>
      <c r="E1430" s="13" t="s">
        <v>7</v>
      </c>
      <c r="F1430" s="14" t="s">
        <v>88</v>
      </c>
      <c r="G1430" s="161" t="s">
        <v>148</v>
      </c>
      <c r="H1430" s="370">
        <v>1</v>
      </c>
      <c r="I1430" s="13" t="s">
        <v>1017</v>
      </c>
      <c r="J1430" s="985" t="s">
        <v>292</v>
      </c>
      <c r="K1430" s="985"/>
      <c r="L1430" s="986"/>
      <c r="M1430" s="25"/>
      <c r="N1430" s="2"/>
      <c r="O1430" s="3"/>
      <c r="P1430" s="2"/>
      <c r="Q1430" s="2"/>
      <c r="R1430" s="2"/>
      <c r="S1430" s="2"/>
      <c r="T1430" s="2"/>
      <c r="U1430" s="2"/>
      <c r="V1430" s="2"/>
      <c r="W1430" s="2"/>
      <c r="X1430" s="2"/>
    </row>
    <row r="1431" spans="1:24" ht="30" customHeight="1" x14ac:dyDescent="0.45">
      <c r="A1431" s="19" t="s">
        <v>702</v>
      </c>
      <c r="B1431" s="1152" t="s">
        <v>1018</v>
      </c>
      <c r="C1431" s="1351"/>
      <c r="D1431" s="1153"/>
      <c r="E1431" s="220" t="s">
        <v>13</v>
      </c>
      <c r="F1431" s="220" t="s">
        <v>14</v>
      </c>
      <c r="G1431" s="990" t="s">
        <v>15</v>
      </c>
      <c r="H1431" s="991"/>
      <c r="I1431" s="19" t="s">
        <v>278</v>
      </c>
      <c r="J1431" s="19"/>
      <c r="K1431" s="85" t="s">
        <v>1019</v>
      </c>
      <c r="L1431" s="85"/>
      <c r="M1431" s="25"/>
      <c r="N1431" s="3"/>
    </row>
    <row r="1432" spans="1:24" ht="30" customHeight="1" x14ac:dyDescent="0.45">
      <c r="A1432" s="47" t="s">
        <v>486</v>
      </c>
      <c r="B1432" s="1142" t="s">
        <v>1020</v>
      </c>
      <c r="C1432" s="1117"/>
      <c r="D1432" s="1118"/>
      <c r="E1432" s="334">
        <v>7.05</v>
      </c>
      <c r="F1432" s="222" t="s">
        <v>29</v>
      </c>
      <c r="G1432" s="424">
        <v>2040</v>
      </c>
      <c r="H1432" s="351" t="s">
        <v>1021</v>
      </c>
      <c r="I1432" s="410">
        <v>1.1200000000000001</v>
      </c>
      <c r="J1432" s="47"/>
      <c r="K1432" s="221">
        <f t="shared" ref="K1432:K1437" si="40">+E1432*G1432*I1432</f>
        <v>16107.840000000002</v>
      </c>
      <c r="L1432" s="47" t="s">
        <v>88</v>
      </c>
      <c r="M1432" s="25"/>
      <c r="N1432" s="229"/>
      <c r="O1432" s="5"/>
      <c r="P1432" s="18"/>
      <c r="Q1432" s="18"/>
      <c r="R1432" s="18"/>
      <c r="S1432" s="18"/>
      <c r="T1432" s="18"/>
    </row>
    <row r="1433" spans="1:24" ht="30" customHeight="1" x14ac:dyDescent="0.45">
      <c r="A1433" s="47" t="s">
        <v>1022</v>
      </c>
      <c r="B1433" s="1018" t="s">
        <v>1023</v>
      </c>
      <c r="C1433" s="1019"/>
      <c r="D1433" s="1020"/>
      <c r="E1433" s="334">
        <v>0.28999999999999998</v>
      </c>
      <c r="F1433" s="222" t="s">
        <v>35</v>
      </c>
      <c r="G1433" s="424">
        <f>3060*9</f>
        <v>27540</v>
      </c>
      <c r="H1433" s="351" t="s">
        <v>988</v>
      </c>
      <c r="I1433" s="410">
        <v>1.23</v>
      </c>
      <c r="J1433" s="47"/>
      <c r="K1433" s="221">
        <f t="shared" si="40"/>
        <v>9823.518</v>
      </c>
      <c r="L1433" s="47" t="s">
        <v>88</v>
      </c>
      <c r="M1433" s="25"/>
    </row>
    <row r="1434" spans="1:24" ht="30" customHeight="1" x14ac:dyDescent="0.45">
      <c r="A1434" s="47" t="s">
        <v>486</v>
      </c>
      <c r="B1434" s="1018" t="s">
        <v>1024</v>
      </c>
      <c r="C1434" s="1019"/>
      <c r="D1434" s="1020"/>
      <c r="E1434" s="334">
        <f>+(0.69+5.12)/2</f>
        <v>2.9050000000000002</v>
      </c>
      <c r="F1434" s="222" t="s">
        <v>8</v>
      </c>
      <c r="G1434" s="424">
        <v>3060</v>
      </c>
      <c r="H1434" s="351"/>
      <c r="I1434" s="410">
        <v>1.1200000000000001</v>
      </c>
      <c r="J1434" s="47"/>
      <c r="K1434" s="221">
        <f t="shared" si="40"/>
        <v>9956.0160000000014</v>
      </c>
      <c r="L1434" s="47" t="s">
        <v>88</v>
      </c>
      <c r="M1434" s="25"/>
      <c r="U1434" s="18"/>
      <c r="V1434" s="18"/>
      <c r="W1434" s="18"/>
      <c r="X1434" s="18"/>
    </row>
    <row r="1435" spans="1:24" s="18" customFormat="1" ht="30" customHeight="1" x14ac:dyDescent="0.45">
      <c r="A1435" s="47" t="s">
        <v>1022</v>
      </c>
      <c r="B1435" s="1111" t="s">
        <v>1025</v>
      </c>
      <c r="C1435" s="1112"/>
      <c r="D1435" s="1113"/>
      <c r="E1435" s="383">
        <v>0.45</v>
      </c>
      <c r="F1435" s="47" t="s">
        <v>35</v>
      </c>
      <c r="G1435" s="424">
        <f>3060*9</f>
        <v>27540</v>
      </c>
      <c r="H1435" s="351" t="s">
        <v>988</v>
      </c>
      <c r="I1435" s="365">
        <v>1.23</v>
      </c>
      <c r="J1435" s="47"/>
      <c r="K1435" s="221">
        <f t="shared" si="40"/>
        <v>15243.39</v>
      </c>
      <c r="L1435" s="47" t="s">
        <v>88</v>
      </c>
      <c r="M1435" s="25"/>
      <c r="N1435" s="2"/>
      <c r="O1435" s="3"/>
      <c r="P1435" s="2"/>
      <c r="Q1435" s="2"/>
      <c r="R1435" s="2"/>
      <c r="S1435" s="90"/>
      <c r="T1435" s="90"/>
      <c r="U1435" s="2"/>
      <c r="V1435" s="2"/>
      <c r="W1435" s="2"/>
      <c r="X1435" s="2"/>
    </row>
    <row r="1436" spans="1:24" ht="30" customHeight="1" x14ac:dyDescent="0.45">
      <c r="A1436" s="47" t="s">
        <v>1026</v>
      </c>
      <c r="B1436" s="1142" t="s">
        <v>1027</v>
      </c>
      <c r="C1436" s="1117"/>
      <c r="D1436" s="1118"/>
      <c r="E1436" s="383">
        <f>(24.15+36.25)/2</f>
        <v>30.2</v>
      </c>
      <c r="F1436" s="222" t="s">
        <v>113</v>
      </c>
      <c r="G1436" s="424">
        <f>18*4*20</f>
        <v>1440</v>
      </c>
      <c r="H1436" s="351" t="s">
        <v>113</v>
      </c>
      <c r="I1436" s="365">
        <v>1.1499999999999999</v>
      </c>
      <c r="J1436" s="47"/>
      <c r="K1436" s="221">
        <f t="shared" si="40"/>
        <v>50011.199999999997</v>
      </c>
      <c r="L1436" s="47" t="s">
        <v>88</v>
      </c>
      <c r="M1436" s="25"/>
      <c r="S1436" s="41"/>
      <c r="T1436" s="41"/>
    </row>
    <row r="1437" spans="1:24" ht="30" customHeight="1" x14ac:dyDescent="0.45">
      <c r="A1437" s="47" t="s">
        <v>1026</v>
      </c>
      <c r="B1437" s="1142" t="s">
        <v>1028</v>
      </c>
      <c r="C1437" s="1117"/>
      <c r="D1437" s="1118"/>
      <c r="E1437" s="383">
        <f>(5.05+5.75)/2</f>
        <v>5.4</v>
      </c>
      <c r="F1437" s="222" t="s">
        <v>113</v>
      </c>
      <c r="G1437" s="424">
        <f>18*14*10</f>
        <v>2520</v>
      </c>
      <c r="H1437" s="351" t="s">
        <v>113</v>
      </c>
      <c r="I1437" s="365">
        <v>1.1499999999999999</v>
      </c>
      <c r="J1437" s="47"/>
      <c r="K1437" s="221">
        <f t="shared" si="40"/>
        <v>15649.199999999999</v>
      </c>
      <c r="L1437" s="47" t="s">
        <v>88</v>
      </c>
      <c r="M1437" s="25"/>
      <c r="S1437" s="41"/>
      <c r="T1437" s="41"/>
    </row>
    <row r="1438" spans="1:24" ht="30" customHeight="1" x14ac:dyDescent="0.45">
      <c r="A1438" s="47"/>
      <c r="B1438" s="1092"/>
      <c r="C1438" s="1092"/>
      <c r="D1438" s="1092"/>
      <c r="E1438" s="221"/>
      <c r="F1438" s="47"/>
      <c r="G1438" s="500"/>
      <c r="H1438" s="179"/>
      <c r="I1438" s="47"/>
      <c r="J1438" s="47" t="s">
        <v>360</v>
      </c>
      <c r="K1438" s="221">
        <f>SUM(K1432:K1437)</f>
        <v>116791.164</v>
      </c>
      <c r="L1438" s="47" t="s">
        <v>88</v>
      </c>
      <c r="M1438" s="25"/>
      <c r="S1438" s="41"/>
      <c r="T1438" s="41"/>
    </row>
    <row r="1439" spans="1:24" ht="30" customHeight="1" x14ac:dyDescent="0.45">
      <c r="A1439" s="79"/>
      <c r="B1439" s="1092"/>
      <c r="C1439" s="1092"/>
      <c r="D1439" s="1092"/>
      <c r="E1439" s="221"/>
      <c r="F1439" s="1011" t="s">
        <v>285</v>
      </c>
      <c r="G1439" s="1013" t="s">
        <v>286</v>
      </c>
      <c r="H1439" s="1013"/>
      <c r="I1439" s="1013"/>
      <c r="J1439" s="1013"/>
      <c r="K1439" s="278">
        <v>1.06</v>
      </c>
      <c r="L1439" s="47"/>
      <c r="M1439" s="25"/>
      <c r="N1439" s="229"/>
      <c r="O1439" s="5"/>
      <c r="P1439" s="18"/>
      <c r="Q1439" s="18"/>
      <c r="R1439" s="18"/>
      <c r="S1439" s="18"/>
      <c r="T1439" s="18"/>
      <c r="U1439" s="18"/>
      <c r="V1439" s="18"/>
      <c r="W1439" s="18"/>
      <c r="X1439" s="18"/>
    </row>
    <row r="1440" spans="1:24" s="18" customFormat="1" ht="30" customHeight="1" x14ac:dyDescent="0.45">
      <c r="A1440" s="79"/>
      <c r="B1440" s="1092"/>
      <c r="C1440" s="1092"/>
      <c r="D1440" s="1092"/>
      <c r="E1440" s="221"/>
      <c r="F1440" s="1012"/>
      <c r="G1440" s="1014" t="s">
        <v>298</v>
      </c>
      <c r="H1440" s="1014"/>
      <c r="I1440" s="1014"/>
      <c r="J1440" s="1014"/>
      <c r="K1440" s="278">
        <v>1.06</v>
      </c>
      <c r="L1440" s="47"/>
      <c r="M1440" s="25"/>
      <c r="N1440" s="2"/>
      <c r="O1440" s="3"/>
      <c r="P1440" s="2"/>
      <c r="Q1440" s="2"/>
      <c r="R1440" s="2"/>
      <c r="S1440" s="2"/>
      <c r="T1440" s="2"/>
      <c r="U1440" s="2"/>
      <c r="V1440" s="2"/>
      <c r="W1440" s="2"/>
      <c r="X1440" s="2"/>
    </row>
    <row r="1441" spans="1:24" ht="30" customHeight="1" x14ac:dyDescent="0.45">
      <c r="A1441" s="1342" t="s">
        <v>1029</v>
      </c>
      <c r="B1441" s="1343"/>
      <c r="C1441" s="1343"/>
      <c r="D1441" s="1344"/>
      <c r="E1441" s="221"/>
      <c r="F1441" s="47"/>
      <c r="G1441" s="58"/>
      <c r="H1441" s="179"/>
      <c r="I1441" s="47"/>
      <c r="J1441" s="47" t="s">
        <v>39</v>
      </c>
      <c r="K1441" s="221">
        <f>+K1438*K1439/K1440</f>
        <v>116791.164</v>
      </c>
      <c r="L1441" s="47" t="s">
        <v>88</v>
      </c>
      <c r="M1441" s="25"/>
      <c r="N1441" s="3"/>
    </row>
    <row r="1442" spans="1:24" ht="30" customHeight="1" thickBot="1" x14ac:dyDescent="0.5">
      <c r="A1442" s="1345"/>
      <c r="B1442" s="1346"/>
      <c r="C1442" s="1346"/>
      <c r="D1442" s="1347"/>
      <c r="E1442" s="58"/>
      <c r="F1442" s="58"/>
      <c r="G1442" s="1021" t="s">
        <v>288</v>
      </c>
      <c r="H1442" s="1022"/>
      <c r="I1442" s="1023"/>
      <c r="J1442" s="213">
        <f>VLOOKUP(B1430,'[1]Mil Cost Premiums for PUCs'!$A$4:$R$278,18,FALSE)</f>
        <v>1.0485669999999998</v>
      </c>
      <c r="K1442" s="216">
        <f>+K1441*J1442</f>
        <v>122463.36046198798</v>
      </c>
      <c r="L1442" s="47" t="s">
        <v>88</v>
      </c>
      <c r="M1442" s="121"/>
      <c r="N1442" s="229"/>
      <c r="O1442" s="5"/>
      <c r="P1442" s="18"/>
      <c r="Q1442" s="18"/>
      <c r="R1442" s="18"/>
      <c r="S1442" s="18"/>
      <c r="T1442" s="18"/>
    </row>
    <row r="1443" spans="1:24" ht="30" customHeight="1" thickBot="1" x14ac:dyDescent="0.5">
      <c r="A1443" s="225"/>
      <c r="B1443" s="225"/>
      <c r="C1443" s="150"/>
      <c r="D1443" s="150"/>
      <c r="E1443" s="150"/>
      <c r="F1443" s="150"/>
      <c r="G1443" s="1025" t="s">
        <v>299</v>
      </c>
      <c r="H1443" s="1026"/>
      <c r="I1443" s="1027"/>
      <c r="J1443" s="226">
        <v>1.1214</v>
      </c>
      <c r="K1443" s="227">
        <f>+K1442*J1443</f>
        <v>137330.41242207331</v>
      </c>
      <c r="L1443" s="47" t="s">
        <v>88</v>
      </c>
      <c r="M1443" s="25"/>
    </row>
    <row r="1444" spans="1:24" ht="30" customHeight="1" thickBot="1" x14ac:dyDescent="0.5">
      <c r="A1444" s="1348"/>
      <c r="B1444" s="1349"/>
      <c r="C1444" s="1349"/>
      <c r="D1444" s="1349"/>
      <c r="E1444" s="1349"/>
      <c r="F1444" s="1349"/>
      <c r="G1444" s="1349"/>
      <c r="H1444" s="1349"/>
      <c r="I1444" s="1349"/>
      <c r="J1444" s="1349"/>
      <c r="K1444" s="1349"/>
      <c r="L1444" s="1350"/>
      <c r="M1444" s="25"/>
    </row>
    <row r="1445" spans="1:24" ht="30" customHeight="1" x14ac:dyDescent="0.45">
      <c r="A1445" s="9" t="s">
        <v>4</v>
      </c>
      <c r="B1445" s="10">
        <v>2111</v>
      </c>
      <c r="C1445" s="1138" t="s">
        <v>1030</v>
      </c>
      <c r="D1445" s="1139"/>
      <c r="E1445" s="13" t="s">
        <v>7</v>
      </c>
      <c r="F1445" s="14" t="s">
        <v>35</v>
      </c>
      <c r="G1445" s="11" t="s">
        <v>6</v>
      </c>
      <c r="H1445" s="273">
        <v>31477.411754708799</v>
      </c>
      <c r="I1445" s="13" t="s">
        <v>9</v>
      </c>
      <c r="J1445" s="985" t="s">
        <v>266</v>
      </c>
      <c r="K1445" s="985"/>
      <c r="L1445" s="986"/>
      <c r="M1445" s="25"/>
      <c r="U1445" s="18"/>
      <c r="V1445" s="18"/>
      <c r="W1445" s="18"/>
      <c r="X1445" s="18"/>
    </row>
    <row r="1446" spans="1:24" s="18" customFormat="1" ht="30" customHeight="1" x14ac:dyDescent="0.45">
      <c r="A1446" s="19" t="s">
        <v>11</v>
      </c>
      <c r="B1446" s="1005" t="s">
        <v>12</v>
      </c>
      <c r="C1446" s="1005"/>
      <c r="D1446" s="1005"/>
      <c r="E1446" s="132" t="s">
        <v>267</v>
      </c>
      <c r="F1446" s="20" t="s">
        <v>13</v>
      </c>
      <c r="G1446" s="19"/>
      <c r="H1446" s="19"/>
      <c r="I1446" s="1068" t="s">
        <v>60</v>
      </c>
      <c r="J1446" s="1069"/>
      <c r="K1446" s="992" t="s">
        <v>17</v>
      </c>
      <c r="L1446" s="993"/>
      <c r="M1446" s="25"/>
      <c r="N1446" s="2"/>
      <c r="O1446" s="3"/>
      <c r="P1446" s="2"/>
      <c r="Q1446" s="2"/>
      <c r="R1446" s="2"/>
      <c r="S1446" s="90"/>
      <c r="T1446" s="90"/>
      <c r="U1446" s="2"/>
      <c r="V1446" s="2"/>
      <c r="W1446" s="2"/>
      <c r="X1446" s="2"/>
    </row>
    <row r="1447" spans="1:24" ht="30" customHeight="1" x14ac:dyDescent="0.45">
      <c r="A1447" s="29" t="s">
        <v>268</v>
      </c>
      <c r="B1447" s="994" t="s">
        <v>1031</v>
      </c>
      <c r="C1447" s="994"/>
      <c r="D1447" s="994"/>
      <c r="E1447" s="176">
        <v>120000</v>
      </c>
      <c r="F1447" s="145">
        <v>482</v>
      </c>
      <c r="G1447" s="177"/>
      <c r="H1447" s="178"/>
      <c r="I1447" s="1119" t="str">
        <f>+$I$298</f>
        <v>NA;  GUCs are as of October 2022</v>
      </c>
      <c r="J1447" s="1120"/>
      <c r="K1447" s="145">
        <f>+F1447</f>
        <v>482</v>
      </c>
      <c r="L1447" s="29" t="s">
        <v>35</v>
      </c>
      <c r="M1447" s="25"/>
      <c r="S1447" s="41"/>
      <c r="T1447" s="41"/>
    </row>
    <row r="1448" spans="1:24" ht="30" customHeight="1" thickBot="1" x14ac:dyDescent="0.5">
      <c r="A1448" s="47"/>
      <c r="B1448" s="1092"/>
      <c r="C1448" s="1092"/>
      <c r="D1448" s="1092"/>
      <c r="E1448" s="180"/>
      <c r="F1448" s="181"/>
      <c r="G1448" s="181"/>
      <c r="H1448" s="182"/>
      <c r="I1448" s="58"/>
      <c r="J1448" s="85" t="s">
        <v>39</v>
      </c>
      <c r="K1448" s="216">
        <f>+K1447</f>
        <v>482</v>
      </c>
      <c r="L1448" s="47" t="s">
        <v>35</v>
      </c>
      <c r="M1448" s="25"/>
      <c r="N1448" s="229"/>
      <c r="O1448" s="5"/>
      <c r="P1448" s="18"/>
      <c r="Q1448" s="18"/>
      <c r="R1448" s="18"/>
      <c r="S1448" s="18"/>
      <c r="T1448" s="18"/>
    </row>
    <row r="1449" spans="1:24" ht="30" customHeight="1" thickBot="1" x14ac:dyDescent="0.5">
      <c r="A1449" s="999"/>
      <c r="B1449" s="1000"/>
      <c r="C1449" s="1000"/>
      <c r="D1449" s="1000"/>
      <c r="E1449" s="1000"/>
      <c r="F1449" s="1000"/>
      <c r="G1449" s="1000"/>
      <c r="H1449" s="1000"/>
      <c r="I1449" s="1000"/>
      <c r="J1449" s="1000"/>
      <c r="K1449" s="1000"/>
      <c r="L1449" s="1001"/>
      <c r="M1449" s="25"/>
    </row>
    <row r="1450" spans="1:24" ht="30" customHeight="1" x14ac:dyDescent="0.45">
      <c r="A1450" s="9" t="s">
        <v>4</v>
      </c>
      <c r="B1450" s="10">
        <v>2112</v>
      </c>
      <c r="C1450" s="983" t="s">
        <v>1032</v>
      </c>
      <c r="D1450" s="984"/>
      <c r="E1450" s="13" t="s">
        <v>7</v>
      </c>
      <c r="F1450" s="14" t="s">
        <v>35</v>
      </c>
      <c r="G1450" s="11" t="s">
        <v>6</v>
      </c>
      <c r="H1450" s="273">
        <v>10574.717871396801</v>
      </c>
      <c r="I1450" s="13" t="s">
        <v>9</v>
      </c>
      <c r="J1450" s="985" t="s">
        <v>266</v>
      </c>
      <c r="K1450" s="985"/>
      <c r="L1450" s="986"/>
      <c r="M1450" s="25"/>
      <c r="U1450" s="18"/>
      <c r="V1450" s="18"/>
      <c r="W1450" s="18"/>
      <c r="X1450" s="18"/>
    </row>
    <row r="1451" spans="1:24" s="18" customFormat="1" ht="30" customHeight="1" x14ac:dyDescent="0.45">
      <c r="A1451" s="19" t="s">
        <v>11</v>
      </c>
      <c r="B1451" s="1005" t="s">
        <v>12</v>
      </c>
      <c r="C1451" s="1005"/>
      <c r="D1451" s="1005"/>
      <c r="E1451" s="132" t="s">
        <v>267</v>
      </c>
      <c r="F1451" s="20" t="s">
        <v>13</v>
      </c>
      <c r="G1451" s="19"/>
      <c r="H1451" s="19"/>
      <c r="I1451" s="1068" t="s">
        <v>60</v>
      </c>
      <c r="J1451" s="1069"/>
      <c r="K1451" s="992" t="s">
        <v>17</v>
      </c>
      <c r="L1451" s="993"/>
      <c r="M1451" s="25"/>
      <c r="N1451" s="2"/>
      <c r="O1451" s="3"/>
      <c r="P1451" s="2"/>
      <c r="Q1451" s="2"/>
      <c r="R1451" s="2"/>
      <c r="S1451" s="90"/>
      <c r="T1451" s="90"/>
      <c r="U1451" s="2"/>
      <c r="V1451" s="2"/>
      <c r="W1451" s="2"/>
      <c r="X1451" s="2"/>
    </row>
    <row r="1452" spans="1:24" ht="30" customHeight="1" x14ac:dyDescent="0.45">
      <c r="A1452" s="29" t="s">
        <v>268</v>
      </c>
      <c r="B1452" s="994" t="s">
        <v>1032</v>
      </c>
      <c r="C1452" s="994"/>
      <c r="D1452" s="994"/>
      <c r="E1452" s="176">
        <v>98000</v>
      </c>
      <c r="F1452" s="145">
        <v>474</v>
      </c>
      <c r="G1452" s="177"/>
      <c r="H1452" s="178"/>
      <c r="I1452" s="1119" t="str">
        <f>+$I$298</f>
        <v>NA;  GUCs are as of October 2022</v>
      </c>
      <c r="J1452" s="1120"/>
      <c r="K1452" s="145">
        <f>+F1452</f>
        <v>474</v>
      </c>
      <c r="L1452" s="29" t="s">
        <v>35</v>
      </c>
      <c r="M1452" s="25"/>
      <c r="S1452" s="41"/>
      <c r="T1452" s="41"/>
    </row>
    <row r="1453" spans="1:24" ht="30" customHeight="1" thickBot="1" x14ac:dyDescent="0.5">
      <c r="A1453" s="47"/>
      <c r="B1453" s="1092"/>
      <c r="C1453" s="1092"/>
      <c r="D1453" s="1092"/>
      <c r="E1453" s="180"/>
      <c r="F1453" s="181"/>
      <c r="G1453" s="181"/>
      <c r="H1453" s="182"/>
      <c r="I1453" s="58"/>
      <c r="J1453" s="85" t="s">
        <v>39</v>
      </c>
      <c r="K1453" s="216">
        <f>+K1452</f>
        <v>474</v>
      </c>
      <c r="L1453" s="47" t="s">
        <v>35</v>
      </c>
      <c r="M1453" s="25"/>
      <c r="N1453" s="229"/>
      <c r="O1453" s="5"/>
      <c r="P1453" s="18"/>
      <c r="Q1453" s="18"/>
      <c r="R1453" s="18"/>
      <c r="S1453" s="18"/>
      <c r="T1453" s="18"/>
    </row>
    <row r="1454" spans="1:24" ht="30" customHeight="1" thickBot="1" x14ac:dyDescent="0.5">
      <c r="A1454" s="999"/>
      <c r="B1454" s="1000"/>
      <c r="C1454" s="1000"/>
      <c r="D1454" s="1000"/>
      <c r="E1454" s="1000"/>
      <c r="F1454" s="1000"/>
      <c r="G1454" s="1000"/>
      <c r="H1454" s="1000"/>
      <c r="I1454" s="1000"/>
      <c r="J1454" s="1000"/>
      <c r="K1454" s="1000"/>
      <c r="L1454" s="1001"/>
      <c r="M1454" s="25"/>
    </row>
    <row r="1455" spans="1:24" ht="30" customHeight="1" x14ac:dyDescent="0.45">
      <c r="A1455" s="9" t="s">
        <v>4</v>
      </c>
      <c r="B1455" s="10">
        <v>2113</v>
      </c>
      <c r="C1455" s="1138" t="s">
        <v>1033</v>
      </c>
      <c r="D1455" s="1139"/>
      <c r="E1455" s="13" t="s">
        <v>7</v>
      </c>
      <c r="F1455" s="14" t="s">
        <v>35</v>
      </c>
      <c r="G1455" s="11" t="s">
        <v>6</v>
      </c>
      <c r="H1455" s="273">
        <v>16313.747300000001</v>
      </c>
      <c r="I1455" s="13" t="s">
        <v>9</v>
      </c>
      <c r="J1455" s="985" t="s">
        <v>266</v>
      </c>
      <c r="K1455" s="985"/>
      <c r="L1455" s="986"/>
      <c r="M1455" s="25"/>
      <c r="U1455" s="18"/>
      <c r="V1455" s="18"/>
      <c r="W1455" s="18"/>
      <c r="X1455" s="18"/>
    </row>
    <row r="1456" spans="1:24" ht="30" customHeight="1" x14ac:dyDescent="0.45">
      <c r="A1456" s="19" t="s">
        <v>11</v>
      </c>
      <c r="B1456" s="1005" t="s">
        <v>12</v>
      </c>
      <c r="C1456" s="1005"/>
      <c r="D1456" s="1005"/>
      <c r="E1456" s="132" t="s">
        <v>267</v>
      </c>
      <c r="F1456" s="20" t="s">
        <v>13</v>
      </c>
      <c r="G1456" s="19"/>
      <c r="H1456" s="19"/>
      <c r="I1456" s="1068" t="s">
        <v>16</v>
      </c>
      <c r="J1456" s="1069"/>
      <c r="K1456" s="992" t="s">
        <v>17</v>
      </c>
      <c r="L1456" s="993"/>
      <c r="M1456" s="25"/>
      <c r="S1456" s="90"/>
    </row>
    <row r="1457" spans="1:18" ht="30" customHeight="1" x14ac:dyDescent="0.45">
      <c r="A1457" s="29" t="s">
        <v>268</v>
      </c>
      <c r="B1457" s="994" t="s">
        <v>1034</v>
      </c>
      <c r="C1457" s="994"/>
      <c r="D1457" s="994"/>
      <c r="E1457" s="176">
        <v>59000</v>
      </c>
      <c r="F1457" s="145">
        <v>989</v>
      </c>
      <c r="G1457" s="177"/>
      <c r="H1457" s="178"/>
      <c r="I1457" s="1119" t="str">
        <f>+$I$298</f>
        <v>NA;  GUCs are as of October 2022</v>
      </c>
      <c r="J1457" s="1120"/>
      <c r="K1457" s="145">
        <f>+F1457</f>
        <v>989</v>
      </c>
      <c r="L1457" s="29" t="s">
        <v>35</v>
      </c>
      <c r="M1457" s="25"/>
      <c r="N1457" s="26"/>
      <c r="O1457" s="2"/>
      <c r="P1457" s="27"/>
      <c r="Q1457" s="26"/>
      <c r="R1457" s="28"/>
    </row>
    <row r="1458" spans="1:18" ht="30" customHeight="1" thickBot="1" x14ac:dyDescent="0.5">
      <c r="A1458" s="47"/>
      <c r="B1458" s="1092"/>
      <c r="C1458" s="1092"/>
      <c r="D1458" s="1092"/>
      <c r="E1458" s="180"/>
      <c r="F1458" s="181"/>
      <c r="G1458" s="181"/>
      <c r="H1458" s="182"/>
      <c r="I1458" s="58"/>
      <c r="J1458" s="85" t="s">
        <v>39</v>
      </c>
      <c r="K1458" s="216">
        <f>+K1457</f>
        <v>989</v>
      </c>
      <c r="L1458" s="47" t="s">
        <v>35</v>
      </c>
      <c r="M1458" s="25"/>
      <c r="N1458" s="26"/>
      <c r="O1458" s="2"/>
      <c r="P1458" s="27"/>
      <c r="Q1458" s="26"/>
      <c r="R1458" s="28"/>
    </row>
    <row r="1459" spans="1:18" ht="30" customHeight="1" thickBot="1" x14ac:dyDescent="0.5">
      <c r="A1459" s="6"/>
      <c r="B1459" s="7"/>
      <c r="C1459" s="7"/>
      <c r="D1459" s="7"/>
      <c r="E1459" s="7"/>
      <c r="F1459" s="7"/>
      <c r="G1459" s="7"/>
      <c r="H1459" s="7"/>
      <c r="I1459" s="7"/>
      <c r="J1459" s="7"/>
      <c r="K1459" s="7"/>
      <c r="L1459" s="8"/>
      <c r="M1459" s="25"/>
      <c r="N1459" s="26"/>
      <c r="O1459" s="2"/>
      <c r="P1459" s="27"/>
      <c r="Q1459" s="26"/>
      <c r="R1459" s="28"/>
    </row>
    <row r="1460" spans="1:18" ht="30" customHeight="1" x14ac:dyDescent="0.45">
      <c r="A1460" s="9" t="s">
        <v>4</v>
      </c>
      <c r="B1460" s="10">
        <v>2114</v>
      </c>
      <c r="C1460" s="1138" t="s">
        <v>1035</v>
      </c>
      <c r="D1460" s="1139"/>
      <c r="E1460" s="13" t="s">
        <v>7</v>
      </c>
      <c r="F1460" s="14" t="s">
        <v>35</v>
      </c>
      <c r="G1460" s="11" t="s">
        <v>6</v>
      </c>
      <c r="H1460" s="163">
        <v>8776</v>
      </c>
      <c r="I1460" s="13" t="s">
        <v>9</v>
      </c>
      <c r="J1460" s="985" t="s">
        <v>1036</v>
      </c>
      <c r="K1460" s="985"/>
      <c r="L1460" s="986"/>
      <c r="M1460" s="25"/>
      <c r="N1460" s="26"/>
      <c r="O1460" s="2"/>
      <c r="P1460" s="27"/>
      <c r="Q1460" s="26"/>
      <c r="R1460" s="28"/>
    </row>
    <row r="1461" spans="1:18" ht="30" customHeight="1" x14ac:dyDescent="0.45">
      <c r="A1461" s="19" t="s">
        <v>11</v>
      </c>
      <c r="B1461" s="1005" t="s">
        <v>12</v>
      </c>
      <c r="C1461" s="1005"/>
      <c r="D1461" s="1005"/>
      <c r="E1461" s="132" t="s">
        <v>267</v>
      </c>
      <c r="F1461" s="20" t="s">
        <v>13</v>
      </c>
      <c r="G1461" s="1114" t="s">
        <v>15</v>
      </c>
      <c r="H1461" s="1115"/>
      <c r="I1461" s="1068" t="s">
        <v>16</v>
      </c>
      <c r="J1461" s="1069"/>
      <c r="K1461" s="992" t="s">
        <v>17</v>
      </c>
      <c r="L1461" s="993"/>
      <c r="M1461" s="25"/>
      <c r="N1461" s="26"/>
      <c r="O1461" s="2"/>
      <c r="P1461" s="27"/>
      <c r="Q1461" s="26"/>
      <c r="R1461" s="28"/>
    </row>
    <row r="1462" spans="1:18" ht="30" customHeight="1" x14ac:dyDescent="0.45">
      <c r="A1462" s="47">
        <v>21140</v>
      </c>
      <c r="B1462" s="1092" t="s">
        <v>1037</v>
      </c>
      <c r="C1462" s="1092"/>
      <c r="D1462" s="1092"/>
      <c r="E1462" s="290">
        <v>26000</v>
      </c>
      <c r="F1462" s="313">
        <v>229</v>
      </c>
      <c r="G1462" s="47"/>
      <c r="H1462" s="386"/>
      <c r="I1462" s="1084">
        <f>+'[1]2023 MILCON Inflation Table'!F10</f>
        <v>1.5845473099763927</v>
      </c>
      <c r="J1462" s="1085"/>
      <c r="K1462" s="335">
        <f>+F1462*I1462</f>
        <v>362.86133398459395</v>
      </c>
      <c r="L1462" s="47" t="s">
        <v>35</v>
      </c>
      <c r="M1462" s="25"/>
      <c r="N1462" s="26"/>
      <c r="O1462" s="2"/>
      <c r="P1462" s="27"/>
      <c r="Q1462" s="26"/>
      <c r="R1462" s="28"/>
    </row>
    <row r="1463" spans="1:18" ht="30" customHeight="1" thickBot="1" x14ac:dyDescent="0.5">
      <c r="A1463" s="47"/>
      <c r="B1463" s="1092"/>
      <c r="C1463" s="1092"/>
      <c r="D1463" s="1092"/>
      <c r="E1463" s="180"/>
      <c r="F1463" s="181"/>
      <c r="G1463" s="181"/>
      <c r="H1463" s="182"/>
      <c r="I1463" s="58"/>
      <c r="J1463" s="85" t="s">
        <v>39</v>
      </c>
      <c r="K1463" s="185">
        <f>+K1462</f>
        <v>362.86133398459395</v>
      </c>
      <c r="L1463" s="47" t="s">
        <v>35</v>
      </c>
      <c r="M1463" s="25"/>
      <c r="O1463" s="27"/>
      <c r="P1463" s="26"/>
      <c r="Q1463" s="28"/>
    </row>
    <row r="1464" spans="1:18" ht="30" customHeight="1" thickBot="1" x14ac:dyDescent="0.5">
      <c r="A1464" s="999"/>
      <c r="B1464" s="1000"/>
      <c r="C1464" s="1000"/>
      <c r="D1464" s="1000"/>
      <c r="E1464" s="1000"/>
      <c r="F1464" s="1000"/>
      <c r="G1464" s="1000"/>
      <c r="H1464" s="1000"/>
      <c r="I1464" s="1000"/>
      <c r="J1464" s="1000"/>
      <c r="K1464" s="1000"/>
      <c r="L1464" s="1001"/>
      <c r="M1464" s="25"/>
      <c r="O1464" s="27"/>
      <c r="P1464" s="26"/>
      <c r="Q1464" s="28"/>
    </row>
    <row r="1465" spans="1:18" ht="30" customHeight="1" x14ac:dyDescent="0.45">
      <c r="A1465" s="9" t="s">
        <v>4</v>
      </c>
      <c r="B1465" s="10">
        <v>2115</v>
      </c>
      <c r="C1465" s="1138" t="s">
        <v>1038</v>
      </c>
      <c r="D1465" s="1139"/>
      <c r="E1465" s="13" t="s">
        <v>7</v>
      </c>
      <c r="F1465" s="14" t="s">
        <v>35</v>
      </c>
      <c r="G1465" s="11" t="s">
        <v>6</v>
      </c>
      <c r="H1465" s="171">
        <v>250015.91194968499</v>
      </c>
      <c r="I1465" s="13" t="s">
        <v>9</v>
      </c>
      <c r="J1465" s="985" t="s">
        <v>266</v>
      </c>
      <c r="K1465" s="985"/>
      <c r="L1465" s="986"/>
      <c r="M1465" s="25"/>
      <c r="O1465" s="27"/>
      <c r="P1465" s="26"/>
      <c r="Q1465" s="28"/>
    </row>
    <row r="1466" spans="1:18" ht="30" customHeight="1" x14ac:dyDescent="0.45">
      <c r="A1466" s="19" t="s">
        <v>11</v>
      </c>
      <c r="B1466" s="1005" t="s">
        <v>12</v>
      </c>
      <c r="C1466" s="1005"/>
      <c r="D1466" s="1005"/>
      <c r="E1466" s="132" t="s">
        <v>267</v>
      </c>
      <c r="F1466" s="20" t="s">
        <v>13</v>
      </c>
      <c r="G1466" s="19"/>
      <c r="H1466" s="19"/>
      <c r="I1466" s="1068" t="s">
        <v>16</v>
      </c>
      <c r="J1466" s="1069"/>
      <c r="K1466" s="992" t="s">
        <v>17</v>
      </c>
      <c r="L1466" s="993"/>
      <c r="M1466" s="25"/>
      <c r="O1466" s="27"/>
      <c r="P1466" s="26"/>
      <c r="Q1466" s="28"/>
    </row>
    <row r="1467" spans="1:18" ht="30" customHeight="1" x14ac:dyDescent="0.45">
      <c r="A1467" s="29" t="s">
        <v>268</v>
      </c>
      <c r="B1467" s="994" t="s">
        <v>1039</v>
      </c>
      <c r="C1467" s="994"/>
      <c r="D1467" s="994"/>
      <c r="E1467" s="176">
        <v>170000</v>
      </c>
      <c r="F1467" s="145">
        <v>459</v>
      </c>
      <c r="G1467" s="177"/>
      <c r="H1467" s="178"/>
      <c r="I1467" s="1119" t="str">
        <f>+$I$298</f>
        <v>NA;  GUCs are as of October 2022</v>
      </c>
      <c r="J1467" s="1120"/>
      <c r="K1467" s="145">
        <f>+F1467</f>
        <v>459</v>
      </c>
      <c r="L1467" s="29" t="s">
        <v>35</v>
      </c>
      <c r="M1467" s="25"/>
      <c r="O1467" s="27"/>
      <c r="P1467" s="26"/>
      <c r="Q1467" s="28"/>
    </row>
    <row r="1468" spans="1:18" ht="30" customHeight="1" thickBot="1" x14ac:dyDescent="0.5">
      <c r="A1468" s="47"/>
      <c r="B1468" s="1092"/>
      <c r="C1468" s="1092"/>
      <c r="D1468" s="1092"/>
      <c r="E1468" s="180"/>
      <c r="F1468" s="181"/>
      <c r="G1468" s="181"/>
      <c r="H1468" s="182"/>
      <c r="I1468" s="58"/>
      <c r="J1468" s="85" t="s">
        <v>39</v>
      </c>
      <c r="K1468" s="216">
        <f>+K1467</f>
        <v>459</v>
      </c>
      <c r="L1468" s="47" t="s">
        <v>35</v>
      </c>
      <c r="M1468" s="25"/>
      <c r="O1468" s="27"/>
      <c r="P1468" s="26"/>
      <c r="Q1468" s="28"/>
    </row>
    <row r="1469" spans="1:18" ht="30" customHeight="1" thickBot="1" x14ac:dyDescent="0.5">
      <c r="A1469" s="999"/>
      <c r="B1469" s="1000"/>
      <c r="C1469" s="1000"/>
      <c r="D1469" s="1000"/>
      <c r="E1469" s="1000"/>
      <c r="F1469" s="1000"/>
      <c r="G1469" s="1000"/>
      <c r="H1469" s="1000"/>
      <c r="I1469" s="1000"/>
      <c r="J1469" s="1000"/>
      <c r="K1469" s="1000"/>
      <c r="L1469" s="1001"/>
      <c r="M1469" s="25"/>
      <c r="O1469" s="27"/>
      <c r="P1469" s="26"/>
      <c r="Q1469" s="28"/>
    </row>
    <row r="1470" spans="1:18" ht="30" customHeight="1" x14ac:dyDescent="0.45">
      <c r="A1470" s="9" t="s">
        <v>4</v>
      </c>
      <c r="B1470" s="10">
        <v>2116</v>
      </c>
      <c r="C1470" s="1138" t="s">
        <v>1040</v>
      </c>
      <c r="D1470" s="1139"/>
      <c r="E1470" s="13" t="s">
        <v>7</v>
      </c>
      <c r="F1470" s="14" t="s">
        <v>35</v>
      </c>
      <c r="G1470" s="11" t="s">
        <v>6</v>
      </c>
      <c r="H1470" s="184">
        <v>25802.538142031299</v>
      </c>
      <c r="I1470" s="13" t="s">
        <v>9</v>
      </c>
      <c r="J1470" s="985" t="s">
        <v>266</v>
      </c>
      <c r="K1470" s="985"/>
      <c r="L1470" s="986"/>
      <c r="M1470" s="25"/>
      <c r="O1470" s="27"/>
      <c r="P1470" s="26"/>
      <c r="Q1470" s="28"/>
    </row>
    <row r="1471" spans="1:18" ht="30" customHeight="1" x14ac:dyDescent="0.45">
      <c r="A1471" s="19" t="s">
        <v>11</v>
      </c>
      <c r="B1471" s="1005" t="s">
        <v>12</v>
      </c>
      <c r="C1471" s="1005"/>
      <c r="D1471" s="1005"/>
      <c r="E1471" s="132" t="s">
        <v>267</v>
      </c>
      <c r="F1471" s="20" t="s">
        <v>13</v>
      </c>
      <c r="G1471" s="19"/>
      <c r="H1471" s="19"/>
      <c r="I1471" s="1068" t="s">
        <v>60</v>
      </c>
      <c r="J1471" s="1069"/>
      <c r="K1471" s="992" t="s">
        <v>17</v>
      </c>
      <c r="L1471" s="993"/>
      <c r="M1471" s="25"/>
      <c r="O1471" s="27"/>
      <c r="P1471" s="26"/>
      <c r="Q1471" s="28"/>
    </row>
    <row r="1472" spans="1:18" ht="30" customHeight="1" x14ac:dyDescent="0.45">
      <c r="A1472" s="29" t="s">
        <v>268</v>
      </c>
      <c r="B1472" s="994" t="s">
        <v>1032</v>
      </c>
      <c r="C1472" s="994"/>
      <c r="D1472" s="994"/>
      <c r="E1472" s="176">
        <v>98000</v>
      </c>
      <c r="F1472" s="145">
        <v>474</v>
      </c>
      <c r="G1472" s="177"/>
      <c r="H1472" s="178"/>
      <c r="I1472" s="1119" t="str">
        <f>+$I$298</f>
        <v>NA;  GUCs are as of October 2022</v>
      </c>
      <c r="J1472" s="1120"/>
      <c r="K1472" s="145">
        <f>+F1472</f>
        <v>474</v>
      </c>
      <c r="L1472" s="29" t="s">
        <v>35</v>
      </c>
      <c r="M1472" s="25"/>
      <c r="O1472" s="27"/>
      <c r="P1472" s="26"/>
      <c r="Q1472" s="28"/>
    </row>
    <row r="1473" spans="1:24" ht="30" customHeight="1" thickBot="1" x14ac:dyDescent="0.5">
      <c r="A1473" s="47"/>
      <c r="B1473" s="1092"/>
      <c r="C1473" s="1092"/>
      <c r="D1473" s="1092"/>
      <c r="E1473" s="180"/>
      <c r="F1473" s="181"/>
      <c r="G1473" s="181"/>
      <c r="H1473" s="182"/>
      <c r="I1473" s="58"/>
      <c r="J1473" s="85" t="s">
        <v>39</v>
      </c>
      <c r="K1473" s="216">
        <f>+K1472</f>
        <v>474</v>
      </c>
      <c r="L1473" s="47" t="s">
        <v>35</v>
      </c>
      <c r="M1473" s="25"/>
      <c r="O1473" s="27"/>
      <c r="P1473" s="26"/>
      <c r="Q1473" s="28"/>
    </row>
    <row r="1474" spans="1:24" ht="30" customHeight="1" thickBot="1" x14ac:dyDescent="0.5">
      <c r="A1474" s="999"/>
      <c r="B1474" s="1000"/>
      <c r="C1474" s="1000"/>
      <c r="D1474" s="1000"/>
      <c r="E1474" s="1000"/>
      <c r="F1474" s="1000"/>
      <c r="G1474" s="1000"/>
      <c r="H1474" s="1000"/>
      <c r="I1474" s="1000"/>
      <c r="J1474" s="1000"/>
      <c r="K1474" s="1000"/>
      <c r="L1474" s="1001"/>
      <c r="M1474" s="25"/>
      <c r="O1474" s="27"/>
      <c r="P1474" s="26"/>
      <c r="Q1474" s="28"/>
    </row>
    <row r="1475" spans="1:24" ht="30" customHeight="1" x14ac:dyDescent="0.45">
      <c r="A1475" s="9" t="s">
        <v>4</v>
      </c>
      <c r="B1475" s="10">
        <v>2118</v>
      </c>
      <c r="C1475" s="1138" t="s">
        <v>1041</v>
      </c>
      <c r="D1475" s="1139"/>
      <c r="E1475" s="13" t="s">
        <v>7</v>
      </c>
      <c r="F1475" s="14" t="s">
        <v>88</v>
      </c>
      <c r="G1475" s="11" t="s">
        <v>148</v>
      </c>
      <c r="H1475" s="501">
        <v>1</v>
      </c>
      <c r="I1475" s="13" t="s">
        <v>9</v>
      </c>
      <c r="J1475" s="985" t="s">
        <v>1036</v>
      </c>
      <c r="K1475" s="985"/>
      <c r="L1475" s="986"/>
      <c r="M1475" s="25"/>
      <c r="O1475" s="27"/>
      <c r="P1475" s="26"/>
      <c r="Q1475" s="28"/>
    </row>
    <row r="1476" spans="1:24" ht="30" customHeight="1" x14ac:dyDescent="0.45">
      <c r="A1476" s="19" t="s">
        <v>11</v>
      </c>
      <c r="B1476" s="1005" t="s">
        <v>12</v>
      </c>
      <c r="C1476" s="1005"/>
      <c r="D1476" s="1005"/>
      <c r="E1476" s="20" t="s">
        <v>13</v>
      </c>
      <c r="F1476" s="19" t="s">
        <v>267</v>
      </c>
      <c r="G1476" s="1114" t="s">
        <v>15</v>
      </c>
      <c r="H1476" s="1115"/>
      <c r="I1476" s="1068" t="s">
        <v>16</v>
      </c>
      <c r="J1476" s="1069"/>
      <c r="K1476" s="992" t="s">
        <v>17</v>
      </c>
      <c r="L1476" s="993"/>
      <c r="M1476" s="25"/>
      <c r="O1476" s="27"/>
      <c r="P1476" s="26"/>
      <c r="Q1476" s="28"/>
    </row>
    <row r="1477" spans="1:24" ht="30" customHeight="1" x14ac:dyDescent="0.45">
      <c r="A1477" s="47">
        <v>21140</v>
      </c>
      <c r="B1477" s="1008" t="s">
        <v>1037</v>
      </c>
      <c r="C1477" s="1009"/>
      <c r="D1477" s="1010"/>
      <c r="E1477" s="221">
        <v>229</v>
      </c>
      <c r="F1477" s="394">
        <v>26000</v>
      </c>
      <c r="G1477" s="333">
        <v>9558</v>
      </c>
      <c r="H1477" s="47" t="s">
        <v>296</v>
      </c>
      <c r="I1477" s="1084">
        <f>+'[1]2023 MILCON Inflation Table'!F10</f>
        <v>1.5845473099763927</v>
      </c>
      <c r="J1477" s="1085"/>
      <c r="K1477" s="335">
        <f>+E1477*G1477*I1477</f>
        <v>3468228.630224749</v>
      </c>
      <c r="L1477" s="29" t="s">
        <v>88</v>
      </c>
      <c r="M1477" s="25"/>
      <c r="N1477" s="26"/>
      <c r="O1477" s="2"/>
      <c r="P1477" s="27"/>
      <c r="Q1477" s="26"/>
      <c r="R1477" s="28"/>
    </row>
    <row r="1478" spans="1:24" ht="30" customHeight="1" thickBot="1" x14ac:dyDescent="0.5">
      <c r="A1478" s="47"/>
      <c r="B1478" s="1184" t="s">
        <v>1042</v>
      </c>
      <c r="C1478" s="1185"/>
      <c r="D1478" s="1185"/>
      <c r="E1478" s="161"/>
      <c r="F1478" s="415"/>
      <c r="G1478" s="161"/>
      <c r="H1478" s="389"/>
      <c r="I1478" s="58"/>
      <c r="J1478" s="85" t="s">
        <v>39</v>
      </c>
      <c r="K1478" s="185">
        <f>AVERAGE(K1477:K1477)</f>
        <v>3468228.630224749</v>
      </c>
      <c r="L1478" s="29" t="s">
        <v>88</v>
      </c>
      <c r="M1478" s="25"/>
      <c r="N1478" s="26"/>
      <c r="O1478" s="2"/>
      <c r="P1478" s="27"/>
      <c r="Q1478" s="26"/>
      <c r="R1478" s="28"/>
    </row>
    <row r="1479" spans="1:24" ht="30" customHeight="1" thickBot="1" x14ac:dyDescent="0.5">
      <c r="A1479" s="999"/>
      <c r="B1479" s="1000"/>
      <c r="C1479" s="1000"/>
      <c r="D1479" s="1000"/>
      <c r="E1479" s="1000"/>
      <c r="F1479" s="1000"/>
      <c r="G1479" s="1000"/>
      <c r="H1479" s="1000"/>
      <c r="I1479" s="1000"/>
      <c r="J1479" s="1000"/>
      <c r="K1479" s="1000"/>
      <c r="L1479" s="1001"/>
      <c r="M1479" s="25"/>
      <c r="N1479" s="3"/>
      <c r="O1479" s="325"/>
      <c r="P1479" s="491"/>
      <c r="Q1479" s="492"/>
      <c r="R1479" s="3"/>
      <c r="S1479" s="3"/>
      <c r="T1479" s="3"/>
      <c r="U1479" s="3"/>
      <c r="V1479" s="3"/>
      <c r="W1479" s="3"/>
      <c r="X1479" s="3"/>
    </row>
    <row r="1480" spans="1:24" s="3" customFormat="1" ht="30" customHeight="1" x14ac:dyDescent="0.45">
      <c r="A1480" s="9" t="s">
        <v>4</v>
      </c>
      <c r="B1480" s="10">
        <v>2121</v>
      </c>
      <c r="C1480" s="1341" t="s">
        <v>1043</v>
      </c>
      <c r="D1480" s="1341"/>
      <c r="E1480" s="13" t="s">
        <v>7</v>
      </c>
      <c r="F1480" s="14" t="s">
        <v>35</v>
      </c>
      <c r="G1480" s="332" t="s">
        <v>6</v>
      </c>
      <c r="H1480" s="503">
        <v>8222.5185185185092</v>
      </c>
      <c r="I1480" s="481" t="s">
        <v>9</v>
      </c>
      <c r="J1480" s="985" t="s">
        <v>276</v>
      </c>
      <c r="K1480" s="985"/>
      <c r="L1480" s="986"/>
      <c r="M1480" s="25"/>
      <c r="N1480" s="2"/>
      <c r="O1480" s="27"/>
      <c r="P1480" s="26"/>
      <c r="Q1480" s="28"/>
      <c r="R1480" s="2"/>
      <c r="S1480" s="2"/>
      <c r="T1480" s="2"/>
      <c r="U1480" s="2"/>
      <c r="V1480" s="2"/>
      <c r="W1480" s="2"/>
      <c r="X1480" s="2"/>
    </row>
    <row r="1481" spans="1:24" ht="30" customHeight="1" x14ac:dyDescent="0.45">
      <c r="A1481" s="85" t="s">
        <v>277</v>
      </c>
      <c r="B1481" s="987" t="s">
        <v>293</v>
      </c>
      <c r="C1481" s="988"/>
      <c r="D1481" s="989"/>
      <c r="E1481" s="220" t="s">
        <v>13</v>
      </c>
      <c r="F1481" s="220" t="s">
        <v>14</v>
      </c>
      <c r="G1481" s="992" t="s">
        <v>15</v>
      </c>
      <c r="H1481" s="993"/>
      <c r="I1481" s="504" t="s">
        <v>1044</v>
      </c>
      <c r="J1481" s="19" t="s">
        <v>278</v>
      </c>
      <c r="K1481" s="992" t="s">
        <v>17</v>
      </c>
      <c r="L1481" s="993"/>
      <c r="M1481" s="25"/>
      <c r="N1481" s="26"/>
      <c r="O1481" s="2"/>
      <c r="P1481" s="27"/>
      <c r="Q1481" s="26"/>
      <c r="R1481" s="28"/>
    </row>
    <row r="1482" spans="1:24" ht="30" customHeight="1" x14ac:dyDescent="0.45">
      <c r="A1482" s="47" t="s">
        <v>1045</v>
      </c>
      <c r="B1482" s="1018" t="s">
        <v>1046</v>
      </c>
      <c r="C1482" s="1019"/>
      <c r="D1482" s="1020"/>
      <c r="E1482" s="221">
        <f>205-3.15</f>
        <v>201.85</v>
      </c>
      <c r="F1482" s="47" t="s">
        <v>35</v>
      </c>
      <c r="G1482" s="348"/>
      <c r="H1482" s="349"/>
      <c r="I1482" s="505">
        <f>+E1482</f>
        <v>201.85</v>
      </c>
      <c r="J1482" s="47">
        <v>1.1299999999999999</v>
      </c>
      <c r="K1482" s="378">
        <f t="shared" ref="K1482:K1491" si="41">+I1482*J1482</f>
        <v>228.09049999999996</v>
      </c>
      <c r="L1482" s="47" t="s">
        <v>35</v>
      </c>
      <c r="M1482" s="25"/>
      <c r="N1482" s="26"/>
      <c r="O1482" s="2"/>
      <c r="P1482" s="27"/>
      <c r="Q1482" s="26"/>
      <c r="R1482" s="28"/>
    </row>
    <row r="1483" spans="1:24" ht="45" customHeight="1" x14ac:dyDescent="0.45">
      <c r="A1483" s="47" t="s">
        <v>358</v>
      </c>
      <c r="B1483" s="1018" t="s">
        <v>365</v>
      </c>
      <c r="C1483" s="1019"/>
      <c r="D1483" s="1020"/>
      <c r="E1483" s="1">
        <v>5.38</v>
      </c>
      <c r="F1483" s="47" t="s">
        <v>35</v>
      </c>
      <c r="G1483" s="42"/>
      <c r="H1483" s="206"/>
      <c r="I1483" s="506">
        <f>+E1483</f>
        <v>5.38</v>
      </c>
      <c r="J1483" s="47">
        <v>1.1299999999999999</v>
      </c>
      <c r="K1483" s="378">
        <f t="shared" si="41"/>
        <v>6.0793999999999997</v>
      </c>
      <c r="L1483" s="47" t="s">
        <v>35</v>
      </c>
      <c r="M1483" s="25"/>
      <c r="N1483" s="26"/>
      <c r="O1483" s="2"/>
      <c r="P1483" s="27"/>
      <c r="Q1483" s="26"/>
      <c r="R1483" s="28"/>
    </row>
    <row r="1484" spans="1:24" ht="30" customHeight="1" x14ac:dyDescent="0.45">
      <c r="A1484" s="47" t="s">
        <v>358</v>
      </c>
      <c r="B1484" s="1018" t="s">
        <v>1047</v>
      </c>
      <c r="C1484" s="1019"/>
      <c r="D1484" s="1020"/>
      <c r="E1484" s="216">
        <f>0.15*E1483</f>
        <v>0.80699999999999994</v>
      </c>
      <c r="F1484" s="222" t="s">
        <v>35</v>
      </c>
      <c r="G1484" s="42"/>
      <c r="H1484" s="206"/>
      <c r="I1484" s="506">
        <f>+E1484</f>
        <v>0.80699999999999994</v>
      </c>
      <c r="J1484" s="47">
        <v>1.1299999999999999</v>
      </c>
      <c r="K1484" s="378">
        <f t="shared" si="41"/>
        <v>0.91190999999999989</v>
      </c>
      <c r="L1484" s="47" t="s">
        <v>35</v>
      </c>
      <c r="M1484" s="25"/>
      <c r="N1484" s="26"/>
      <c r="O1484" s="2"/>
      <c r="P1484" s="27"/>
      <c r="Q1484" s="26"/>
      <c r="R1484" s="28"/>
    </row>
    <row r="1485" spans="1:24" ht="30" customHeight="1" x14ac:dyDescent="0.45">
      <c r="A1485" s="47" t="s">
        <v>358</v>
      </c>
      <c r="B1485" s="1018" t="s">
        <v>1048</v>
      </c>
      <c r="C1485" s="1019"/>
      <c r="D1485" s="1020"/>
      <c r="E1485" s="216">
        <f xml:space="preserve"> 0.72+((1.42+2.11)/2)</f>
        <v>2.4849999999999999</v>
      </c>
      <c r="F1485" s="222" t="s">
        <v>35</v>
      </c>
      <c r="G1485" s="42"/>
      <c r="H1485" s="206"/>
      <c r="I1485" s="506">
        <f>+E1485</f>
        <v>2.4849999999999999</v>
      </c>
      <c r="J1485" s="47">
        <v>1.1299999999999999</v>
      </c>
      <c r="K1485" s="378">
        <f t="shared" si="41"/>
        <v>2.8080499999999997</v>
      </c>
      <c r="L1485" s="47" t="s">
        <v>35</v>
      </c>
      <c r="M1485" s="25"/>
      <c r="N1485" s="26"/>
      <c r="O1485" s="2"/>
      <c r="P1485" s="27"/>
      <c r="Q1485" s="26"/>
      <c r="R1485" s="28"/>
    </row>
    <row r="1486" spans="1:24" ht="30" customHeight="1" x14ac:dyDescent="0.45">
      <c r="A1486" s="47" t="s">
        <v>470</v>
      </c>
      <c r="B1486" s="1018" t="s">
        <v>1049</v>
      </c>
      <c r="C1486" s="1019"/>
      <c r="D1486" s="1020"/>
      <c r="E1486" s="221">
        <v>204000</v>
      </c>
      <c r="F1486" s="222" t="s">
        <v>88</v>
      </c>
      <c r="G1486" s="42"/>
      <c r="H1486" s="206"/>
      <c r="I1486" s="506">
        <f>+E1486/H1480</f>
        <v>24.809916759756433</v>
      </c>
      <c r="J1486" s="47">
        <v>1.26</v>
      </c>
      <c r="K1486" s="378">
        <f t="shared" si="41"/>
        <v>31.260495117293107</v>
      </c>
      <c r="L1486" s="47" t="s">
        <v>35</v>
      </c>
      <c r="M1486" s="25"/>
      <c r="N1486" s="26"/>
      <c r="O1486" s="2"/>
      <c r="P1486" s="27"/>
      <c r="Q1486" s="26"/>
      <c r="R1486" s="28"/>
    </row>
    <row r="1487" spans="1:24" ht="30" customHeight="1" x14ac:dyDescent="0.45">
      <c r="A1487" s="47" t="s">
        <v>1050</v>
      </c>
      <c r="B1487" s="1338" t="s">
        <v>1051</v>
      </c>
      <c r="C1487" s="1339"/>
      <c r="D1487" s="1339"/>
      <c r="E1487" s="216">
        <v>30.63</v>
      </c>
      <c r="F1487" s="47" t="s">
        <v>1052</v>
      </c>
      <c r="G1487" s="79">
        <v>240</v>
      </c>
      <c r="H1487" s="216" t="s">
        <v>1053</v>
      </c>
      <c r="I1487" s="506">
        <f>+E1487*G1487/H1480</f>
        <v>0.89403264747216415</v>
      </c>
      <c r="J1487" s="47">
        <v>1.22</v>
      </c>
      <c r="K1487" s="378">
        <f t="shared" si="41"/>
        <v>1.0907198299160403</v>
      </c>
      <c r="L1487" s="47" t="s">
        <v>35</v>
      </c>
      <c r="M1487" s="25"/>
      <c r="N1487" s="186"/>
      <c r="O1487" s="2"/>
      <c r="P1487" s="27"/>
      <c r="Q1487" s="26"/>
      <c r="R1487" s="28"/>
    </row>
    <row r="1488" spans="1:24" ht="30" customHeight="1" x14ac:dyDescent="0.45">
      <c r="A1488" s="47" t="s">
        <v>1050</v>
      </c>
      <c r="B1488" s="1335" t="s">
        <v>1054</v>
      </c>
      <c r="C1488" s="1336"/>
      <c r="D1488" s="1337"/>
      <c r="E1488" s="507">
        <v>2435</v>
      </c>
      <c r="F1488" s="47" t="s">
        <v>88</v>
      </c>
      <c r="G1488" s="79">
        <v>2</v>
      </c>
      <c r="H1488" s="216" t="s">
        <v>1053</v>
      </c>
      <c r="I1488" s="506">
        <f>+E1488*G1488/H1480</f>
        <v>0.59227595401967559</v>
      </c>
      <c r="J1488" s="47">
        <v>1.22</v>
      </c>
      <c r="K1488" s="378">
        <f t="shared" si="41"/>
        <v>0.72257666390400421</v>
      </c>
      <c r="L1488" s="47" t="s">
        <v>35</v>
      </c>
      <c r="M1488" s="25"/>
      <c r="N1488" s="26"/>
      <c r="O1488" s="2"/>
      <c r="P1488" s="27"/>
      <c r="Q1488" s="26"/>
      <c r="R1488" s="28"/>
    </row>
    <row r="1489" spans="1:18" ht="30" customHeight="1" x14ac:dyDescent="0.45">
      <c r="A1489" s="47" t="s">
        <v>1055</v>
      </c>
      <c r="B1489" s="1018" t="s">
        <v>1056</v>
      </c>
      <c r="C1489" s="1019"/>
      <c r="D1489" s="1020"/>
      <c r="E1489" s="221">
        <v>72.38</v>
      </c>
      <c r="F1489" s="222" t="s">
        <v>113</v>
      </c>
      <c r="G1489" s="42">
        <v>20</v>
      </c>
      <c r="H1489" s="206" t="s">
        <v>1053</v>
      </c>
      <c r="I1489" s="506">
        <f>+E1489*G1489/H1480</f>
        <v>0.17605311520305594</v>
      </c>
      <c r="J1489" s="47">
        <v>1.1200000000000001</v>
      </c>
      <c r="K1489" s="378">
        <f t="shared" si="41"/>
        <v>0.19717948902742269</v>
      </c>
      <c r="L1489" s="47" t="s">
        <v>35</v>
      </c>
      <c r="M1489" s="25"/>
      <c r="N1489" s="26"/>
      <c r="O1489" s="2"/>
      <c r="P1489" s="27"/>
      <c r="Q1489" s="26"/>
      <c r="R1489" s="28"/>
    </row>
    <row r="1490" spans="1:18" ht="30" customHeight="1" x14ac:dyDescent="0.45">
      <c r="A1490" s="47" t="s">
        <v>1055</v>
      </c>
      <c r="B1490" s="1018" t="s">
        <v>1057</v>
      </c>
      <c r="C1490" s="1019"/>
      <c r="D1490" s="1020"/>
      <c r="E1490" s="221">
        <f>+(8000+15300)/2</f>
        <v>11650</v>
      </c>
      <c r="F1490" s="222" t="s">
        <v>88</v>
      </c>
      <c r="G1490" s="42">
        <v>2</v>
      </c>
      <c r="H1490" s="216" t="s">
        <v>1053</v>
      </c>
      <c r="I1490" s="506">
        <f>+E1490*G1490/H1480</f>
        <v>2.8336816691290436</v>
      </c>
      <c r="J1490" s="47">
        <v>1.1200000000000001</v>
      </c>
      <c r="K1490" s="378">
        <f t="shared" si="41"/>
        <v>3.1737234694245293</v>
      </c>
      <c r="L1490" s="47" t="s">
        <v>35</v>
      </c>
      <c r="M1490" s="25"/>
      <c r="N1490" s="26"/>
      <c r="O1490" s="2"/>
      <c r="P1490" s="27"/>
      <c r="Q1490" s="26"/>
      <c r="R1490" s="28"/>
    </row>
    <row r="1491" spans="1:18" ht="30" customHeight="1" x14ac:dyDescent="0.45">
      <c r="A1491" s="47" t="s">
        <v>1055</v>
      </c>
      <c r="B1491" s="1018" t="s">
        <v>1058</v>
      </c>
      <c r="C1491" s="1019"/>
      <c r="D1491" s="1020"/>
      <c r="E1491" s="1">
        <f>+(820+1260)/2</f>
        <v>1040</v>
      </c>
      <c r="F1491" s="222" t="s">
        <v>88</v>
      </c>
      <c r="G1491" s="42">
        <v>2</v>
      </c>
      <c r="H1491" s="216" t="s">
        <v>1053</v>
      </c>
      <c r="I1491" s="506">
        <f>+E1491*G1491/H1480</f>
        <v>0.25296385715830089</v>
      </c>
      <c r="J1491" s="47">
        <v>1.1200000000000001</v>
      </c>
      <c r="K1491" s="378">
        <f t="shared" si="41"/>
        <v>0.28331952001729704</v>
      </c>
      <c r="L1491" s="47" t="s">
        <v>35</v>
      </c>
      <c r="M1491" s="25"/>
      <c r="N1491" s="26"/>
      <c r="O1491" s="2"/>
      <c r="P1491" s="27"/>
      <c r="Q1491" s="26"/>
      <c r="R1491" s="28"/>
    </row>
    <row r="1492" spans="1:18" ht="30" customHeight="1" x14ac:dyDescent="0.45">
      <c r="A1492" s="47"/>
      <c r="B1492" s="1092"/>
      <c r="C1492" s="1092"/>
      <c r="D1492" s="1092"/>
      <c r="E1492" s="221"/>
      <c r="F1492" s="47"/>
      <c r="G1492" s="58"/>
      <c r="H1492" s="179"/>
      <c r="I1492" s="179"/>
      <c r="J1492" s="47" t="s">
        <v>360</v>
      </c>
      <c r="K1492" s="221">
        <f>SUM(K1482:K1491)</f>
        <v>274.61787408958241</v>
      </c>
      <c r="L1492" s="47" t="s">
        <v>35</v>
      </c>
      <c r="M1492" s="25"/>
      <c r="N1492" s="26"/>
      <c r="O1492" s="2"/>
      <c r="P1492" s="27"/>
      <c r="Q1492" s="26"/>
      <c r="R1492" s="28"/>
    </row>
    <row r="1493" spans="1:18" ht="30" customHeight="1" x14ac:dyDescent="0.45">
      <c r="A1493" s="47"/>
      <c r="B1493" s="224"/>
      <c r="C1493" s="224"/>
      <c r="D1493" s="224"/>
      <c r="E1493" s="224"/>
      <c r="F1493" s="1340" t="s">
        <v>285</v>
      </c>
      <c r="G1493" s="1013" t="s">
        <v>286</v>
      </c>
      <c r="H1493" s="1013"/>
      <c r="I1493" s="1013"/>
      <c r="J1493" s="1013"/>
      <c r="K1493" s="278">
        <v>1.04</v>
      </c>
      <c r="L1493" s="47"/>
      <c r="M1493" s="25"/>
      <c r="N1493" s="26"/>
      <c r="O1493" s="2"/>
      <c r="P1493" s="27"/>
      <c r="Q1493" s="26"/>
      <c r="R1493" s="28"/>
    </row>
    <row r="1494" spans="1:18" ht="30" customHeight="1" x14ac:dyDescent="0.45">
      <c r="A1494" s="47"/>
      <c r="B1494" s="224"/>
      <c r="C1494" s="224"/>
      <c r="D1494" s="224"/>
      <c r="E1494" s="224"/>
      <c r="F1494" s="1340"/>
      <c r="G1494" s="1014" t="s">
        <v>287</v>
      </c>
      <c r="H1494" s="1014"/>
      <c r="I1494" s="1014"/>
      <c r="J1494" s="1014"/>
      <c r="K1494" s="278">
        <v>1.05</v>
      </c>
      <c r="L1494" s="47"/>
      <c r="M1494" s="25"/>
      <c r="N1494" s="26"/>
      <c r="O1494" s="2"/>
      <c r="P1494" s="27"/>
      <c r="Q1494" s="26"/>
      <c r="R1494" s="28"/>
    </row>
    <row r="1495" spans="1:18" ht="30" customHeight="1" x14ac:dyDescent="0.45">
      <c r="A1495" s="47"/>
      <c r="B1495" s="47"/>
      <c r="C1495" s="58"/>
      <c r="D1495" s="58"/>
      <c r="E1495" s="58"/>
      <c r="F1495" s="58"/>
      <c r="G1495" s="58"/>
      <c r="H1495" s="58"/>
      <c r="I1495" s="58"/>
      <c r="J1495" s="47" t="s">
        <v>39</v>
      </c>
      <c r="K1495" s="216">
        <f>+K1492*K1493/K1494</f>
        <v>272.00246576491975</v>
      </c>
      <c r="L1495" s="47" t="s">
        <v>35</v>
      </c>
      <c r="M1495" s="25"/>
      <c r="N1495" s="26"/>
      <c r="O1495" s="2"/>
      <c r="P1495" s="27"/>
      <c r="Q1495" s="26"/>
      <c r="R1495" s="28"/>
    </row>
    <row r="1496" spans="1:18" ht="30" customHeight="1" thickBot="1" x14ac:dyDescent="0.5">
      <c r="A1496" s="47"/>
      <c r="B1496" s="47"/>
      <c r="C1496" s="58"/>
      <c r="D1496" s="58"/>
      <c r="E1496" s="58"/>
      <c r="H1496" s="58"/>
      <c r="I1496" s="183" t="s">
        <v>288</v>
      </c>
      <c r="J1496" s="213">
        <f>VLOOKUP(B1480,'[1]Mil Cost Premiums for PUCs'!$A$4:$R$278,18,FALSE)</f>
        <v>1.1932356231980656</v>
      </c>
      <c r="K1496" s="216">
        <f>+K1495*J1496</f>
        <v>324.56303174841452</v>
      </c>
      <c r="L1496" s="47" t="s">
        <v>35</v>
      </c>
      <c r="M1496" s="25"/>
      <c r="N1496" s="26"/>
      <c r="O1496" s="2"/>
      <c r="P1496" s="27"/>
      <c r="Q1496" s="26"/>
      <c r="R1496" s="28"/>
    </row>
    <row r="1497" spans="1:18" ht="30" customHeight="1" thickBot="1" x14ac:dyDescent="0.5">
      <c r="A1497" s="999"/>
      <c r="B1497" s="1000"/>
      <c r="C1497" s="1000"/>
      <c r="D1497" s="1000"/>
      <c r="E1497" s="1000"/>
      <c r="F1497" s="1000"/>
      <c r="G1497" s="1000"/>
      <c r="H1497" s="1000"/>
      <c r="I1497" s="1000"/>
      <c r="J1497" s="1000"/>
      <c r="K1497" s="1000"/>
      <c r="L1497" s="1001"/>
      <c r="M1497" s="25"/>
      <c r="N1497" s="26"/>
      <c r="O1497" s="2"/>
      <c r="P1497" s="27"/>
      <c r="Q1497" s="26"/>
      <c r="R1497" s="28"/>
    </row>
    <row r="1498" spans="1:18" ht="30" customHeight="1" x14ac:dyDescent="0.45">
      <c r="A1498" s="93" t="s">
        <v>4</v>
      </c>
      <c r="B1498" s="76">
        <v>2123</v>
      </c>
      <c r="C1498" s="1196" t="s">
        <v>1059</v>
      </c>
      <c r="D1498" s="1196"/>
      <c r="E1498" s="94" t="s">
        <v>7</v>
      </c>
      <c r="F1498" s="95" t="s">
        <v>35</v>
      </c>
      <c r="G1498" s="102" t="s">
        <v>6</v>
      </c>
      <c r="H1498" s="508">
        <v>11147</v>
      </c>
      <c r="I1498" s="94" t="s">
        <v>9</v>
      </c>
      <c r="J1498" s="985" t="s">
        <v>575</v>
      </c>
      <c r="K1498" s="985"/>
      <c r="L1498" s="986"/>
      <c r="M1498" s="25"/>
      <c r="O1498" s="27"/>
      <c r="P1498" s="26"/>
      <c r="Q1498" s="28"/>
    </row>
    <row r="1499" spans="1:18" ht="30" customHeight="1" x14ac:dyDescent="0.45">
      <c r="A1499" s="85" t="s">
        <v>277</v>
      </c>
      <c r="B1499" s="987" t="s">
        <v>293</v>
      </c>
      <c r="C1499" s="988"/>
      <c r="D1499" s="989"/>
      <c r="E1499" s="220" t="s">
        <v>13</v>
      </c>
      <c r="F1499" s="220" t="s">
        <v>14</v>
      </c>
      <c r="G1499" s="992" t="s">
        <v>15</v>
      </c>
      <c r="H1499" s="993"/>
      <c r="I1499" s="504" t="s">
        <v>1044</v>
      </c>
      <c r="J1499" s="19" t="s">
        <v>278</v>
      </c>
      <c r="K1499" s="992" t="s">
        <v>17</v>
      </c>
      <c r="L1499" s="993"/>
      <c r="M1499" s="25"/>
      <c r="O1499" s="27"/>
      <c r="P1499" s="26"/>
      <c r="Q1499" s="28"/>
    </row>
    <row r="1500" spans="1:18" ht="30" customHeight="1" x14ac:dyDescent="0.45">
      <c r="A1500" s="47" t="s">
        <v>1045</v>
      </c>
      <c r="B1500" s="1018" t="s">
        <v>1060</v>
      </c>
      <c r="C1500" s="1019"/>
      <c r="D1500" s="1020"/>
      <c r="E1500" s="221">
        <f>164-2.51</f>
        <v>161.49</v>
      </c>
      <c r="F1500" s="47" t="s">
        <v>35</v>
      </c>
      <c r="G1500" s="348"/>
      <c r="H1500" s="349"/>
      <c r="I1500" s="505">
        <f>+E1500</f>
        <v>161.49</v>
      </c>
      <c r="J1500" s="47">
        <v>1.01</v>
      </c>
      <c r="K1500" s="378">
        <f>+E1500*J1500</f>
        <v>163.10490000000001</v>
      </c>
      <c r="L1500" s="47" t="s">
        <v>35</v>
      </c>
      <c r="M1500" s="25"/>
      <c r="O1500" s="27"/>
      <c r="P1500" s="26"/>
      <c r="Q1500" s="28"/>
    </row>
    <row r="1501" spans="1:18" ht="45" customHeight="1" x14ac:dyDescent="0.45">
      <c r="A1501" s="47" t="s">
        <v>358</v>
      </c>
      <c r="B1501" s="1018" t="s">
        <v>365</v>
      </c>
      <c r="C1501" s="1019"/>
      <c r="D1501" s="1020"/>
      <c r="E1501" s="1">
        <v>4.38</v>
      </c>
      <c r="F1501" s="47" t="s">
        <v>35</v>
      </c>
      <c r="G1501" s="42"/>
      <c r="H1501" s="206"/>
      <c r="I1501" s="506">
        <f>+E1501</f>
        <v>4.38</v>
      </c>
      <c r="J1501" s="47">
        <v>1.01</v>
      </c>
      <c r="K1501" s="378">
        <f>+E1501*J1501</f>
        <v>4.4238</v>
      </c>
      <c r="L1501" s="47" t="s">
        <v>35</v>
      </c>
      <c r="M1501" s="25"/>
      <c r="O1501" s="27"/>
      <c r="P1501" s="26"/>
      <c r="Q1501" s="28"/>
    </row>
    <row r="1502" spans="1:18" ht="30" customHeight="1" x14ac:dyDescent="0.45">
      <c r="A1502" s="47" t="s">
        <v>358</v>
      </c>
      <c r="B1502" s="1018" t="s">
        <v>1047</v>
      </c>
      <c r="C1502" s="1019"/>
      <c r="D1502" s="1020"/>
      <c r="E1502" s="216">
        <f>0.15*E1501</f>
        <v>0.65699999999999992</v>
      </c>
      <c r="F1502" s="222" t="s">
        <v>35</v>
      </c>
      <c r="G1502" s="42"/>
      <c r="H1502" s="206"/>
      <c r="I1502" s="506">
        <f>+E1502</f>
        <v>0.65699999999999992</v>
      </c>
      <c r="J1502" s="47">
        <v>1.01</v>
      </c>
      <c r="K1502" s="378">
        <f>+I1502*J1502</f>
        <v>0.66356999999999988</v>
      </c>
      <c r="L1502" s="47" t="s">
        <v>35</v>
      </c>
      <c r="O1502" s="27"/>
      <c r="P1502" s="26"/>
      <c r="Q1502" s="28"/>
    </row>
    <row r="1503" spans="1:18" ht="30" customHeight="1" x14ac:dyDescent="0.45">
      <c r="A1503" s="47" t="s">
        <v>358</v>
      </c>
      <c r="B1503" s="1018" t="s">
        <v>1048</v>
      </c>
      <c r="C1503" s="1019"/>
      <c r="D1503" s="1020"/>
      <c r="E1503" s="216">
        <f xml:space="preserve"> 0.58+((1.15+1.71)/2)</f>
        <v>2.0099999999999998</v>
      </c>
      <c r="F1503" s="222" t="s">
        <v>35</v>
      </c>
      <c r="G1503" s="42"/>
      <c r="H1503" s="206"/>
      <c r="I1503" s="506">
        <f>+E1503</f>
        <v>2.0099999999999998</v>
      </c>
      <c r="J1503" s="47">
        <v>1.01</v>
      </c>
      <c r="K1503" s="378">
        <f>+I1503*J1503</f>
        <v>2.0301</v>
      </c>
      <c r="L1503" s="47" t="s">
        <v>35</v>
      </c>
      <c r="M1503" s="25"/>
      <c r="N1503" s="26"/>
      <c r="O1503" s="2"/>
      <c r="P1503" s="27"/>
      <c r="Q1503" s="26"/>
      <c r="R1503" s="28"/>
    </row>
    <row r="1504" spans="1:18" ht="30" customHeight="1" x14ac:dyDescent="0.45">
      <c r="A1504" s="47" t="s">
        <v>470</v>
      </c>
      <c r="B1504" s="1018" t="s">
        <v>1049</v>
      </c>
      <c r="C1504" s="1019"/>
      <c r="D1504" s="1020"/>
      <c r="E1504" s="221">
        <f>E1486</f>
        <v>204000</v>
      </c>
      <c r="F1504" s="222" t="s">
        <v>88</v>
      </c>
      <c r="G1504" s="42"/>
      <c r="H1504" s="206" t="s">
        <v>1061</v>
      </c>
      <c r="I1504" s="506">
        <f>+E1504/H1498</f>
        <v>18.300888131335785</v>
      </c>
      <c r="J1504" s="47">
        <v>1.02</v>
      </c>
      <c r="K1504" s="221">
        <f>+I1504*J1504</f>
        <v>18.6669058939625</v>
      </c>
      <c r="L1504" s="47" t="s">
        <v>35</v>
      </c>
      <c r="M1504" s="25"/>
      <c r="O1504" s="27"/>
      <c r="P1504" s="26"/>
      <c r="Q1504" s="28"/>
    </row>
    <row r="1505" spans="1:18" ht="30" customHeight="1" x14ac:dyDescent="0.45">
      <c r="A1505" s="47" t="s">
        <v>1050</v>
      </c>
      <c r="B1505" s="1338" t="s">
        <v>1062</v>
      </c>
      <c r="C1505" s="1339"/>
      <c r="D1505" s="1339"/>
      <c r="E1505" s="216">
        <f>E1487</f>
        <v>30.63</v>
      </c>
      <c r="F1505" s="222" t="s">
        <v>1063</v>
      </c>
      <c r="G1505" s="42">
        <f>2*81</f>
        <v>162</v>
      </c>
      <c r="H1505" s="206" t="s">
        <v>35</v>
      </c>
      <c r="I1505" s="506">
        <f>+E1505*G1505/H1498</f>
        <v>0.44514757333811783</v>
      </c>
      <c r="J1505" s="47">
        <v>1.03</v>
      </c>
      <c r="K1505" s="221">
        <f t="shared" ref="K1505:K1510" si="42">+I1505*J1505</f>
        <v>0.4585020005382614</v>
      </c>
      <c r="L1505" s="47" t="s">
        <v>35</v>
      </c>
      <c r="M1505" s="25"/>
      <c r="O1505" s="27"/>
      <c r="P1505" s="26"/>
      <c r="Q1505" s="28"/>
    </row>
    <row r="1506" spans="1:18" ht="30" customHeight="1" x14ac:dyDescent="0.45">
      <c r="A1506" s="47" t="s">
        <v>1050</v>
      </c>
      <c r="B1506" s="1335" t="s">
        <v>1054</v>
      </c>
      <c r="C1506" s="1336"/>
      <c r="D1506" s="1337"/>
      <c r="E1506" s="507">
        <f>E1488</f>
        <v>2435</v>
      </c>
      <c r="F1506" s="222" t="s">
        <v>88</v>
      </c>
      <c r="G1506" s="42">
        <v>2</v>
      </c>
      <c r="H1506" s="206" t="s">
        <v>88</v>
      </c>
      <c r="I1506" s="506">
        <f>+E1506*G1506/H1498</f>
        <v>0.43688884901767294</v>
      </c>
      <c r="J1506" s="47">
        <v>1.03</v>
      </c>
      <c r="K1506" s="221">
        <f t="shared" si="42"/>
        <v>0.44999551448820313</v>
      </c>
      <c r="L1506" s="47" t="s">
        <v>35</v>
      </c>
      <c r="M1506" s="25"/>
      <c r="O1506" s="27"/>
      <c r="P1506" s="26"/>
      <c r="Q1506" s="28"/>
    </row>
    <row r="1507" spans="1:18" ht="30" customHeight="1" x14ac:dyDescent="0.45">
      <c r="A1507" s="47" t="s">
        <v>1055</v>
      </c>
      <c r="B1507" s="1018" t="s">
        <v>1064</v>
      </c>
      <c r="C1507" s="1019"/>
      <c r="D1507" s="1020"/>
      <c r="E1507" s="221">
        <f>+(34.5+82)/2</f>
        <v>58.25</v>
      </c>
      <c r="F1507" s="222" t="s">
        <v>113</v>
      </c>
      <c r="G1507" s="42">
        <f>2*10</f>
        <v>20</v>
      </c>
      <c r="H1507" s="206" t="s">
        <v>1065</v>
      </c>
      <c r="I1507" s="506">
        <f>+E1507*G1507/H1498</f>
        <v>0.10451242486767741</v>
      </c>
      <c r="J1507" s="47">
        <v>1.03</v>
      </c>
      <c r="K1507" s="221">
        <f t="shared" si="42"/>
        <v>0.10764779761370773</v>
      </c>
      <c r="L1507" s="47" t="s">
        <v>35</v>
      </c>
      <c r="M1507" s="25"/>
      <c r="N1507" s="26"/>
      <c r="O1507" s="2"/>
      <c r="P1507" s="27"/>
      <c r="Q1507" s="26"/>
      <c r="R1507" s="28"/>
    </row>
    <row r="1508" spans="1:18" ht="30" customHeight="1" x14ac:dyDescent="0.45">
      <c r="A1508" s="47" t="s">
        <v>1055</v>
      </c>
      <c r="B1508" s="1018" t="s">
        <v>1066</v>
      </c>
      <c r="C1508" s="1019"/>
      <c r="D1508" s="1020"/>
      <c r="E1508" s="221">
        <f>+(6450+12300)/2</f>
        <v>9375</v>
      </c>
      <c r="F1508" s="222" t="s">
        <v>88</v>
      </c>
      <c r="G1508" s="42">
        <v>2</v>
      </c>
      <c r="H1508" s="206" t="s">
        <v>1061</v>
      </c>
      <c r="I1508" s="506">
        <f>+E1508*G1508/H1498</f>
        <v>1.6820669238360098</v>
      </c>
      <c r="J1508" s="47">
        <v>1.03</v>
      </c>
      <c r="K1508" s="221">
        <f t="shared" si="42"/>
        <v>1.7325289315510901</v>
      </c>
      <c r="L1508" s="47" t="s">
        <v>35</v>
      </c>
      <c r="M1508" s="25"/>
      <c r="N1508" s="26"/>
      <c r="O1508" s="2"/>
      <c r="P1508" s="27"/>
      <c r="Q1508" s="26"/>
      <c r="R1508" s="28"/>
    </row>
    <row r="1509" spans="1:18" ht="30" customHeight="1" x14ac:dyDescent="0.45">
      <c r="A1509" s="47" t="s">
        <v>1055</v>
      </c>
      <c r="B1509" s="1018" t="s">
        <v>1067</v>
      </c>
      <c r="C1509" s="1019"/>
      <c r="D1509" s="1020"/>
      <c r="E1509" s="1">
        <f>+(660+1010)/2</f>
        <v>835</v>
      </c>
      <c r="F1509" s="222" t="s">
        <v>88</v>
      </c>
      <c r="G1509" s="42">
        <v>2</v>
      </c>
      <c r="H1509" s="206" t="s">
        <v>1061</v>
      </c>
      <c r="I1509" s="506">
        <f>+E1509*G1509/H1498</f>
        <v>0.14981609401632726</v>
      </c>
      <c r="J1509" s="47">
        <v>1.05</v>
      </c>
      <c r="K1509" s="221">
        <f t="shared" si="42"/>
        <v>0.15730689871714362</v>
      </c>
      <c r="L1509" s="47" t="s">
        <v>35</v>
      </c>
      <c r="M1509" s="25"/>
      <c r="O1509" s="27"/>
      <c r="P1509" s="26"/>
      <c r="Q1509" s="28"/>
    </row>
    <row r="1510" spans="1:18" ht="30" customHeight="1" x14ac:dyDescent="0.45">
      <c r="A1510" s="47" t="s">
        <v>1055</v>
      </c>
      <c r="B1510" s="1018" t="s">
        <v>1068</v>
      </c>
      <c r="C1510" s="1019"/>
      <c r="D1510" s="1020"/>
      <c r="E1510" s="221">
        <f>+(1160+3475)/2</f>
        <v>2317.5</v>
      </c>
      <c r="F1510" s="222" t="s">
        <v>88</v>
      </c>
      <c r="G1510" s="42">
        <v>2</v>
      </c>
      <c r="H1510" s="206" t="s">
        <v>1061</v>
      </c>
      <c r="I1510" s="506">
        <f>+E1510*G1510/H1498</f>
        <v>0.41580694357226161</v>
      </c>
      <c r="J1510" s="47">
        <v>1.05</v>
      </c>
      <c r="K1510" s="221">
        <f t="shared" si="42"/>
        <v>0.43659729075087472</v>
      </c>
      <c r="L1510" s="47" t="s">
        <v>35</v>
      </c>
      <c r="M1510" s="25"/>
      <c r="O1510" s="2"/>
    </row>
    <row r="1511" spans="1:18" ht="30" customHeight="1" x14ac:dyDescent="0.45">
      <c r="A1511" s="47"/>
      <c r="B1511" s="1092"/>
      <c r="C1511" s="1092"/>
      <c r="D1511" s="1092"/>
      <c r="E1511" s="221"/>
      <c r="F1511" s="58"/>
      <c r="G1511" s="179"/>
      <c r="H1511" s="179"/>
      <c r="I1511" s="47"/>
      <c r="J1511" s="47" t="s">
        <v>360</v>
      </c>
      <c r="K1511" s="221">
        <f>SUM(K1500:K1510)</f>
        <v>192.23185432762179</v>
      </c>
      <c r="L1511" s="47" t="s">
        <v>35</v>
      </c>
      <c r="M1511" s="25"/>
      <c r="O1511" s="2"/>
    </row>
    <row r="1512" spans="1:18" ht="30" customHeight="1" x14ac:dyDescent="0.45">
      <c r="A1512" s="47"/>
      <c r="B1512" s="224"/>
      <c r="C1512" s="224"/>
      <c r="D1512" s="224"/>
      <c r="E1512" s="224"/>
      <c r="F1512" s="1011" t="s">
        <v>285</v>
      </c>
      <c r="G1512" s="1013" t="s">
        <v>286</v>
      </c>
      <c r="H1512" s="1013"/>
      <c r="I1512" s="1013"/>
      <c r="J1512" s="1013"/>
      <c r="K1512" s="278">
        <v>1.08</v>
      </c>
      <c r="L1512" s="47"/>
      <c r="M1512" s="25"/>
      <c r="O1512" s="2"/>
    </row>
    <row r="1513" spans="1:18" ht="30" customHeight="1" x14ac:dyDescent="0.45">
      <c r="A1513" s="47"/>
      <c r="B1513" s="224"/>
      <c r="C1513" s="224"/>
      <c r="D1513" s="224"/>
      <c r="E1513" s="224"/>
      <c r="F1513" s="1012"/>
      <c r="G1513" s="1014" t="s">
        <v>580</v>
      </c>
      <c r="H1513" s="1014"/>
      <c r="I1513" s="1014"/>
      <c r="J1513" s="1014"/>
      <c r="K1513" s="278">
        <v>1.08</v>
      </c>
      <c r="L1513" s="47"/>
      <c r="M1513" s="25"/>
      <c r="O1513" s="2"/>
    </row>
    <row r="1514" spans="1:18" ht="30" customHeight="1" x14ac:dyDescent="0.45">
      <c r="A1514" s="47"/>
      <c r="B1514" s="47"/>
      <c r="C1514" s="58"/>
      <c r="D1514" s="58"/>
      <c r="E1514" s="58"/>
      <c r="F1514" s="58"/>
      <c r="G1514" s="58"/>
      <c r="H1514" s="58"/>
      <c r="I1514" s="58"/>
      <c r="J1514" s="47" t="s">
        <v>39</v>
      </c>
      <c r="K1514" s="216">
        <f>+K1511*K1512/K1513</f>
        <v>192.23185432762179</v>
      </c>
      <c r="L1514" s="47" t="s">
        <v>35</v>
      </c>
      <c r="M1514" s="25"/>
      <c r="O1514" s="2"/>
    </row>
    <row r="1515" spans="1:18" ht="30" customHeight="1" x14ac:dyDescent="0.45">
      <c r="A1515" s="47"/>
      <c r="B1515" s="47"/>
      <c r="C1515" s="58"/>
      <c r="D1515" s="58"/>
      <c r="E1515" s="58"/>
      <c r="F1515" s="509"/>
      <c r="G1515" s="1021" t="s">
        <v>288</v>
      </c>
      <c r="H1515" s="1022"/>
      <c r="I1515" s="1023"/>
      <c r="J1515" s="213">
        <f>VLOOKUP(B1498,'[1]Mil Cost Premiums for PUCs'!$A$4:$R$278,18,FALSE)</f>
        <v>1.1932356231980656</v>
      </c>
      <c r="K1515" s="216">
        <f>+K1514*J1515</f>
        <v>229.37789649713955</v>
      </c>
      <c r="L1515" s="47" t="s">
        <v>35</v>
      </c>
      <c r="M1515" s="25"/>
      <c r="O1515" s="2"/>
    </row>
    <row r="1516" spans="1:18" ht="30" customHeight="1" x14ac:dyDescent="0.45">
      <c r="A1516" s="47"/>
      <c r="B1516" s="47"/>
      <c r="C1516" s="58"/>
      <c r="D1516" s="58"/>
      <c r="E1516" s="58"/>
      <c r="F1516" s="1175" t="s">
        <v>581</v>
      </c>
      <c r="G1516" s="1086"/>
      <c r="H1516" s="1086"/>
      <c r="I1516" s="1086"/>
      <c r="J1516" s="213">
        <v>1.0833999999999999</v>
      </c>
      <c r="K1516" s="363">
        <f>K1515*J1516</f>
        <v>248.50801306500097</v>
      </c>
      <c r="L1516" s="47" t="s">
        <v>35</v>
      </c>
      <c r="M1516" s="25"/>
      <c r="O1516" s="2"/>
    </row>
    <row r="1517" spans="1:18" ht="30" customHeight="1" x14ac:dyDescent="0.45">
      <c r="A1517" s="225"/>
      <c r="B1517" s="225"/>
      <c r="C1517" s="150"/>
      <c r="D1517" s="150"/>
      <c r="E1517" s="150"/>
      <c r="F1517" s="150"/>
      <c r="G1517" s="1025" t="s">
        <v>299</v>
      </c>
      <c r="H1517" s="1026"/>
      <c r="I1517" s="1027"/>
      <c r="J1517" s="226">
        <v>1.1214</v>
      </c>
      <c r="K1517" s="227">
        <f>+K1516*J1517</f>
        <v>278.67688585109209</v>
      </c>
      <c r="L1517" s="47" t="s">
        <v>35</v>
      </c>
      <c r="M1517" s="25"/>
    </row>
    <row r="1518" spans="1:18" ht="30" customHeight="1" x14ac:dyDescent="0.45">
      <c r="A1518" s="1181" t="s">
        <v>366</v>
      </c>
      <c r="B1518" s="1182"/>
      <c r="C1518" s="1182"/>
      <c r="D1518" s="1182"/>
      <c r="E1518" s="1182"/>
      <c r="F1518" s="1182"/>
      <c r="G1518" s="1182"/>
      <c r="H1518" s="1182"/>
      <c r="I1518" s="1182"/>
      <c r="J1518" s="1182"/>
      <c r="K1518" s="1182"/>
      <c r="L1518" s="1183"/>
      <c r="M1518" s="25"/>
      <c r="O1518" s="2"/>
    </row>
    <row r="1519" spans="1:18" ht="60" customHeight="1" x14ac:dyDescent="0.45">
      <c r="A1519" s="1325" t="s">
        <v>367</v>
      </c>
      <c r="B1519" s="1326"/>
      <c r="C1519" s="1327"/>
      <c r="D1519" s="1181" t="s">
        <v>1069</v>
      </c>
      <c r="E1519" s="1182"/>
      <c r="F1519" s="1182"/>
      <c r="G1519" s="1182"/>
      <c r="H1519" s="1182"/>
      <c r="I1519" s="1182"/>
      <c r="J1519" s="1182"/>
      <c r="K1519" s="1182"/>
      <c r="L1519" s="1183"/>
      <c r="M1519" s="25"/>
      <c r="O1519" s="2"/>
    </row>
    <row r="1520" spans="1:18" ht="30" customHeight="1" x14ac:dyDescent="0.45">
      <c r="A1520" s="1325" t="s">
        <v>369</v>
      </c>
      <c r="B1520" s="1326"/>
      <c r="C1520" s="1327"/>
      <c r="D1520" s="1181" t="s">
        <v>1070</v>
      </c>
      <c r="E1520" s="1182"/>
      <c r="F1520" s="1182"/>
      <c r="G1520" s="1182"/>
      <c r="H1520" s="1182"/>
      <c r="I1520" s="1182"/>
      <c r="J1520" s="1182"/>
      <c r="K1520" s="1182"/>
      <c r="L1520" s="1183"/>
      <c r="M1520" s="25"/>
      <c r="O1520" s="2"/>
    </row>
    <row r="1521" spans="1:18" ht="30" customHeight="1" x14ac:dyDescent="0.45">
      <c r="A1521" s="1325" t="s">
        <v>371</v>
      </c>
      <c r="B1521" s="1326"/>
      <c r="C1521" s="1327"/>
      <c r="D1521" s="1181" t="s">
        <v>1071</v>
      </c>
      <c r="E1521" s="1182"/>
      <c r="F1521" s="1182"/>
      <c r="G1521" s="1182"/>
      <c r="H1521" s="1182"/>
      <c r="I1521" s="1182"/>
      <c r="J1521" s="1182"/>
      <c r="K1521" s="1182"/>
      <c r="L1521" s="1183"/>
      <c r="M1521" s="25"/>
      <c r="O1521" s="2"/>
    </row>
    <row r="1522" spans="1:18" ht="30" customHeight="1" x14ac:dyDescent="0.45">
      <c r="A1522" s="1325" t="s">
        <v>373</v>
      </c>
      <c r="B1522" s="1326"/>
      <c r="C1522" s="1327"/>
      <c r="D1522" s="1181" t="s">
        <v>1072</v>
      </c>
      <c r="E1522" s="1182"/>
      <c r="F1522" s="1182"/>
      <c r="G1522" s="1182"/>
      <c r="H1522" s="1182"/>
      <c r="I1522" s="1182"/>
      <c r="J1522" s="1182"/>
      <c r="K1522" s="1182"/>
      <c r="L1522" s="1183"/>
      <c r="M1522" s="25"/>
      <c r="O1522" s="2"/>
    </row>
    <row r="1523" spans="1:18" ht="30" customHeight="1" x14ac:dyDescent="0.45">
      <c r="A1523" s="1325" t="s">
        <v>375</v>
      </c>
      <c r="B1523" s="1326"/>
      <c r="C1523" s="1327"/>
      <c r="D1523" s="1181" t="s">
        <v>1073</v>
      </c>
      <c r="E1523" s="1182"/>
      <c r="F1523" s="1182"/>
      <c r="G1523" s="1182"/>
      <c r="H1523" s="1182"/>
      <c r="I1523" s="1182"/>
      <c r="J1523" s="1182"/>
      <c r="K1523" s="1182"/>
      <c r="L1523" s="1183"/>
      <c r="M1523" s="25"/>
      <c r="O1523" s="2"/>
    </row>
    <row r="1524" spans="1:18" ht="90" customHeight="1" x14ac:dyDescent="0.45">
      <c r="A1524" s="1325" t="s">
        <v>377</v>
      </c>
      <c r="B1524" s="1326"/>
      <c r="C1524" s="1327"/>
      <c r="D1524" s="1181" t="s">
        <v>1074</v>
      </c>
      <c r="E1524" s="1182"/>
      <c r="F1524" s="1182"/>
      <c r="G1524" s="1182"/>
      <c r="H1524" s="1182"/>
      <c r="I1524" s="1182"/>
      <c r="J1524" s="1182"/>
      <c r="K1524" s="1182"/>
      <c r="L1524" s="1183"/>
      <c r="M1524" s="25"/>
      <c r="O1524" s="2"/>
    </row>
    <row r="1525" spans="1:18" ht="30" customHeight="1" x14ac:dyDescent="0.45">
      <c r="A1525" s="1325" t="s">
        <v>379</v>
      </c>
      <c r="B1525" s="1326"/>
      <c r="C1525" s="1327"/>
      <c r="D1525" s="1181" t="s">
        <v>1075</v>
      </c>
      <c r="E1525" s="1182"/>
      <c r="F1525" s="1182"/>
      <c r="G1525" s="1182"/>
      <c r="H1525" s="1182"/>
      <c r="I1525" s="1182"/>
      <c r="J1525" s="1182"/>
      <c r="K1525" s="1182"/>
      <c r="L1525" s="1183"/>
      <c r="M1525" s="25"/>
      <c r="O1525" s="2"/>
    </row>
    <row r="1526" spans="1:18" ht="30" customHeight="1" x14ac:dyDescent="0.45">
      <c r="A1526" s="1325" t="s">
        <v>512</v>
      </c>
      <c r="B1526" s="1326"/>
      <c r="C1526" s="1327"/>
      <c r="D1526" s="1328" t="s">
        <v>1076</v>
      </c>
      <c r="E1526" s="1329"/>
      <c r="F1526" s="1329"/>
      <c r="G1526" s="1329"/>
      <c r="H1526" s="1329"/>
      <c r="I1526" s="1329"/>
      <c r="J1526" s="1329"/>
      <c r="K1526" s="1329"/>
      <c r="L1526" s="1330"/>
      <c r="O1526" s="2"/>
    </row>
    <row r="1527" spans="1:18" ht="75" customHeight="1" thickBot="1" x14ac:dyDescent="0.5">
      <c r="A1527" s="1331" t="s">
        <v>513</v>
      </c>
      <c r="B1527" s="1332"/>
      <c r="C1527" s="1333"/>
      <c r="D1527" s="1187" t="s">
        <v>1077</v>
      </c>
      <c r="E1527" s="1188"/>
      <c r="F1527" s="1188"/>
      <c r="G1527" s="1188"/>
      <c r="H1527" s="1188"/>
      <c r="I1527" s="1188"/>
      <c r="J1527" s="1188"/>
      <c r="K1527" s="1188"/>
      <c r="L1527" s="1189"/>
      <c r="M1527" s="25"/>
      <c r="N1527" s="26"/>
      <c r="O1527" s="2"/>
      <c r="P1527" s="27"/>
      <c r="Q1527" s="26"/>
      <c r="R1527" s="28"/>
    </row>
    <row r="1528" spans="1:18" ht="30" customHeight="1" thickBot="1" x14ac:dyDescent="0.5">
      <c r="A1528" s="999"/>
      <c r="B1528" s="1000"/>
      <c r="C1528" s="1000"/>
      <c r="D1528" s="1000"/>
      <c r="E1528" s="1000"/>
      <c r="F1528" s="1000"/>
      <c r="G1528" s="1000"/>
      <c r="H1528" s="1000"/>
      <c r="I1528" s="1000"/>
      <c r="J1528" s="1000"/>
      <c r="K1528" s="1000"/>
      <c r="L1528" s="1001"/>
      <c r="M1528" s="25"/>
      <c r="N1528" s="26"/>
      <c r="O1528" s="2"/>
      <c r="P1528" s="27"/>
      <c r="Q1528" s="26"/>
      <c r="R1528" s="28"/>
    </row>
    <row r="1529" spans="1:18" ht="30" customHeight="1" x14ac:dyDescent="0.45">
      <c r="A1529" s="9" t="s">
        <v>4</v>
      </c>
      <c r="B1529" s="10">
        <v>2124</v>
      </c>
      <c r="C1529" s="983" t="s">
        <v>1078</v>
      </c>
      <c r="D1529" s="984"/>
      <c r="E1529" s="13" t="s">
        <v>7</v>
      </c>
      <c r="F1529" s="14" t="s">
        <v>88</v>
      </c>
      <c r="G1529" s="161" t="s">
        <v>1079</v>
      </c>
      <c r="H1529" s="300">
        <v>14400</v>
      </c>
      <c r="I1529" s="13" t="s">
        <v>9</v>
      </c>
      <c r="J1529" s="985" t="s">
        <v>276</v>
      </c>
      <c r="K1529" s="985"/>
      <c r="L1529" s="986"/>
      <c r="M1529" s="25"/>
      <c r="N1529" s="26"/>
      <c r="O1529" s="2"/>
      <c r="P1529" s="27"/>
      <c r="Q1529" s="26"/>
      <c r="R1529" s="28"/>
    </row>
    <row r="1530" spans="1:18" ht="30" customHeight="1" x14ac:dyDescent="0.45">
      <c r="A1530" s="85" t="s">
        <v>277</v>
      </c>
      <c r="B1530" s="987" t="s">
        <v>293</v>
      </c>
      <c r="C1530" s="988"/>
      <c r="D1530" s="989"/>
      <c r="E1530" s="220" t="s">
        <v>13</v>
      </c>
      <c r="F1530" s="220" t="s">
        <v>14</v>
      </c>
      <c r="G1530" s="990" t="s">
        <v>15</v>
      </c>
      <c r="H1530" s="991"/>
      <c r="I1530" s="19" t="s">
        <v>278</v>
      </c>
      <c r="J1530" s="19"/>
      <c r="K1530" s="992" t="s">
        <v>17</v>
      </c>
      <c r="L1530" s="993"/>
      <c r="M1530" s="25"/>
      <c r="O1530" s="2"/>
    </row>
    <row r="1531" spans="1:18" ht="30" customHeight="1" x14ac:dyDescent="0.45">
      <c r="A1531" s="47" t="s">
        <v>279</v>
      </c>
      <c r="B1531" s="1008" t="s">
        <v>1080</v>
      </c>
      <c r="C1531" s="1009"/>
      <c r="D1531" s="1010"/>
      <c r="E1531" s="221">
        <v>90000</v>
      </c>
      <c r="F1531" s="47" t="s">
        <v>88</v>
      </c>
      <c r="G1531" s="348"/>
      <c r="H1531" s="349"/>
      <c r="I1531" s="510">
        <v>1.1100000000000001</v>
      </c>
      <c r="J1531" s="510"/>
      <c r="K1531" s="378">
        <f>+E1531*I1531</f>
        <v>99900.000000000015</v>
      </c>
      <c r="L1531" s="56" t="s">
        <v>88</v>
      </c>
      <c r="M1531" s="25"/>
      <c r="O1531" s="2"/>
    </row>
    <row r="1532" spans="1:18" ht="30" customHeight="1" x14ac:dyDescent="0.45">
      <c r="A1532" s="47" t="s">
        <v>646</v>
      </c>
      <c r="B1532" s="1008" t="s">
        <v>1081</v>
      </c>
      <c r="C1532" s="1009"/>
      <c r="D1532" s="1010"/>
      <c r="E1532" s="378">
        <f>+((5.87+8.77)/2)+(8*(0.53+0.77)/2)+((0.61+3.1)/2)</f>
        <v>14.375</v>
      </c>
      <c r="F1532" s="56" t="s">
        <v>35</v>
      </c>
      <c r="G1532" s="409">
        <f>+H1529</f>
        <v>14400</v>
      </c>
      <c r="H1532" s="349" t="s">
        <v>296</v>
      </c>
      <c r="I1532" s="365">
        <v>1.1100000000000001</v>
      </c>
      <c r="J1532" s="365"/>
      <c r="K1532" s="375">
        <f>+E1532*G1532*I1532</f>
        <v>229770.00000000003</v>
      </c>
      <c r="L1532" s="56" t="s">
        <v>88</v>
      </c>
      <c r="M1532" s="25"/>
      <c r="O1532" s="2"/>
    </row>
    <row r="1533" spans="1:18" ht="30" customHeight="1" x14ac:dyDescent="0.45">
      <c r="A1533" s="47" t="s">
        <v>470</v>
      </c>
      <c r="B1533" s="1008" t="s">
        <v>1082</v>
      </c>
      <c r="C1533" s="1009"/>
      <c r="D1533" s="1010"/>
      <c r="E1533" s="221">
        <v>144</v>
      </c>
      <c r="F1533" s="47" t="s">
        <v>113</v>
      </c>
      <c r="G1533" s="511">
        <v>100</v>
      </c>
      <c r="H1533" s="349" t="s">
        <v>473</v>
      </c>
      <c r="I1533" s="47">
        <v>1.26</v>
      </c>
      <c r="J1533" s="365"/>
      <c r="K1533" s="378">
        <f>+E1533*G1533*I1533</f>
        <v>18144</v>
      </c>
      <c r="L1533" s="56" t="s">
        <v>88</v>
      </c>
      <c r="M1533" s="25"/>
      <c r="O1533" s="2"/>
    </row>
    <row r="1534" spans="1:18" ht="30" customHeight="1" x14ac:dyDescent="0.45">
      <c r="A1534" s="47" t="s">
        <v>470</v>
      </c>
      <c r="B1534" s="1008" t="s">
        <v>1083</v>
      </c>
      <c r="C1534" s="1009"/>
      <c r="D1534" s="1010"/>
      <c r="E1534" s="221">
        <v>3525</v>
      </c>
      <c r="F1534" s="47" t="s">
        <v>88</v>
      </c>
      <c r="G1534" s="348"/>
      <c r="H1534" s="349"/>
      <c r="I1534" s="47">
        <v>1.26</v>
      </c>
      <c r="J1534" s="365"/>
      <c r="K1534" s="378">
        <f>+E1534*I1534</f>
        <v>4441.5</v>
      </c>
      <c r="L1534" s="56" t="s">
        <v>88</v>
      </c>
      <c r="M1534" s="25"/>
      <c r="O1534" s="2"/>
    </row>
    <row r="1535" spans="1:18" ht="30" customHeight="1" x14ac:dyDescent="0.45">
      <c r="A1535" s="47"/>
      <c r="B1535" s="224"/>
      <c r="C1535" s="224"/>
      <c r="D1535" s="224"/>
      <c r="E1535" s="216"/>
      <c r="F1535" s="47"/>
      <c r="G1535" s="58"/>
      <c r="H1535" s="179"/>
      <c r="I1535" s="47"/>
      <c r="J1535" s="47" t="s">
        <v>38</v>
      </c>
      <c r="K1535" s="221">
        <f>SUM(K1531:K1534)</f>
        <v>352255.50000000006</v>
      </c>
      <c r="L1535" s="47" t="s">
        <v>88</v>
      </c>
      <c r="M1535" s="25"/>
      <c r="O1535" s="2"/>
    </row>
    <row r="1536" spans="1:18" ht="30" customHeight="1" x14ac:dyDescent="0.45">
      <c r="A1536" s="47"/>
      <c r="B1536" s="224"/>
      <c r="C1536" s="224"/>
      <c r="D1536" s="224"/>
      <c r="E1536" s="221"/>
      <c r="F1536" s="1011" t="s">
        <v>285</v>
      </c>
      <c r="G1536" s="1013" t="s">
        <v>286</v>
      </c>
      <c r="H1536" s="1013"/>
      <c r="I1536" s="1013"/>
      <c r="J1536" s="1013"/>
      <c r="K1536" s="278">
        <v>1.06</v>
      </c>
      <c r="L1536" s="47"/>
      <c r="M1536" s="121"/>
      <c r="O1536" s="2"/>
    </row>
    <row r="1537" spans="1:24" ht="30" customHeight="1" x14ac:dyDescent="0.45">
      <c r="A1537" s="47"/>
      <c r="B1537" s="224"/>
      <c r="C1537" s="224"/>
      <c r="D1537" s="224"/>
      <c r="E1537" s="221"/>
      <c r="F1537" s="1012"/>
      <c r="G1537" s="1014" t="s">
        <v>287</v>
      </c>
      <c r="H1537" s="1014"/>
      <c r="I1537" s="1014"/>
      <c r="J1537" s="1014"/>
      <c r="K1537" s="278">
        <v>1.05</v>
      </c>
      <c r="L1537" s="47"/>
      <c r="M1537" s="25"/>
      <c r="O1537" s="2"/>
    </row>
    <row r="1538" spans="1:24" ht="30" customHeight="1" x14ac:dyDescent="0.45">
      <c r="A1538" s="47"/>
      <c r="B1538" s="47"/>
      <c r="C1538" s="58"/>
      <c r="D1538" s="58"/>
      <c r="E1538" s="58"/>
      <c r="F1538" s="58"/>
      <c r="G1538" s="58"/>
      <c r="H1538" s="58"/>
      <c r="I1538" s="58"/>
      <c r="J1538" s="58" t="s">
        <v>39</v>
      </c>
      <c r="K1538" s="216">
        <f>+K1535*K1536/K1537</f>
        <v>355610.31428571435</v>
      </c>
      <c r="L1538" s="47" t="s">
        <v>88</v>
      </c>
      <c r="M1538" s="25"/>
      <c r="O1538" s="2"/>
    </row>
    <row r="1539" spans="1:24" ht="30" customHeight="1" thickBot="1" x14ac:dyDescent="0.5">
      <c r="A1539" s="47"/>
      <c r="B1539" s="1092"/>
      <c r="C1539" s="1092"/>
      <c r="D1539" s="1092"/>
      <c r="E1539" s="58"/>
      <c r="F1539" s="58"/>
      <c r="G1539" s="1032" t="s">
        <v>288</v>
      </c>
      <c r="H1539" s="1033"/>
      <c r="I1539" s="1034"/>
      <c r="J1539" s="213">
        <f>VLOOKUP(B1529,'[1]Mil Cost Premiums for PUCs'!$A$4:$R$278,18,FALSE)</f>
        <v>1.1233553701921195</v>
      </c>
      <c r="K1539" s="216">
        <f>+K1538*J1539</f>
        <v>399476.75624856463</v>
      </c>
      <c r="L1539" s="47" t="s">
        <v>88</v>
      </c>
      <c r="M1539" s="25"/>
      <c r="O1539" s="2"/>
    </row>
    <row r="1540" spans="1:24" ht="30" customHeight="1" thickBot="1" x14ac:dyDescent="0.5">
      <c r="A1540" s="999"/>
      <c r="B1540" s="1000"/>
      <c r="C1540" s="1000"/>
      <c r="D1540" s="1000"/>
      <c r="E1540" s="1000"/>
      <c r="F1540" s="1000"/>
      <c r="G1540" s="1000"/>
      <c r="H1540" s="1000"/>
      <c r="I1540" s="1000"/>
      <c r="J1540" s="1000"/>
      <c r="K1540" s="1000"/>
      <c r="L1540" s="1001"/>
      <c r="M1540" s="25"/>
      <c r="O1540" s="2"/>
    </row>
    <row r="1541" spans="1:24" ht="30" customHeight="1" x14ac:dyDescent="0.45">
      <c r="A1541" s="93" t="s">
        <v>4</v>
      </c>
      <c r="B1541" s="76">
        <v>2125</v>
      </c>
      <c r="C1541" s="1196" t="s">
        <v>1084</v>
      </c>
      <c r="D1541" s="1196"/>
      <c r="E1541" s="94" t="s">
        <v>7</v>
      </c>
      <c r="F1541" s="95" t="s">
        <v>35</v>
      </c>
      <c r="G1541" s="102" t="s">
        <v>6</v>
      </c>
      <c r="H1541" s="508">
        <v>33011</v>
      </c>
      <c r="I1541" s="94" t="s">
        <v>9</v>
      </c>
      <c r="J1541" s="985" t="s">
        <v>575</v>
      </c>
      <c r="K1541" s="985"/>
      <c r="L1541" s="986"/>
      <c r="M1541" s="25"/>
      <c r="O1541" s="2"/>
    </row>
    <row r="1542" spans="1:24" ht="30" customHeight="1" x14ac:dyDescent="0.45">
      <c r="A1542" s="85" t="s">
        <v>277</v>
      </c>
      <c r="B1542" s="987" t="s">
        <v>293</v>
      </c>
      <c r="C1542" s="988"/>
      <c r="D1542" s="989"/>
      <c r="E1542" s="220" t="s">
        <v>13</v>
      </c>
      <c r="F1542" s="220" t="s">
        <v>14</v>
      </c>
      <c r="G1542" s="992" t="s">
        <v>15</v>
      </c>
      <c r="H1542" s="993"/>
      <c r="I1542" s="436" t="s">
        <v>1044</v>
      </c>
      <c r="J1542" s="19" t="s">
        <v>278</v>
      </c>
      <c r="K1542" s="992" t="s">
        <v>17</v>
      </c>
      <c r="L1542" s="993"/>
      <c r="M1542" s="25"/>
      <c r="O1542" s="2"/>
    </row>
    <row r="1543" spans="1:24" ht="30" customHeight="1" x14ac:dyDescent="0.45">
      <c r="A1543" s="47" t="s">
        <v>1045</v>
      </c>
      <c r="B1543" s="1018" t="s">
        <v>1085</v>
      </c>
      <c r="C1543" s="1019"/>
      <c r="D1543" s="1020"/>
      <c r="E1543" s="221">
        <f>164-2.51</f>
        <v>161.49</v>
      </c>
      <c r="F1543" s="47" t="s">
        <v>35</v>
      </c>
      <c r="G1543" s="348"/>
      <c r="H1543" s="349"/>
      <c r="I1543" s="505">
        <f>+E1543</f>
        <v>161.49</v>
      </c>
      <c r="J1543" s="47">
        <v>1.01</v>
      </c>
      <c r="K1543" s="378">
        <f t="shared" ref="K1543:K1553" si="43">+I1543*J1543</f>
        <v>163.10490000000001</v>
      </c>
      <c r="L1543" s="47" t="s">
        <v>35</v>
      </c>
      <c r="M1543" s="25"/>
      <c r="O1543" s="2"/>
    </row>
    <row r="1544" spans="1:24" ht="45" customHeight="1" x14ac:dyDescent="0.45">
      <c r="A1544" s="47" t="s">
        <v>358</v>
      </c>
      <c r="B1544" s="1018" t="s">
        <v>1086</v>
      </c>
      <c r="C1544" s="1019"/>
      <c r="D1544" s="1020"/>
      <c r="E1544" s="1">
        <v>3.61</v>
      </c>
      <c r="F1544" s="47" t="s">
        <v>35</v>
      </c>
      <c r="G1544" s="42"/>
      <c r="H1544" s="206"/>
      <c r="I1544" s="506">
        <f>+E1544</f>
        <v>3.61</v>
      </c>
      <c r="J1544" s="47">
        <v>1.01</v>
      </c>
      <c r="K1544" s="378">
        <f t="shared" si="43"/>
        <v>3.6461000000000001</v>
      </c>
      <c r="L1544" s="47" t="s">
        <v>35</v>
      </c>
      <c r="M1544" s="25"/>
      <c r="O1544" s="2"/>
    </row>
    <row r="1545" spans="1:24" ht="30" customHeight="1" x14ac:dyDescent="0.45">
      <c r="A1545" s="47" t="s">
        <v>358</v>
      </c>
      <c r="B1545" s="1018" t="s">
        <v>1047</v>
      </c>
      <c r="C1545" s="1019"/>
      <c r="D1545" s="1020"/>
      <c r="E1545" s="216">
        <f>0.15*E1544</f>
        <v>0.54149999999999998</v>
      </c>
      <c r="F1545" s="222" t="s">
        <v>35</v>
      </c>
      <c r="G1545" s="42"/>
      <c r="H1545" s="206"/>
      <c r="I1545" s="506">
        <f>E1545</f>
        <v>0.54149999999999998</v>
      </c>
      <c r="J1545" s="47">
        <v>1.01</v>
      </c>
      <c r="K1545" s="221">
        <f t="shared" si="43"/>
        <v>0.54691500000000004</v>
      </c>
      <c r="L1545" s="47" t="s">
        <v>35</v>
      </c>
      <c r="O1545" s="2"/>
    </row>
    <row r="1546" spans="1:24" ht="30" customHeight="1" x14ac:dyDescent="0.45">
      <c r="A1546" s="47" t="s">
        <v>358</v>
      </c>
      <c r="B1546" s="1018" t="s">
        <v>1048</v>
      </c>
      <c r="C1546" s="1019"/>
      <c r="D1546" s="1020"/>
      <c r="E1546" s="216">
        <f xml:space="preserve"> 0.58+((1.15+1.71)/2)</f>
        <v>2.0099999999999998</v>
      </c>
      <c r="F1546" s="222" t="s">
        <v>35</v>
      </c>
      <c r="G1546" s="42"/>
      <c r="H1546" s="206"/>
      <c r="I1546" s="506">
        <f>E1546</f>
        <v>2.0099999999999998</v>
      </c>
      <c r="J1546" s="47">
        <v>1.01</v>
      </c>
      <c r="K1546" s="221">
        <f t="shared" si="43"/>
        <v>2.0301</v>
      </c>
      <c r="L1546" s="47" t="s">
        <v>35</v>
      </c>
      <c r="M1546" s="25"/>
      <c r="N1546" s="26"/>
      <c r="O1546" s="2"/>
      <c r="P1546" s="27"/>
      <c r="Q1546" s="26"/>
      <c r="R1546" s="28"/>
    </row>
    <row r="1547" spans="1:24" ht="30" customHeight="1" x14ac:dyDescent="0.45">
      <c r="A1547" s="47" t="s">
        <v>470</v>
      </c>
      <c r="B1547" s="1018" t="s">
        <v>1087</v>
      </c>
      <c r="C1547" s="1019"/>
      <c r="D1547" s="1020"/>
      <c r="E1547" s="221">
        <v>177000</v>
      </c>
      <c r="F1547" s="222" t="s">
        <v>88</v>
      </c>
      <c r="G1547" s="42"/>
      <c r="H1547" s="206" t="s">
        <v>1061</v>
      </c>
      <c r="I1547" s="506">
        <f>+E1547*2/$H$1541</f>
        <v>10.723698161218987</v>
      </c>
      <c r="J1547" s="47">
        <v>1.02</v>
      </c>
      <c r="K1547" s="221">
        <f t="shared" si="43"/>
        <v>10.938172124443367</v>
      </c>
      <c r="L1547" s="47" t="s">
        <v>35</v>
      </c>
      <c r="M1547" s="25"/>
      <c r="O1547" s="2"/>
    </row>
    <row r="1548" spans="1:24" ht="30" customHeight="1" x14ac:dyDescent="0.45">
      <c r="A1548" s="47" t="s">
        <v>1050</v>
      </c>
      <c r="B1548" s="1338" t="s">
        <v>1088</v>
      </c>
      <c r="C1548" s="1339"/>
      <c r="D1548" s="1339"/>
      <c r="E1548" s="216">
        <f>(20.3+31.5)/2</f>
        <v>25.9</v>
      </c>
      <c r="F1548" s="222" t="s">
        <v>1052</v>
      </c>
      <c r="G1548" s="42">
        <f>4*81</f>
        <v>324</v>
      </c>
      <c r="H1548" s="206" t="s">
        <v>35</v>
      </c>
      <c r="I1548" s="506">
        <f>+E1548*G1548/H1541</f>
        <v>0.25420617369967585</v>
      </c>
      <c r="J1548" s="47">
        <v>1.03</v>
      </c>
      <c r="K1548" s="221">
        <f t="shared" si="43"/>
        <v>0.26183235891066614</v>
      </c>
      <c r="L1548" s="47" t="s">
        <v>35</v>
      </c>
      <c r="M1548" s="25"/>
      <c r="O1548" s="2"/>
    </row>
    <row r="1549" spans="1:24" ht="30" customHeight="1" x14ac:dyDescent="0.45">
      <c r="A1549" s="47" t="s">
        <v>1050</v>
      </c>
      <c r="B1549" s="1111" t="s">
        <v>1089</v>
      </c>
      <c r="C1549" s="1112"/>
      <c r="D1549" s="1113"/>
      <c r="E1549" s="507">
        <f>(1710+2420)/2</f>
        <v>2065</v>
      </c>
      <c r="F1549" s="47" t="s">
        <v>88</v>
      </c>
      <c r="G1549" s="79">
        <v>4</v>
      </c>
      <c r="H1549" s="216" t="s">
        <v>1090</v>
      </c>
      <c r="I1549" s="506">
        <f>+E1549*G1549/$H$1541</f>
        <v>0.25021962376177637</v>
      </c>
      <c r="J1549" s="47">
        <v>1.03</v>
      </c>
      <c r="K1549" s="221">
        <f t="shared" si="43"/>
        <v>0.25772621247462968</v>
      </c>
      <c r="L1549" s="47" t="s">
        <v>35</v>
      </c>
      <c r="M1549" s="25"/>
      <c r="O1549" s="2"/>
    </row>
    <row r="1550" spans="1:24" ht="30" customHeight="1" x14ac:dyDescent="0.45">
      <c r="A1550" s="47" t="s">
        <v>1055</v>
      </c>
      <c r="B1550" s="1018" t="s">
        <v>1091</v>
      </c>
      <c r="C1550" s="1019"/>
      <c r="D1550" s="1020"/>
      <c r="E1550" s="221">
        <f>+(34.5+82)/2</f>
        <v>58.25</v>
      </c>
      <c r="F1550" s="222" t="s">
        <v>113</v>
      </c>
      <c r="G1550" s="42">
        <f>4*10</f>
        <v>40</v>
      </c>
      <c r="H1550" s="206" t="s">
        <v>1092</v>
      </c>
      <c r="I1550" s="506">
        <f>+E1550*G1550/$H$1541</f>
        <v>7.0582533095028932E-2</v>
      </c>
      <c r="J1550" s="47">
        <v>1.03</v>
      </c>
      <c r="K1550" s="221">
        <f t="shared" si="43"/>
        <v>7.2700009087879797E-2</v>
      </c>
      <c r="L1550" s="47" t="s">
        <v>35</v>
      </c>
      <c r="M1550" s="121"/>
      <c r="S1550" s="41"/>
      <c r="T1550" s="41"/>
    </row>
    <row r="1551" spans="1:24" ht="30" customHeight="1" x14ac:dyDescent="0.45">
      <c r="A1551" s="47" t="s">
        <v>1055</v>
      </c>
      <c r="B1551" s="1018" t="s">
        <v>1093</v>
      </c>
      <c r="C1551" s="1019"/>
      <c r="D1551" s="1020"/>
      <c r="E1551" s="221">
        <f>+(6450+12300)/2</f>
        <v>9375</v>
      </c>
      <c r="F1551" s="222" t="s">
        <v>88</v>
      </c>
      <c r="G1551" s="42">
        <v>4</v>
      </c>
      <c r="H1551" s="206" t="s">
        <v>1061</v>
      </c>
      <c r="I1551" s="506">
        <f>+E1551*G1551/$H$1541</f>
        <v>1.1359849747054012</v>
      </c>
      <c r="J1551" s="47">
        <v>1.03</v>
      </c>
      <c r="K1551" s="221">
        <f t="shared" si="43"/>
        <v>1.1700645239465632</v>
      </c>
      <c r="L1551" s="47" t="s">
        <v>35</v>
      </c>
      <c r="M1551" s="121"/>
      <c r="S1551" s="41"/>
      <c r="T1551" s="41"/>
    </row>
    <row r="1552" spans="1:24" ht="30" customHeight="1" x14ac:dyDescent="0.45">
      <c r="A1552" s="47" t="s">
        <v>1055</v>
      </c>
      <c r="B1552" s="1018" t="s">
        <v>1094</v>
      </c>
      <c r="C1552" s="1019"/>
      <c r="D1552" s="1020"/>
      <c r="E1552" s="1">
        <f>+(660+1010)/2</f>
        <v>835</v>
      </c>
      <c r="F1552" s="222" t="s">
        <v>88</v>
      </c>
      <c r="G1552" s="42">
        <v>4</v>
      </c>
      <c r="H1552" s="206" t="s">
        <v>1061</v>
      </c>
      <c r="I1552" s="506">
        <f>+E1552*G1552/$H$1541</f>
        <v>0.10117839508042774</v>
      </c>
      <c r="J1552" s="47">
        <v>1.03</v>
      </c>
      <c r="K1552" s="221">
        <f t="shared" si="43"/>
        <v>0.10421374693284058</v>
      </c>
      <c r="L1552" s="47" t="s">
        <v>35</v>
      </c>
      <c r="M1552" s="25"/>
      <c r="N1552" s="229"/>
      <c r="O1552" s="5"/>
      <c r="P1552" s="18"/>
      <c r="Q1552" s="18"/>
      <c r="R1552" s="18"/>
      <c r="S1552" s="18"/>
      <c r="T1552" s="18"/>
      <c r="U1552" s="18"/>
      <c r="V1552" s="18"/>
      <c r="W1552" s="18"/>
      <c r="X1552" s="18"/>
    </row>
    <row r="1553" spans="1:24" s="18" customFormat="1" ht="30" customHeight="1" x14ac:dyDescent="0.45">
      <c r="A1553" s="47" t="s">
        <v>1055</v>
      </c>
      <c r="B1553" s="1018" t="s">
        <v>1095</v>
      </c>
      <c r="C1553" s="1019"/>
      <c r="D1553" s="1020"/>
      <c r="E1553" s="221">
        <f>+(1160+3475)/2</f>
        <v>2317.5</v>
      </c>
      <c r="F1553" s="222" t="s">
        <v>88</v>
      </c>
      <c r="G1553" s="42">
        <v>4</v>
      </c>
      <c r="H1553" s="206" t="s">
        <v>1061</v>
      </c>
      <c r="I1553" s="506">
        <f>+E1553*G1553/$H$1541</f>
        <v>0.28081548574717519</v>
      </c>
      <c r="J1553" s="47">
        <v>1.03</v>
      </c>
      <c r="K1553" s="221">
        <f t="shared" si="43"/>
        <v>0.28923995031959043</v>
      </c>
      <c r="L1553" s="47" t="s">
        <v>35</v>
      </c>
      <c r="M1553" s="25"/>
      <c r="N1553" s="2"/>
      <c r="O1553" s="3"/>
      <c r="P1553" s="2"/>
      <c r="Q1553" s="2"/>
      <c r="R1553" s="2"/>
      <c r="S1553" s="2"/>
      <c r="T1553" s="2"/>
      <c r="U1553" s="2"/>
      <c r="V1553" s="2"/>
      <c r="W1553" s="2"/>
      <c r="X1553" s="2"/>
    </row>
    <row r="1554" spans="1:24" ht="30" customHeight="1" x14ac:dyDescent="0.45">
      <c r="A1554" s="47"/>
      <c r="B1554" s="1092"/>
      <c r="C1554" s="1092"/>
      <c r="D1554" s="1092"/>
      <c r="E1554" s="221"/>
      <c r="F1554" s="58"/>
      <c r="G1554" s="179"/>
      <c r="H1554" s="179"/>
      <c r="I1554" s="47"/>
      <c r="J1554" s="47" t="s">
        <v>360</v>
      </c>
      <c r="K1554" s="221">
        <f>SUM(K1543:K1553)</f>
        <v>182.42196392611552</v>
      </c>
      <c r="L1554" s="47" t="s">
        <v>35</v>
      </c>
      <c r="M1554" s="25"/>
      <c r="N1554" s="3"/>
    </row>
    <row r="1555" spans="1:24" ht="30" customHeight="1" x14ac:dyDescent="0.45">
      <c r="A1555" s="47"/>
      <c r="B1555" s="224"/>
      <c r="C1555" s="224"/>
      <c r="D1555" s="224"/>
      <c r="E1555" s="224"/>
      <c r="F1555" s="1011" t="s">
        <v>285</v>
      </c>
      <c r="G1555" s="1013" t="s">
        <v>286</v>
      </c>
      <c r="H1555" s="1013"/>
      <c r="I1555" s="1013"/>
      <c r="J1555" s="1013"/>
      <c r="K1555" s="278">
        <v>1.08</v>
      </c>
      <c r="L1555" s="47"/>
      <c r="M1555" s="25"/>
      <c r="N1555" s="26"/>
      <c r="O1555" s="2"/>
      <c r="P1555" s="27"/>
      <c r="Q1555" s="26"/>
      <c r="R1555" s="28"/>
    </row>
    <row r="1556" spans="1:24" ht="30" customHeight="1" x14ac:dyDescent="0.45">
      <c r="A1556" s="47"/>
      <c r="B1556" s="224"/>
      <c r="C1556" s="224"/>
      <c r="D1556" s="224"/>
      <c r="E1556" s="224"/>
      <c r="F1556" s="1012"/>
      <c r="G1556" s="1014" t="s">
        <v>580</v>
      </c>
      <c r="H1556" s="1014"/>
      <c r="I1556" s="1014"/>
      <c r="J1556" s="1014"/>
      <c r="K1556" s="278">
        <v>1.08</v>
      </c>
      <c r="L1556" s="47"/>
      <c r="M1556" s="25"/>
      <c r="N1556" s="26"/>
      <c r="O1556" s="2"/>
      <c r="P1556" s="27"/>
      <c r="Q1556" s="26"/>
      <c r="R1556" s="28"/>
    </row>
    <row r="1557" spans="1:24" ht="30" customHeight="1" x14ac:dyDescent="0.45">
      <c r="A1557" s="47"/>
      <c r="B1557" s="47"/>
      <c r="C1557" s="58"/>
      <c r="D1557" s="58"/>
      <c r="E1557" s="58"/>
      <c r="F1557" s="58"/>
      <c r="G1557" s="58"/>
      <c r="H1557" s="58"/>
      <c r="I1557" s="58"/>
      <c r="J1557" s="58" t="s">
        <v>39</v>
      </c>
      <c r="K1557" s="216">
        <f>+K1554*K1555/K1556</f>
        <v>182.42196392611552</v>
      </c>
      <c r="L1557" s="47" t="s">
        <v>35</v>
      </c>
      <c r="M1557" s="25"/>
      <c r="O1557" s="27"/>
      <c r="P1557" s="26"/>
      <c r="Q1557" s="28"/>
    </row>
    <row r="1558" spans="1:24" ht="30" customHeight="1" x14ac:dyDescent="0.45">
      <c r="A1558" s="47"/>
      <c r="B1558" s="47"/>
      <c r="C1558" s="58"/>
      <c r="D1558" s="58"/>
      <c r="E1558" s="58"/>
      <c r="F1558" s="58"/>
      <c r="G1558" s="1021" t="s">
        <v>288</v>
      </c>
      <c r="H1558" s="1022"/>
      <c r="I1558" s="1023"/>
      <c r="J1558" s="213">
        <f>VLOOKUP(B1541,'[1]Mil Cost Premiums for PUCs'!$A$4:$R$278,18,FALSE)</f>
        <v>1.1932356231980656</v>
      </c>
      <c r="K1558" s="216">
        <f>+K1557*J1558</f>
        <v>217.67238581039351</v>
      </c>
      <c r="L1558" s="47" t="s">
        <v>35</v>
      </c>
      <c r="M1558" s="25"/>
      <c r="N1558" s="41"/>
      <c r="O1558" s="2"/>
      <c r="P1558" s="27"/>
      <c r="Q1558" s="26"/>
      <c r="R1558" s="28"/>
    </row>
    <row r="1559" spans="1:24" ht="30" customHeight="1" x14ac:dyDescent="0.45">
      <c r="A1559" s="47"/>
      <c r="B1559" s="47"/>
      <c r="C1559" s="58"/>
      <c r="D1559" s="58"/>
      <c r="E1559" s="58"/>
      <c r="F1559" s="1175" t="s">
        <v>581</v>
      </c>
      <c r="G1559" s="1086"/>
      <c r="H1559" s="1086"/>
      <c r="I1559" s="1086"/>
      <c r="J1559" s="213">
        <v>1.0833999999999999</v>
      </c>
      <c r="K1559" s="363">
        <f>K1558*J1559</f>
        <v>235.82626278698029</v>
      </c>
      <c r="L1559" s="47" t="s">
        <v>35</v>
      </c>
      <c r="M1559" s="25"/>
      <c r="N1559" s="26"/>
      <c r="O1559" s="2"/>
      <c r="P1559" s="27"/>
      <c r="Q1559" s="26"/>
      <c r="R1559" s="28"/>
    </row>
    <row r="1560" spans="1:24" ht="30" customHeight="1" thickBot="1" x14ac:dyDescent="0.5">
      <c r="A1560" s="225"/>
      <c r="B1560" s="225"/>
      <c r="C1560" s="150"/>
      <c r="D1560" s="150"/>
      <c r="E1560" s="150"/>
      <c r="F1560" s="150"/>
      <c r="G1560" s="1025" t="s">
        <v>299</v>
      </c>
      <c r="H1560" s="1026"/>
      <c r="I1560" s="1027"/>
      <c r="J1560" s="226">
        <v>1.1214</v>
      </c>
      <c r="K1560" s="227">
        <f>+K1559*J1560</f>
        <v>264.45557108931968</v>
      </c>
      <c r="L1560" s="47" t="s">
        <v>35</v>
      </c>
      <c r="M1560" s="25"/>
    </row>
    <row r="1561" spans="1:24" ht="30" customHeight="1" thickBot="1" x14ac:dyDescent="0.5">
      <c r="A1561" s="999"/>
      <c r="B1561" s="1000"/>
      <c r="C1561" s="1000"/>
      <c r="D1561" s="1000"/>
      <c r="E1561" s="1000"/>
      <c r="F1561" s="1000"/>
      <c r="G1561" s="1000"/>
      <c r="H1561" s="1000"/>
      <c r="I1561" s="1000"/>
      <c r="J1561" s="1000"/>
      <c r="K1561" s="1000"/>
      <c r="L1561" s="1001"/>
      <c r="M1561" s="84"/>
      <c r="O1561" s="27"/>
      <c r="P1561" s="26"/>
      <c r="Q1561" s="28"/>
    </row>
    <row r="1562" spans="1:24" ht="30" customHeight="1" x14ac:dyDescent="0.45">
      <c r="A1562" s="9" t="s">
        <v>4</v>
      </c>
      <c r="B1562" s="10">
        <v>2126</v>
      </c>
      <c r="C1562" s="1125" t="s">
        <v>1096</v>
      </c>
      <c r="D1562" s="1125"/>
      <c r="E1562" s="13" t="s">
        <v>7</v>
      </c>
      <c r="F1562" s="14" t="s">
        <v>35</v>
      </c>
      <c r="G1562" s="11" t="s">
        <v>6</v>
      </c>
      <c r="H1562" s="512">
        <v>33754</v>
      </c>
      <c r="I1562" s="13" t="s">
        <v>9</v>
      </c>
      <c r="J1562" s="985" t="s">
        <v>292</v>
      </c>
      <c r="K1562" s="985"/>
      <c r="L1562" s="986"/>
      <c r="M1562" s="25"/>
      <c r="O1562" s="27"/>
      <c r="P1562" s="26"/>
      <c r="Q1562" s="28"/>
    </row>
    <row r="1563" spans="1:24" ht="30" customHeight="1" x14ac:dyDescent="0.45">
      <c r="A1563" s="85" t="s">
        <v>277</v>
      </c>
      <c r="B1563" s="987" t="s">
        <v>293</v>
      </c>
      <c r="C1563" s="988"/>
      <c r="D1563" s="989"/>
      <c r="E1563" s="85" t="s">
        <v>13</v>
      </c>
      <c r="F1563" s="85" t="s">
        <v>14</v>
      </c>
      <c r="G1563" s="992" t="s">
        <v>15</v>
      </c>
      <c r="H1563" s="993"/>
      <c r="I1563" s="22" t="s">
        <v>1044</v>
      </c>
      <c r="J1563" s="19" t="s">
        <v>278</v>
      </c>
      <c r="K1563" s="992" t="s">
        <v>17</v>
      </c>
      <c r="L1563" s="993"/>
      <c r="M1563" s="25"/>
      <c r="O1563" s="27"/>
      <c r="P1563" s="26"/>
      <c r="Q1563" s="28"/>
    </row>
    <row r="1564" spans="1:24" ht="30" customHeight="1" x14ac:dyDescent="0.45">
      <c r="A1564" s="47" t="s">
        <v>1045</v>
      </c>
      <c r="B1564" s="1018" t="s">
        <v>1097</v>
      </c>
      <c r="C1564" s="1019"/>
      <c r="D1564" s="1020"/>
      <c r="E1564" s="221">
        <f>164-2.51</f>
        <v>161.49</v>
      </c>
      <c r="F1564" s="47" t="s">
        <v>35</v>
      </c>
      <c r="G1564" s="348"/>
      <c r="H1564" s="349"/>
      <c r="I1564" s="505">
        <f>+E1564</f>
        <v>161.49</v>
      </c>
      <c r="J1564" s="47">
        <v>1.1599999999999999</v>
      </c>
      <c r="K1564" s="378">
        <f>+I1564*J1564</f>
        <v>187.32839999999999</v>
      </c>
      <c r="L1564" s="56" t="s">
        <v>35</v>
      </c>
      <c r="M1564" s="25"/>
      <c r="O1564" s="27"/>
      <c r="P1564" s="26"/>
      <c r="Q1564" s="28"/>
    </row>
    <row r="1565" spans="1:24" ht="45" customHeight="1" x14ac:dyDescent="0.45">
      <c r="A1565" s="47" t="s">
        <v>358</v>
      </c>
      <c r="B1565" s="1018" t="s">
        <v>1086</v>
      </c>
      <c r="C1565" s="1019"/>
      <c r="D1565" s="1020"/>
      <c r="E1565" s="1">
        <v>3.61</v>
      </c>
      <c r="F1565" s="47" t="s">
        <v>35</v>
      </c>
      <c r="G1565" s="42"/>
      <c r="H1565" s="206"/>
      <c r="I1565" s="505">
        <f>+E1565</f>
        <v>3.61</v>
      </c>
      <c r="J1565" s="47">
        <v>1.1599999999999999</v>
      </c>
      <c r="K1565" s="378">
        <f>+I1565*J1565</f>
        <v>4.1875999999999998</v>
      </c>
      <c r="L1565" s="47" t="s">
        <v>35</v>
      </c>
      <c r="M1565" s="25"/>
      <c r="O1565" s="27"/>
      <c r="P1565" s="26"/>
      <c r="Q1565" s="28"/>
    </row>
    <row r="1566" spans="1:24" ht="30" customHeight="1" x14ac:dyDescent="0.45">
      <c r="A1566" s="47" t="s">
        <v>358</v>
      </c>
      <c r="B1566" s="1018" t="s">
        <v>1047</v>
      </c>
      <c r="C1566" s="1019"/>
      <c r="D1566" s="1020"/>
      <c r="E1566" s="216">
        <f>0.15*E1565</f>
        <v>0.54149999999999998</v>
      </c>
      <c r="F1566" s="222" t="s">
        <v>35</v>
      </c>
      <c r="G1566" s="42"/>
      <c r="H1566" s="206"/>
      <c r="I1566" s="505">
        <f>+E1566</f>
        <v>0.54149999999999998</v>
      </c>
      <c r="J1566" s="47">
        <v>1.1599999999999999</v>
      </c>
      <c r="K1566" s="378">
        <f>+I1566*J1566</f>
        <v>0.62813999999999992</v>
      </c>
      <c r="L1566" s="56" t="s">
        <v>35</v>
      </c>
      <c r="M1566" s="25"/>
      <c r="O1566" s="27"/>
      <c r="P1566" s="26"/>
      <c r="Q1566" s="28"/>
    </row>
    <row r="1567" spans="1:24" ht="30" customHeight="1" x14ac:dyDescent="0.45">
      <c r="A1567" s="47" t="s">
        <v>358</v>
      </c>
      <c r="B1567" s="1018" t="s">
        <v>1048</v>
      </c>
      <c r="C1567" s="1019"/>
      <c r="D1567" s="1020"/>
      <c r="E1567" s="216">
        <f xml:space="preserve"> 0.58+((1.15+1.71)/2)</f>
        <v>2.0099999999999998</v>
      </c>
      <c r="F1567" s="222" t="s">
        <v>35</v>
      </c>
      <c r="G1567" s="42"/>
      <c r="H1567" s="206"/>
      <c r="I1567" s="506">
        <f>+E1567</f>
        <v>2.0099999999999998</v>
      </c>
      <c r="J1567" s="47">
        <v>1.1599999999999999</v>
      </c>
      <c r="K1567" s="378">
        <f>+I1567*J1567</f>
        <v>2.3315999999999995</v>
      </c>
      <c r="L1567" s="47" t="s">
        <v>35</v>
      </c>
      <c r="M1567" s="25"/>
      <c r="N1567" s="26"/>
      <c r="O1567" s="2"/>
      <c r="P1567" s="27"/>
      <c r="Q1567" s="26"/>
      <c r="R1567" s="28"/>
    </row>
    <row r="1568" spans="1:24" ht="30" customHeight="1" x14ac:dyDescent="0.45">
      <c r="A1568" s="47" t="s">
        <v>470</v>
      </c>
      <c r="B1568" s="1018" t="s">
        <v>1098</v>
      </c>
      <c r="C1568" s="1019"/>
      <c r="D1568" s="1020"/>
      <c r="E1568" s="221">
        <v>204000</v>
      </c>
      <c r="F1568" s="222" t="s">
        <v>88</v>
      </c>
      <c r="G1568" s="361">
        <f>H1562</f>
        <v>33754</v>
      </c>
      <c r="H1568" s="206" t="s">
        <v>1061</v>
      </c>
      <c r="I1568" s="506">
        <f>+E1568/H1562</f>
        <v>6.0437281507376905</v>
      </c>
      <c r="J1568" s="47">
        <v>1.04</v>
      </c>
      <c r="K1568" s="378">
        <f>+I1568*2*J1568</f>
        <v>12.570954553534397</v>
      </c>
      <c r="L1568" s="56" t="s">
        <v>35</v>
      </c>
      <c r="M1568" s="25"/>
      <c r="N1568" s="26"/>
      <c r="O1568" s="2"/>
      <c r="P1568" s="27"/>
      <c r="Q1568" s="26"/>
      <c r="R1568" s="28"/>
    </row>
    <row r="1569" spans="1:24" ht="30" customHeight="1" x14ac:dyDescent="0.45">
      <c r="A1569" s="47" t="s">
        <v>1050</v>
      </c>
      <c r="B1569" s="1338" t="s">
        <v>1099</v>
      </c>
      <c r="C1569" s="1339"/>
      <c r="D1569" s="1339"/>
      <c r="E1569" s="216">
        <f>(24+37.25)/2</f>
        <v>30.625</v>
      </c>
      <c r="F1569" s="47" t="s">
        <v>1052</v>
      </c>
      <c r="G1569" s="79">
        <f>4*81</f>
        <v>324</v>
      </c>
      <c r="H1569" s="210" t="s">
        <v>1092</v>
      </c>
      <c r="I1569" s="506">
        <f t="shared" ref="I1569:I1574" si="44">+E1569*G1569/33595</f>
        <v>0.29535645185295428</v>
      </c>
      <c r="J1569" s="47">
        <v>1.07</v>
      </c>
      <c r="K1569" s="378">
        <f t="shared" ref="K1569:K1574" si="45">+I1569*J1569</f>
        <v>0.31603140348266112</v>
      </c>
      <c r="L1569" s="56" t="s">
        <v>35</v>
      </c>
      <c r="M1569" s="25"/>
      <c r="O1569" s="27"/>
      <c r="P1569" s="26"/>
      <c r="Q1569" s="28"/>
    </row>
    <row r="1570" spans="1:24" ht="30" customHeight="1" x14ac:dyDescent="0.45">
      <c r="A1570" s="47" t="s">
        <v>1050</v>
      </c>
      <c r="B1570" s="1335" t="s">
        <v>1089</v>
      </c>
      <c r="C1570" s="1336"/>
      <c r="D1570" s="1337"/>
      <c r="E1570" s="507">
        <f>(2020+2850)/2</f>
        <v>2435</v>
      </c>
      <c r="F1570" s="47" t="s">
        <v>88</v>
      </c>
      <c r="G1570" s="79">
        <v>4</v>
      </c>
      <c r="H1570" s="216" t="s">
        <v>1090</v>
      </c>
      <c r="I1570" s="506">
        <f t="shared" si="44"/>
        <v>0.28992409584759637</v>
      </c>
      <c r="J1570" s="47">
        <v>1.07</v>
      </c>
      <c r="K1570" s="378">
        <f t="shared" si="45"/>
        <v>0.31021878255692814</v>
      </c>
      <c r="L1570" s="56" t="s">
        <v>35</v>
      </c>
      <c r="M1570" s="25"/>
      <c r="O1570" s="27"/>
      <c r="P1570" s="26"/>
      <c r="Q1570" s="28"/>
    </row>
    <row r="1571" spans="1:24" ht="30" customHeight="1" x14ac:dyDescent="0.45">
      <c r="A1571" s="47" t="s">
        <v>1055</v>
      </c>
      <c r="B1571" s="1018" t="s">
        <v>1100</v>
      </c>
      <c r="C1571" s="1019"/>
      <c r="D1571" s="1020"/>
      <c r="E1571" s="221">
        <f>+(34.5+82)/2</f>
        <v>58.25</v>
      </c>
      <c r="F1571" s="222" t="s">
        <v>113</v>
      </c>
      <c r="G1571" s="42">
        <f>4*10</f>
        <v>40</v>
      </c>
      <c r="H1571" s="206" t="s">
        <v>1092</v>
      </c>
      <c r="I1571" s="506">
        <f t="shared" si="44"/>
        <v>6.9355558862926034E-2</v>
      </c>
      <c r="J1571" s="47">
        <v>1.21</v>
      </c>
      <c r="K1571" s="378">
        <f t="shared" si="45"/>
        <v>8.3920226224140498E-2</v>
      </c>
      <c r="L1571" s="56" t="s">
        <v>35</v>
      </c>
      <c r="M1571" s="25"/>
      <c r="N1571" s="26"/>
      <c r="O1571" s="2"/>
      <c r="P1571" s="27"/>
      <c r="Q1571" s="26"/>
      <c r="R1571" s="28"/>
    </row>
    <row r="1572" spans="1:24" ht="30" customHeight="1" x14ac:dyDescent="0.45">
      <c r="A1572" s="47" t="s">
        <v>1055</v>
      </c>
      <c r="B1572" s="1018" t="s">
        <v>1093</v>
      </c>
      <c r="C1572" s="1019"/>
      <c r="D1572" s="1020"/>
      <c r="E1572" s="221">
        <f>+(6450+12300)/2</f>
        <v>9375</v>
      </c>
      <c r="F1572" s="222" t="s">
        <v>88</v>
      </c>
      <c r="G1572" s="42">
        <v>4</v>
      </c>
      <c r="H1572" s="206" t="s">
        <v>1061</v>
      </c>
      <c r="I1572" s="506">
        <f t="shared" si="44"/>
        <v>1.116237535347522</v>
      </c>
      <c r="J1572" s="47">
        <v>1.21</v>
      </c>
      <c r="K1572" s="378">
        <f t="shared" si="45"/>
        <v>1.3506474177705017</v>
      </c>
      <c r="L1572" s="56" t="s">
        <v>35</v>
      </c>
      <c r="M1572" s="25"/>
      <c r="N1572" s="26"/>
      <c r="O1572" s="2"/>
      <c r="P1572" s="27"/>
      <c r="Q1572" s="26"/>
      <c r="R1572" s="28"/>
    </row>
    <row r="1573" spans="1:24" ht="30" customHeight="1" x14ac:dyDescent="0.45">
      <c r="A1573" s="47" t="s">
        <v>1055</v>
      </c>
      <c r="B1573" s="1018" t="s">
        <v>1094</v>
      </c>
      <c r="C1573" s="1019"/>
      <c r="D1573" s="1020"/>
      <c r="E1573" s="1">
        <f>+(660+1010)/2</f>
        <v>835</v>
      </c>
      <c r="F1573" s="222" t="s">
        <v>88</v>
      </c>
      <c r="G1573" s="42">
        <v>4</v>
      </c>
      <c r="H1573" s="206" t="s">
        <v>1061</v>
      </c>
      <c r="I1573" s="506">
        <f t="shared" si="44"/>
        <v>9.9419556481619292E-2</v>
      </c>
      <c r="J1573" s="47">
        <v>1.21</v>
      </c>
      <c r="K1573" s="378">
        <f t="shared" si="45"/>
        <v>0.12029766334275933</v>
      </c>
      <c r="L1573" s="47" t="s">
        <v>35</v>
      </c>
      <c r="M1573" s="25"/>
      <c r="N1573" s="26"/>
      <c r="O1573" s="2"/>
      <c r="P1573" s="27"/>
      <c r="Q1573" s="26"/>
      <c r="R1573" s="28"/>
    </row>
    <row r="1574" spans="1:24" ht="30" customHeight="1" x14ac:dyDescent="0.45">
      <c r="A1574" s="47" t="s">
        <v>1055</v>
      </c>
      <c r="B1574" s="1018" t="s">
        <v>1095</v>
      </c>
      <c r="C1574" s="1019"/>
      <c r="D1574" s="1020"/>
      <c r="E1574" s="221">
        <f>+(1160+3475)/2</f>
        <v>2317.5</v>
      </c>
      <c r="F1574" s="222" t="s">
        <v>88</v>
      </c>
      <c r="G1574" s="42">
        <v>4</v>
      </c>
      <c r="H1574" s="206" t="s">
        <v>1061</v>
      </c>
      <c r="I1574" s="506">
        <f t="shared" si="44"/>
        <v>0.2759339187379074</v>
      </c>
      <c r="J1574" s="47">
        <v>1.21</v>
      </c>
      <c r="K1574" s="378">
        <f t="shared" si="45"/>
        <v>0.33388004167286794</v>
      </c>
      <c r="L1574" s="47" t="s">
        <v>35</v>
      </c>
      <c r="M1574" s="25"/>
      <c r="N1574" s="26"/>
      <c r="O1574" s="2"/>
      <c r="P1574" s="27"/>
      <c r="Q1574" s="26"/>
      <c r="R1574" s="28"/>
    </row>
    <row r="1575" spans="1:24" ht="30" customHeight="1" x14ac:dyDescent="0.45">
      <c r="A1575" s="47"/>
      <c r="B1575" s="1092"/>
      <c r="C1575" s="1092"/>
      <c r="D1575" s="1092"/>
      <c r="E1575" s="221"/>
      <c r="F1575" s="58"/>
      <c r="G1575" s="179"/>
      <c r="H1575" s="179"/>
      <c r="I1575" s="47" t="s">
        <v>360</v>
      </c>
      <c r="J1575" s="221">
        <f>SUM(K1564:K1574)</f>
        <v>209.56169008858424</v>
      </c>
      <c r="K1575" s="221">
        <f>SUM(K1564:K1574)</f>
        <v>209.56169008858424</v>
      </c>
      <c r="L1575" s="47" t="s">
        <v>35</v>
      </c>
      <c r="M1575" s="121"/>
      <c r="N1575" s="513"/>
      <c r="O1575" s="2"/>
      <c r="P1575" s="27"/>
      <c r="Q1575" s="26"/>
      <c r="R1575" s="28"/>
    </row>
    <row r="1576" spans="1:24" ht="30" customHeight="1" x14ac:dyDescent="0.45">
      <c r="A1576" s="47"/>
      <c r="B1576" s="224"/>
      <c r="C1576" s="224"/>
      <c r="D1576" s="224"/>
      <c r="E1576" s="224"/>
      <c r="F1576" s="1011" t="s">
        <v>285</v>
      </c>
      <c r="G1576" s="1013" t="s">
        <v>286</v>
      </c>
      <c r="H1576" s="1013"/>
      <c r="I1576" s="1013"/>
      <c r="J1576" s="1013"/>
      <c r="K1576" s="278">
        <v>1.05</v>
      </c>
      <c r="L1576" s="47"/>
      <c r="M1576" s="25"/>
      <c r="N1576" s="26"/>
      <c r="O1576" s="2"/>
      <c r="P1576" s="27"/>
      <c r="Q1576" s="26"/>
      <c r="R1576" s="28"/>
    </row>
    <row r="1577" spans="1:24" ht="30" customHeight="1" x14ac:dyDescent="0.45">
      <c r="A1577" s="47"/>
      <c r="B1577" s="224"/>
      <c r="C1577" s="224"/>
      <c r="D1577" s="224"/>
      <c r="E1577" s="224"/>
      <c r="F1577" s="1012"/>
      <c r="G1577" s="1014" t="s">
        <v>298</v>
      </c>
      <c r="H1577" s="1014"/>
      <c r="I1577" s="1014"/>
      <c r="J1577" s="1014"/>
      <c r="K1577" s="278">
        <v>1.06</v>
      </c>
      <c r="L1577" s="47"/>
      <c r="M1577" s="25"/>
      <c r="N1577" s="26"/>
      <c r="O1577" s="2"/>
      <c r="P1577" s="27"/>
      <c r="Q1577" s="26"/>
      <c r="R1577" s="28"/>
    </row>
    <row r="1578" spans="1:24" ht="30" customHeight="1" x14ac:dyDescent="0.45">
      <c r="A1578" s="47"/>
      <c r="B1578" s="47"/>
      <c r="C1578" s="58"/>
      <c r="D1578" s="58"/>
      <c r="E1578" s="58"/>
      <c r="F1578" s="58"/>
      <c r="G1578" s="58"/>
      <c r="H1578" s="58"/>
      <c r="I1578" s="58"/>
      <c r="J1578" s="47" t="s">
        <v>39</v>
      </c>
      <c r="K1578" s="216">
        <f>+J1575*K1576/K1577</f>
        <v>207.58469301227686</v>
      </c>
      <c r="L1578" s="47" t="s">
        <v>35</v>
      </c>
      <c r="M1578" s="25"/>
      <c r="N1578" s="26"/>
      <c r="O1578" s="2"/>
      <c r="P1578" s="27"/>
      <c r="Q1578" s="26"/>
      <c r="R1578" s="28"/>
    </row>
    <row r="1579" spans="1:24" ht="30" customHeight="1" x14ac:dyDescent="0.45">
      <c r="A1579" s="47"/>
      <c r="B1579" s="47"/>
      <c r="C1579" s="58"/>
      <c r="D1579" s="58"/>
      <c r="E1579" s="58"/>
      <c r="G1579" s="1021" t="s">
        <v>288</v>
      </c>
      <c r="H1579" s="1022"/>
      <c r="I1579" s="1023"/>
      <c r="J1579" s="213">
        <f>VLOOKUP(B1562,'[1]Mil Cost Premiums for PUCs'!$A$4:$R$278,18,FALSE)</f>
        <v>1.1932356231980656</v>
      </c>
      <c r="K1579" s="216">
        <f>+K1578*J1579</f>
        <v>247.69745053288332</v>
      </c>
      <c r="L1579" s="47" t="s">
        <v>35</v>
      </c>
      <c r="M1579" s="25"/>
      <c r="N1579" s="26"/>
      <c r="O1579" s="2"/>
      <c r="P1579" s="27"/>
      <c r="Q1579" s="26"/>
      <c r="R1579" s="28"/>
    </row>
    <row r="1580" spans="1:24" ht="30" customHeight="1" x14ac:dyDescent="0.45">
      <c r="A1580" s="225"/>
      <c r="B1580" s="225"/>
      <c r="C1580" s="150"/>
      <c r="D1580" s="150"/>
      <c r="E1580" s="150"/>
      <c r="F1580" s="150"/>
      <c r="G1580" s="1025" t="s">
        <v>299</v>
      </c>
      <c r="H1580" s="1026"/>
      <c r="I1580" s="1027"/>
      <c r="J1580" s="226">
        <v>1.1214</v>
      </c>
      <c r="K1580" s="227">
        <f>+K1579*J1580</f>
        <v>277.76792102757537</v>
      </c>
      <c r="L1580" s="47" t="s">
        <v>35</v>
      </c>
      <c r="M1580" s="25"/>
    </row>
    <row r="1581" spans="1:24" ht="30" customHeight="1" x14ac:dyDescent="0.45">
      <c r="A1581" s="1181" t="s">
        <v>366</v>
      </c>
      <c r="B1581" s="1182"/>
      <c r="C1581" s="1182"/>
      <c r="D1581" s="1182"/>
      <c r="E1581" s="1182"/>
      <c r="F1581" s="1182"/>
      <c r="G1581" s="1182"/>
      <c r="H1581" s="1182"/>
      <c r="I1581" s="1182"/>
      <c r="J1581" s="1182"/>
      <c r="K1581" s="1182"/>
      <c r="L1581" s="1183"/>
      <c r="M1581" s="25"/>
      <c r="S1581" s="41"/>
      <c r="T1581" s="41"/>
    </row>
    <row r="1582" spans="1:24" ht="60" customHeight="1" x14ac:dyDescent="0.45">
      <c r="A1582" s="1334" t="s">
        <v>367</v>
      </c>
      <c r="B1582" s="1334"/>
      <c r="C1582" s="1334"/>
      <c r="D1582" s="1181" t="s">
        <v>1101</v>
      </c>
      <c r="E1582" s="1182"/>
      <c r="F1582" s="1182"/>
      <c r="G1582" s="1182"/>
      <c r="H1582" s="1182"/>
      <c r="I1582" s="1182"/>
      <c r="J1582" s="1182"/>
      <c r="K1582" s="1182"/>
      <c r="L1582" s="1183"/>
      <c r="M1582" s="25"/>
      <c r="S1582" s="41"/>
      <c r="T1582" s="41"/>
    </row>
    <row r="1583" spans="1:24" ht="30" customHeight="1" x14ac:dyDescent="0.45">
      <c r="A1583" s="1325" t="s">
        <v>369</v>
      </c>
      <c r="B1583" s="1326"/>
      <c r="C1583" s="1327"/>
      <c r="D1583" s="1181" t="s">
        <v>1102</v>
      </c>
      <c r="E1583" s="1182"/>
      <c r="F1583" s="1182"/>
      <c r="G1583" s="1182"/>
      <c r="H1583" s="1182"/>
      <c r="I1583" s="1182"/>
      <c r="J1583" s="1182"/>
      <c r="K1583" s="1182"/>
      <c r="L1583" s="1183"/>
      <c r="M1583" s="25"/>
      <c r="N1583" s="229"/>
      <c r="O1583" s="5"/>
      <c r="P1583" s="18"/>
      <c r="Q1583" s="18"/>
      <c r="R1583" s="18"/>
      <c r="S1583" s="18"/>
      <c r="T1583" s="18"/>
      <c r="U1583" s="18"/>
      <c r="V1583" s="18"/>
      <c r="W1583" s="18"/>
      <c r="X1583" s="18"/>
    </row>
    <row r="1584" spans="1:24" s="18" customFormat="1" ht="30" customHeight="1" x14ac:dyDescent="0.45">
      <c r="A1584" s="1325" t="s">
        <v>371</v>
      </c>
      <c r="B1584" s="1326"/>
      <c r="C1584" s="1327"/>
      <c r="D1584" s="1181" t="s">
        <v>1103</v>
      </c>
      <c r="E1584" s="1182"/>
      <c r="F1584" s="1182"/>
      <c r="G1584" s="1182"/>
      <c r="H1584" s="1182"/>
      <c r="I1584" s="1182"/>
      <c r="J1584" s="1182"/>
      <c r="K1584" s="1182"/>
      <c r="L1584" s="1183"/>
      <c r="M1584" s="25"/>
      <c r="N1584" s="2"/>
      <c r="O1584" s="3"/>
      <c r="P1584" s="2"/>
      <c r="Q1584" s="2"/>
      <c r="R1584" s="2"/>
      <c r="S1584" s="2"/>
      <c r="T1584" s="2"/>
      <c r="U1584" s="2"/>
      <c r="V1584" s="2"/>
      <c r="W1584" s="2"/>
      <c r="X1584" s="2"/>
    </row>
    <row r="1585" spans="1:24" ht="30" customHeight="1" x14ac:dyDescent="0.45">
      <c r="A1585" s="1325" t="s">
        <v>373</v>
      </c>
      <c r="B1585" s="1326"/>
      <c r="C1585" s="1327"/>
      <c r="D1585" s="1181" t="s">
        <v>1104</v>
      </c>
      <c r="E1585" s="1182"/>
      <c r="F1585" s="1182"/>
      <c r="G1585" s="1182"/>
      <c r="H1585" s="1182"/>
      <c r="I1585" s="1182"/>
      <c r="J1585" s="1182"/>
      <c r="K1585" s="1182"/>
      <c r="L1585" s="1183"/>
      <c r="M1585" s="25"/>
    </row>
    <row r="1586" spans="1:24" ht="30" customHeight="1" x14ac:dyDescent="0.45">
      <c r="A1586" s="1325" t="s">
        <v>375</v>
      </c>
      <c r="B1586" s="1326"/>
      <c r="C1586" s="1327"/>
      <c r="D1586" s="1181" t="s">
        <v>1105</v>
      </c>
      <c r="E1586" s="1182"/>
      <c r="F1586" s="1182"/>
      <c r="G1586" s="1182"/>
      <c r="H1586" s="1182"/>
      <c r="I1586" s="1182"/>
      <c r="J1586" s="1182"/>
      <c r="K1586" s="1182"/>
      <c r="L1586" s="1183"/>
      <c r="M1586" s="25"/>
      <c r="S1586" s="41"/>
      <c r="T1586" s="41"/>
    </row>
    <row r="1587" spans="1:24" ht="90" customHeight="1" x14ac:dyDescent="0.45">
      <c r="A1587" s="1325" t="s">
        <v>377</v>
      </c>
      <c r="B1587" s="1326"/>
      <c r="C1587" s="1327"/>
      <c r="D1587" s="1181" t="s">
        <v>1106</v>
      </c>
      <c r="E1587" s="1182"/>
      <c r="F1587" s="1182"/>
      <c r="G1587" s="1182"/>
      <c r="H1587" s="1182"/>
      <c r="I1587" s="1182"/>
      <c r="J1587" s="1182"/>
      <c r="K1587" s="1182"/>
      <c r="L1587" s="1183"/>
      <c r="M1587" s="25"/>
      <c r="S1587" s="41"/>
      <c r="T1587" s="41"/>
    </row>
    <row r="1588" spans="1:24" ht="30" customHeight="1" x14ac:dyDescent="0.45">
      <c r="A1588" s="1325" t="s">
        <v>379</v>
      </c>
      <c r="B1588" s="1326"/>
      <c r="C1588" s="1327"/>
      <c r="D1588" s="1181" t="s">
        <v>405</v>
      </c>
      <c r="E1588" s="1182"/>
      <c r="F1588" s="1182"/>
      <c r="G1588" s="1182"/>
      <c r="H1588" s="1182"/>
      <c r="I1588" s="1182"/>
      <c r="J1588" s="1182"/>
      <c r="K1588" s="1182"/>
      <c r="L1588" s="1183"/>
      <c r="M1588" s="25"/>
      <c r="N1588" s="229"/>
      <c r="O1588" s="5"/>
      <c r="P1588" s="18"/>
      <c r="Q1588" s="18"/>
      <c r="R1588" s="18"/>
      <c r="S1588" s="18"/>
      <c r="T1588" s="18"/>
      <c r="U1588" s="18"/>
      <c r="V1588" s="18"/>
      <c r="W1588" s="18"/>
      <c r="X1588" s="18"/>
    </row>
    <row r="1589" spans="1:24" s="18" customFormat="1" ht="30" customHeight="1" x14ac:dyDescent="0.45">
      <c r="A1589" s="1325" t="s">
        <v>512</v>
      </c>
      <c r="B1589" s="1326"/>
      <c r="C1589" s="1327"/>
      <c r="D1589" s="1328" t="s">
        <v>1076</v>
      </c>
      <c r="E1589" s="1329"/>
      <c r="F1589" s="1329"/>
      <c r="G1589" s="1329"/>
      <c r="H1589" s="1329"/>
      <c r="I1589" s="1329"/>
      <c r="J1589" s="1329"/>
      <c r="K1589" s="1329"/>
      <c r="L1589" s="1330"/>
      <c r="M1589" s="25"/>
      <c r="N1589" s="2"/>
      <c r="O1589" s="3"/>
      <c r="P1589" s="2"/>
      <c r="Q1589" s="2"/>
      <c r="R1589" s="2"/>
      <c r="S1589" s="2"/>
      <c r="T1589" s="2"/>
      <c r="U1589" s="2"/>
      <c r="V1589" s="2"/>
      <c r="W1589" s="2"/>
      <c r="X1589" s="2"/>
    </row>
    <row r="1590" spans="1:24" ht="30" customHeight="1" thickBot="1" x14ac:dyDescent="0.5">
      <c r="A1590" s="1331" t="s">
        <v>513</v>
      </c>
      <c r="B1590" s="1332"/>
      <c r="C1590" s="1333"/>
      <c r="D1590" s="1187" t="s">
        <v>1107</v>
      </c>
      <c r="E1590" s="1188"/>
      <c r="F1590" s="1188"/>
      <c r="G1590" s="1188"/>
      <c r="H1590" s="1188"/>
      <c r="I1590" s="1188"/>
      <c r="J1590" s="1188"/>
      <c r="K1590" s="1188"/>
      <c r="L1590" s="1189"/>
      <c r="M1590" s="25"/>
    </row>
    <row r="1591" spans="1:24" ht="30" customHeight="1" thickBot="1" x14ac:dyDescent="0.5">
      <c r="A1591" s="999"/>
      <c r="B1591" s="1000"/>
      <c r="C1591" s="1000"/>
      <c r="D1591" s="1000"/>
      <c r="E1591" s="1000"/>
      <c r="F1591" s="1000"/>
      <c r="G1591" s="1000"/>
      <c r="H1591" s="1000"/>
      <c r="I1591" s="1000"/>
      <c r="J1591" s="1000"/>
      <c r="K1591" s="1000"/>
      <c r="L1591" s="1001"/>
      <c r="M1591" s="25"/>
      <c r="S1591" s="41"/>
      <c r="T1591" s="41"/>
    </row>
    <row r="1592" spans="1:24" ht="30" customHeight="1" x14ac:dyDescent="0.45">
      <c r="A1592" s="9" t="s">
        <v>4</v>
      </c>
      <c r="B1592" s="10">
        <v>2131</v>
      </c>
      <c r="C1592" s="1138" t="s">
        <v>1108</v>
      </c>
      <c r="D1592" s="1139"/>
      <c r="E1592" s="13" t="s">
        <v>7</v>
      </c>
      <c r="F1592" s="14" t="s">
        <v>35</v>
      </c>
      <c r="G1592" s="11" t="s">
        <v>6</v>
      </c>
      <c r="H1592" s="514">
        <v>82690</v>
      </c>
      <c r="I1592" s="13" t="s">
        <v>9</v>
      </c>
      <c r="J1592" s="985" t="s">
        <v>1109</v>
      </c>
      <c r="K1592" s="985"/>
      <c r="L1592" s="986"/>
      <c r="M1592" s="25"/>
      <c r="S1592" s="41"/>
      <c r="T1592" s="41"/>
    </row>
    <row r="1593" spans="1:24" ht="30" customHeight="1" x14ac:dyDescent="0.45">
      <c r="A1593" s="19"/>
      <c r="B1593" s="1005" t="s">
        <v>12</v>
      </c>
      <c r="C1593" s="1005"/>
      <c r="D1593" s="1005"/>
      <c r="E1593" s="19" t="s">
        <v>534</v>
      </c>
      <c r="F1593" s="19" t="s">
        <v>79</v>
      </c>
      <c r="G1593" s="58"/>
      <c r="H1593" s="19"/>
      <c r="I1593" s="1068" t="s">
        <v>16</v>
      </c>
      <c r="J1593" s="1069"/>
      <c r="K1593" s="992" t="s">
        <v>17</v>
      </c>
      <c r="L1593" s="993"/>
      <c r="M1593" s="25"/>
      <c r="N1593" s="229"/>
      <c r="O1593" s="5"/>
      <c r="P1593" s="18"/>
      <c r="Q1593" s="18"/>
      <c r="R1593" s="18"/>
      <c r="S1593" s="18"/>
      <c r="T1593" s="18"/>
      <c r="U1593" s="18"/>
      <c r="V1593" s="18"/>
      <c r="W1593" s="18"/>
      <c r="X1593" s="18"/>
    </row>
    <row r="1594" spans="1:24" s="18" customFormat="1" ht="30" customHeight="1" x14ac:dyDescent="0.45">
      <c r="A1594" s="38"/>
      <c r="B1594" s="994" t="s">
        <v>1110</v>
      </c>
      <c r="C1594" s="994"/>
      <c r="D1594" s="994"/>
      <c r="E1594" s="136">
        <v>1197.03</v>
      </c>
      <c r="F1594" s="38" t="s">
        <v>35</v>
      </c>
      <c r="G1594" s="2"/>
      <c r="H1594" s="398"/>
      <c r="I1594" s="1119">
        <f>+'[1]2023 MILCON Inflation Table'!F7</f>
        <v>1.7149658973720996</v>
      </c>
      <c r="J1594" s="1120"/>
      <c r="K1594" s="136">
        <f>+E1594*I1594</f>
        <v>2052.8656281313242</v>
      </c>
      <c r="L1594" s="38" t="s">
        <v>35</v>
      </c>
      <c r="M1594" s="25"/>
      <c r="N1594" s="2"/>
      <c r="O1594" s="3"/>
      <c r="P1594" s="2"/>
      <c r="Q1594" s="2"/>
      <c r="R1594" s="2"/>
      <c r="S1594" s="2"/>
      <c r="T1594" s="2"/>
      <c r="U1594" s="2"/>
      <c r="V1594" s="2"/>
      <c r="W1594" s="2"/>
      <c r="X1594" s="2"/>
    </row>
    <row r="1595" spans="1:24" ht="30" customHeight="1" x14ac:dyDescent="0.45">
      <c r="A1595" s="47"/>
      <c r="B1595" s="1092"/>
      <c r="C1595" s="1092"/>
      <c r="D1595" s="1092"/>
      <c r="E1595" s="58"/>
      <c r="F1595" s="58"/>
      <c r="G1595" s="58"/>
      <c r="H1595" s="58"/>
      <c r="I1595" s="58"/>
      <c r="J1595" s="47" t="s">
        <v>39</v>
      </c>
      <c r="K1595" s="185">
        <f>+K1594</f>
        <v>2052.8656281313242</v>
      </c>
      <c r="L1595" s="47" t="s">
        <v>35</v>
      </c>
      <c r="M1595" s="25"/>
      <c r="N1595" s="3"/>
    </row>
    <row r="1596" spans="1:24" ht="30" customHeight="1" x14ac:dyDescent="0.45">
      <c r="A1596" s="47"/>
      <c r="B1596" s="1018" t="s">
        <v>1111</v>
      </c>
      <c r="C1596" s="1019"/>
      <c r="D1596" s="1019"/>
      <c r="E1596" s="515"/>
      <c r="F1596" s="515"/>
      <c r="G1596" s="1309" t="s">
        <v>1112</v>
      </c>
      <c r="H1596" s="1309"/>
      <c r="I1596" s="1309"/>
      <c r="J1596" s="213">
        <f>VLOOKUP(B1592,'[1]Mil Cost Premiums for PUCs'!$A$4:$R$278,18,FALSE)</f>
        <v>1.1503866704650523</v>
      </c>
      <c r="K1596" s="393">
        <f>+K1595*J1596</f>
        <v>2361.5892548581423</v>
      </c>
      <c r="L1596" s="47" t="s">
        <v>35</v>
      </c>
      <c r="M1596" s="25"/>
      <c r="S1596" s="41"/>
      <c r="T1596" s="41"/>
    </row>
    <row r="1597" spans="1:24" ht="30" customHeight="1" x14ac:dyDescent="0.45">
      <c r="A1597" s="1104" t="s">
        <v>1113</v>
      </c>
      <c r="B1597" s="1105"/>
      <c r="C1597" s="1105"/>
      <c r="D1597" s="1105"/>
      <c r="E1597" s="1105"/>
      <c r="F1597" s="1105"/>
      <c r="G1597" s="1105"/>
      <c r="H1597" s="1105"/>
      <c r="I1597" s="1105"/>
      <c r="J1597" s="1105"/>
      <c r="K1597" s="1105"/>
      <c r="L1597" s="1106"/>
      <c r="M1597" s="25"/>
      <c r="S1597" s="41"/>
      <c r="T1597" s="41"/>
    </row>
    <row r="1598" spans="1:24" ht="30" customHeight="1" x14ac:dyDescent="0.45">
      <c r="A1598" s="1166"/>
      <c r="B1598" s="1167"/>
      <c r="C1598" s="1167"/>
      <c r="D1598" s="1167"/>
      <c r="E1598" s="1167"/>
      <c r="F1598" s="1167"/>
      <c r="G1598" s="1167"/>
      <c r="H1598" s="1167"/>
      <c r="I1598" s="1167"/>
      <c r="J1598" s="1167"/>
      <c r="K1598" s="1167"/>
      <c r="L1598" s="1168"/>
      <c r="M1598" s="25"/>
      <c r="N1598" s="229"/>
      <c r="O1598" s="5"/>
      <c r="P1598" s="18"/>
      <c r="Q1598" s="18"/>
      <c r="R1598" s="18"/>
      <c r="S1598" s="18"/>
      <c r="T1598" s="18"/>
      <c r="U1598" s="18"/>
      <c r="V1598" s="18"/>
      <c r="W1598" s="18"/>
      <c r="X1598" s="18"/>
    </row>
    <row r="1599" spans="1:24" s="18" customFormat="1" ht="30" customHeight="1" thickBot="1" x14ac:dyDescent="0.5">
      <c r="A1599" s="1107"/>
      <c r="B1599" s="1108"/>
      <c r="C1599" s="1108"/>
      <c r="D1599" s="1108"/>
      <c r="E1599" s="1108"/>
      <c r="F1599" s="1108"/>
      <c r="G1599" s="1108"/>
      <c r="H1599" s="1108"/>
      <c r="I1599" s="1108"/>
      <c r="J1599" s="1108"/>
      <c r="K1599" s="1108"/>
      <c r="L1599" s="1109"/>
      <c r="M1599" s="25"/>
      <c r="N1599" s="41"/>
      <c r="O1599" s="2"/>
      <c r="P1599" s="27"/>
      <c r="Q1599" s="26"/>
      <c r="R1599" s="28"/>
      <c r="S1599" s="2"/>
      <c r="T1599" s="2"/>
      <c r="U1599" s="2"/>
      <c r="V1599" s="2"/>
      <c r="W1599" s="2"/>
      <c r="X1599" s="2"/>
    </row>
    <row r="1600" spans="1:24" ht="30" customHeight="1" thickBot="1" x14ac:dyDescent="0.5">
      <c r="A1600" s="999"/>
      <c r="B1600" s="1000"/>
      <c r="C1600" s="1000"/>
      <c r="D1600" s="1000"/>
      <c r="E1600" s="1000"/>
      <c r="F1600" s="1000"/>
      <c r="G1600" s="1000"/>
      <c r="H1600" s="1000"/>
      <c r="I1600" s="1000"/>
      <c r="J1600" s="1000"/>
      <c r="K1600" s="1000"/>
      <c r="L1600" s="1001"/>
      <c r="M1600" s="25"/>
      <c r="N1600" s="26"/>
      <c r="O1600" s="2"/>
      <c r="P1600" s="27"/>
      <c r="Q1600" s="26"/>
      <c r="R1600" s="28"/>
    </row>
    <row r="1601" spans="1:24" ht="30" customHeight="1" x14ac:dyDescent="0.45">
      <c r="A1601" s="9" t="s">
        <v>4</v>
      </c>
      <c r="B1601" s="10">
        <v>2132</v>
      </c>
      <c r="C1601" s="1138" t="s">
        <v>1114</v>
      </c>
      <c r="D1601" s="1139"/>
      <c r="E1601" s="13" t="s">
        <v>7</v>
      </c>
      <c r="F1601" s="14" t="s">
        <v>88</v>
      </c>
      <c r="G1601" s="11" t="s">
        <v>6</v>
      </c>
      <c r="H1601" s="184">
        <v>1</v>
      </c>
      <c r="I1601" s="13" t="s">
        <v>9</v>
      </c>
      <c r="J1601" s="985" t="s">
        <v>1115</v>
      </c>
      <c r="K1601" s="985"/>
      <c r="L1601" s="986"/>
      <c r="M1601" s="25"/>
    </row>
    <row r="1602" spans="1:24" ht="30" customHeight="1" x14ac:dyDescent="0.45">
      <c r="A1602" s="19"/>
      <c r="B1602" s="1007" t="s">
        <v>409</v>
      </c>
      <c r="C1602" s="1007"/>
      <c r="D1602" s="1007"/>
      <c r="E1602" s="19" t="s">
        <v>13</v>
      </c>
      <c r="F1602" s="19" t="s">
        <v>14</v>
      </c>
      <c r="G1602" s="990" t="s">
        <v>15</v>
      </c>
      <c r="H1602" s="991"/>
      <c r="I1602" s="19" t="s">
        <v>59</v>
      </c>
      <c r="J1602" s="19" t="s">
        <v>60</v>
      </c>
      <c r="K1602" s="992" t="s">
        <v>39</v>
      </c>
      <c r="L1602" s="993"/>
      <c r="M1602" s="25"/>
    </row>
    <row r="1603" spans="1:24" ht="30" customHeight="1" thickBot="1" x14ac:dyDescent="0.5">
      <c r="A1603" s="38"/>
      <c r="B1603" s="1324">
        <v>16871.279001999999</v>
      </c>
      <c r="C1603" s="1324"/>
      <c r="D1603" s="1324"/>
      <c r="E1603" s="104"/>
      <c r="F1603" s="105"/>
      <c r="G1603" s="1084"/>
      <c r="H1603" s="1085"/>
      <c r="I1603" s="105"/>
      <c r="J1603" s="226">
        <v>1.1214</v>
      </c>
      <c r="K1603" s="108">
        <f>B1603*J1603</f>
        <v>18919.452272842798</v>
      </c>
      <c r="L1603" s="105" t="s">
        <v>88</v>
      </c>
      <c r="M1603" s="25"/>
      <c r="S1603" s="41"/>
      <c r="T1603" s="41"/>
    </row>
    <row r="1604" spans="1:24" ht="30" customHeight="1" thickBot="1" x14ac:dyDescent="0.5">
      <c r="A1604" s="999"/>
      <c r="B1604" s="1000"/>
      <c r="C1604" s="1000"/>
      <c r="D1604" s="1000"/>
      <c r="E1604" s="1000"/>
      <c r="F1604" s="1000"/>
      <c r="G1604" s="1000"/>
      <c r="H1604" s="1000"/>
      <c r="I1604" s="1000"/>
      <c r="J1604" s="1000"/>
      <c r="K1604" s="1000"/>
      <c r="L1604" s="1001"/>
      <c r="M1604" s="25"/>
      <c r="S1604" s="41"/>
      <c r="T1604" s="41"/>
    </row>
    <row r="1605" spans="1:24" ht="30" customHeight="1" x14ac:dyDescent="0.45">
      <c r="A1605" s="9" t="s">
        <v>4</v>
      </c>
      <c r="B1605" s="10">
        <v>2133</v>
      </c>
      <c r="C1605" s="1138" t="s">
        <v>1116</v>
      </c>
      <c r="D1605" s="1139"/>
      <c r="E1605" s="13" t="s">
        <v>7</v>
      </c>
      <c r="F1605" s="14" t="s">
        <v>35</v>
      </c>
      <c r="G1605" s="11" t="s">
        <v>6</v>
      </c>
      <c r="H1605" s="273">
        <v>15118.729221491199</v>
      </c>
      <c r="I1605" s="13" t="s">
        <v>9</v>
      </c>
      <c r="J1605" s="985" t="s">
        <v>266</v>
      </c>
      <c r="K1605" s="985"/>
      <c r="L1605" s="986"/>
      <c r="M1605" s="25"/>
      <c r="N1605" s="229"/>
      <c r="O1605" s="5"/>
      <c r="P1605" s="18"/>
      <c r="Q1605" s="18"/>
      <c r="R1605" s="18"/>
      <c r="S1605" s="18"/>
      <c r="T1605" s="18"/>
      <c r="U1605" s="18"/>
      <c r="V1605" s="18"/>
      <c r="W1605" s="18"/>
      <c r="X1605" s="18"/>
    </row>
    <row r="1606" spans="1:24" s="18" customFormat="1" ht="30" customHeight="1" x14ac:dyDescent="0.45">
      <c r="A1606" s="19" t="s">
        <v>11</v>
      </c>
      <c r="B1606" s="1005" t="s">
        <v>12</v>
      </c>
      <c r="C1606" s="1005"/>
      <c r="D1606" s="1005"/>
      <c r="E1606" s="132" t="s">
        <v>267</v>
      </c>
      <c r="F1606" s="20" t="s">
        <v>13</v>
      </c>
      <c r="G1606" s="19"/>
      <c r="H1606" s="19"/>
      <c r="I1606" s="1140" t="s">
        <v>60</v>
      </c>
      <c r="J1606" s="1141"/>
      <c r="K1606" s="992" t="s">
        <v>17</v>
      </c>
      <c r="L1606" s="993"/>
      <c r="M1606" s="25"/>
      <c r="N1606" s="2"/>
      <c r="O1606" s="3"/>
      <c r="P1606" s="2"/>
      <c r="Q1606" s="2"/>
      <c r="R1606" s="2"/>
      <c r="S1606" s="2"/>
      <c r="T1606" s="2"/>
      <c r="U1606" s="2"/>
      <c r="V1606" s="2"/>
      <c r="W1606" s="2"/>
      <c r="X1606" s="2"/>
    </row>
    <row r="1607" spans="1:24" ht="30" customHeight="1" x14ac:dyDescent="0.45">
      <c r="A1607" s="29" t="s">
        <v>268</v>
      </c>
      <c r="B1607" s="994" t="s">
        <v>1117</v>
      </c>
      <c r="C1607" s="994"/>
      <c r="D1607" s="994"/>
      <c r="E1607" s="176">
        <v>29000</v>
      </c>
      <c r="F1607" s="145">
        <v>458</v>
      </c>
      <c r="G1607" s="177"/>
      <c r="H1607" s="178"/>
      <c r="I1607" s="1119" t="str">
        <f>+$I$298</f>
        <v>NA;  GUCs are as of October 2022</v>
      </c>
      <c r="J1607" s="1120"/>
      <c r="K1607" s="145">
        <f>+F1607</f>
        <v>458</v>
      </c>
      <c r="L1607" s="29" t="s">
        <v>35</v>
      </c>
    </row>
    <row r="1608" spans="1:24" ht="30" customHeight="1" thickBot="1" x14ac:dyDescent="0.5">
      <c r="A1608" s="47"/>
      <c r="B1608" s="1092"/>
      <c r="C1608" s="1092"/>
      <c r="D1608" s="1092"/>
      <c r="E1608" s="180"/>
      <c r="F1608" s="181"/>
      <c r="G1608" s="181"/>
      <c r="H1608" s="182"/>
      <c r="I1608" s="58"/>
      <c r="J1608" s="85" t="s">
        <v>39</v>
      </c>
      <c r="K1608" s="216">
        <f>+K1607</f>
        <v>458</v>
      </c>
      <c r="L1608" s="47" t="s">
        <v>35</v>
      </c>
      <c r="M1608" s="25"/>
      <c r="N1608" s="26"/>
      <c r="O1608" s="2"/>
      <c r="P1608" s="27"/>
      <c r="Q1608" s="26"/>
      <c r="R1608" s="28"/>
    </row>
    <row r="1609" spans="1:24" ht="30" customHeight="1" thickBot="1" x14ac:dyDescent="0.5">
      <c r="A1609" s="999"/>
      <c r="B1609" s="1000"/>
      <c r="C1609" s="1000"/>
      <c r="D1609" s="1000"/>
      <c r="E1609" s="1000"/>
      <c r="F1609" s="1000"/>
      <c r="G1609" s="1000"/>
      <c r="H1609" s="1000"/>
      <c r="I1609" s="1000"/>
      <c r="J1609" s="1000"/>
      <c r="K1609" s="1000"/>
      <c r="L1609" s="1001"/>
      <c r="M1609" s="25"/>
      <c r="N1609" s="229"/>
      <c r="O1609" s="5"/>
      <c r="P1609" s="18"/>
      <c r="Q1609" s="18"/>
      <c r="R1609" s="18"/>
      <c r="S1609" s="18"/>
      <c r="T1609" s="18"/>
    </row>
    <row r="1610" spans="1:24" ht="30" customHeight="1" x14ac:dyDescent="0.45">
      <c r="A1610" s="93" t="s">
        <v>4</v>
      </c>
      <c r="B1610" s="76">
        <v>2134</v>
      </c>
      <c r="C1610" s="1144" t="s">
        <v>1118</v>
      </c>
      <c r="D1610" s="1145"/>
      <c r="E1610" s="94" t="s">
        <v>7</v>
      </c>
      <c r="F1610" s="95" t="s">
        <v>35</v>
      </c>
      <c r="G1610" s="102" t="s">
        <v>6</v>
      </c>
      <c r="H1610" s="508">
        <v>12764.7599473684</v>
      </c>
      <c r="I1610" s="516" t="s">
        <v>9</v>
      </c>
      <c r="J1610" s="985" t="s">
        <v>276</v>
      </c>
      <c r="K1610" s="985"/>
      <c r="L1610" s="986"/>
      <c r="M1610" s="121"/>
      <c r="N1610" s="229"/>
      <c r="O1610" s="5"/>
      <c r="P1610" s="18"/>
      <c r="Q1610" s="18"/>
      <c r="R1610" s="18"/>
      <c r="S1610" s="18"/>
      <c r="T1610" s="18"/>
    </row>
    <row r="1611" spans="1:24" ht="30" customHeight="1" x14ac:dyDescent="0.45">
      <c r="A1611" s="85" t="s">
        <v>277</v>
      </c>
      <c r="B1611" s="217" t="s">
        <v>293</v>
      </c>
      <c r="C1611" s="218"/>
      <c r="D1611" s="219"/>
      <c r="E1611" s="220" t="s">
        <v>13</v>
      </c>
      <c r="F1611" s="220" t="s">
        <v>14</v>
      </c>
      <c r="G1611" s="992" t="s">
        <v>15</v>
      </c>
      <c r="H1611" s="993"/>
      <c r="I1611" s="1068" t="s">
        <v>278</v>
      </c>
      <c r="J1611" s="1069"/>
      <c r="K1611" s="992" t="s">
        <v>17</v>
      </c>
      <c r="L1611" s="993"/>
      <c r="M1611" s="25"/>
      <c r="U1611" s="18"/>
      <c r="V1611" s="18"/>
      <c r="W1611" s="18"/>
      <c r="X1611" s="18"/>
    </row>
    <row r="1612" spans="1:24" s="18" customFormat="1" ht="30" customHeight="1" x14ac:dyDescent="0.45">
      <c r="A1612" s="47" t="s">
        <v>1045</v>
      </c>
      <c r="B1612" s="1018" t="s">
        <v>1119</v>
      </c>
      <c r="C1612" s="1019"/>
      <c r="D1612" s="1020"/>
      <c r="E1612" s="311">
        <f>187-3.15</f>
        <v>183.85</v>
      </c>
      <c r="F1612" s="47" t="s">
        <v>35</v>
      </c>
      <c r="G1612" s="47"/>
      <c r="H1612" s="47"/>
      <c r="I1612" s="1157">
        <v>1.1399999999999999</v>
      </c>
      <c r="J1612" s="1191"/>
      <c r="K1612" s="517">
        <f>+E1612*I1612</f>
        <v>209.58899999999997</v>
      </c>
      <c r="L1612" s="518" t="s">
        <v>35</v>
      </c>
      <c r="M1612" s="25"/>
      <c r="N1612" s="2"/>
      <c r="O1612" s="3"/>
      <c r="P1612" s="2"/>
      <c r="Q1612" s="2"/>
      <c r="R1612" s="2"/>
      <c r="S1612" s="2"/>
      <c r="T1612" s="2"/>
      <c r="U1612" s="2"/>
      <c r="V1612" s="2"/>
      <c r="W1612" s="2"/>
      <c r="X1612" s="2"/>
    </row>
    <row r="1613" spans="1:24" ht="30" customHeight="1" x14ac:dyDescent="0.45">
      <c r="A1613" s="47" t="s">
        <v>358</v>
      </c>
      <c r="B1613" s="1018" t="s">
        <v>398</v>
      </c>
      <c r="C1613" s="1019"/>
      <c r="D1613" s="1020"/>
      <c r="E1613" s="519">
        <v>3.84</v>
      </c>
      <c r="F1613" s="47" t="s">
        <v>35</v>
      </c>
      <c r="G1613" s="58"/>
      <c r="H1613" s="179"/>
      <c r="I1613" s="1157">
        <v>1.1399999999999999</v>
      </c>
      <c r="J1613" s="1191"/>
      <c r="K1613" s="517">
        <f>+E1613*I1613</f>
        <v>4.3775999999999993</v>
      </c>
      <c r="L1613" s="518" t="s">
        <v>35</v>
      </c>
      <c r="M1613" s="25"/>
      <c r="S1613" s="41"/>
      <c r="T1613" s="41"/>
    </row>
    <row r="1614" spans="1:24" ht="30" customHeight="1" x14ac:dyDescent="0.45">
      <c r="A1614" s="47" t="s">
        <v>470</v>
      </c>
      <c r="B1614" s="1018" t="s">
        <v>1120</v>
      </c>
      <c r="C1614" s="1019"/>
      <c r="D1614" s="1020"/>
      <c r="E1614" s="311">
        <v>204000</v>
      </c>
      <c r="F1614" s="222" t="s">
        <v>88</v>
      </c>
      <c r="G1614" s="500">
        <f>+H1610</f>
        <v>12764.7599473684</v>
      </c>
      <c r="H1614" s="105" t="s">
        <v>621</v>
      </c>
      <c r="I1614" s="1157">
        <v>1.26</v>
      </c>
      <c r="J1614" s="1191"/>
      <c r="K1614" s="517">
        <f>+E1614/G1614*I1614</f>
        <v>20.136688904438952</v>
      </c>
      <c r="L1614" s="518" t="s">
        <v>35</v>
      </c>
      <c r="M1614" s="25"/>
      <c r="N1614" s="229"/>
      <c r="O1614" s="5"/>
      <c r="P1614" s="18"/>
      <c r="Q1614" s="18"/>
      <c r="R1614" s="18"/>
      <c r="S1614" s="18"/>
      <c r="T1614" s="18"/>
    </row>
    <row r="1615" spans="1:24" ht="30" customHeight="1" x14ac:dyDescent="0.45">
      <c r="A1615" s="47" t="s">
        <v>1121</v>
      </c>
      <c r="B1615" s="1018" t="s">
        <v>1122</v>
      </c>
      <c r="C1615" s="1019"/>
      <c r="D1615" s="1020"/>
      <c r="E1615" s="520">
        <v>51.5</v>
      </c>
      <c r="F1615" s="222" t="s">
        <v>35</v>
      </c>
      <c r="G1615" s="58">
        <v>288</v>
      </c>
      <c r="H1615" s="105" t="s">
        <v>1123</v>
      </c>
      <c r="I1615" s="1157">
        <v>1.1399999999999999</v>
      </c>
      <c r="J1615" s="1191"/>
      <c r="K1615" s="517">
        <f>+E1615*G1615/H1610*I1615</f>
        <v>1.3246218549911604</v>
      </c>
      <c r="L1615" s="518" t="s">
        <v>35</v>
      </c>
      <c r="M1615" s="25"/>
      <c r="N1615" s="229"/>
      <c r="O1615" s="5"/>
      <c r="P1615" s="18"/>
      <c r="Q1615" s="18"/>
      <c r="R1615" s="18"/>
      <c r="S1615" s="18"/>
      <c r="T1615" s="18"/>
    </row>
    <row r="1616" spans="1:24" ht="30" customHeight="1" x14ac:dyDescent="0.45">
      <c r="A1616" s="47"/>
      <c r="B1616" s="204"/>
      <c r="C1616" s="205"/>
      <c r="D1616" s="206"/>
      <c r="E1616" s="221"/>
      <c r="F1616" s="58"/>
      <c r="G1616" s="179"/>
      <c r="H1616" s="47"/>
      <c r="I1616" s="47"/>
      <c r="J1616" s="221" t="s">
        <v>360</v>
      </c>
      <c r="K1616" s="517">
        <f>SUM(K1612:K1615)</f>
        <v>235.42791075943009</v>
      </c>
      <c r="L1616" s="518" t="s">
        <v>35</v>
      </c>
      <c r="M1616" s="25"/>
      <c r="U1616" s="18"/>
      <c r="V1616" s="18"/>
      <c r="W1616" s="18"/>
      <c r="X1616" s="18"/>
    </row>
    <row r="1617" spans="1:24" s="18" customFormat="1" ht="30" customHeight="1" x14ac:dyDescent="0.45">
      <c r="A1617" s="47"/>
      <c r="B1617" s="224"/>
      <c r="C1617" s="224"/>
      <c r="D1617" s="224"/>
      <c r="E1617" s="224"/>
      <c r="F1617" s="1011" t="s">
        <v>285</v>
      </c>
      <c r="G1617" s="1013" t="s">
        <v>286</v>
      </c>
      <c r="H1617" s="1013"/>
      <c r="I1617" s="1013"/>
      <c r="J1617" s="1013"/>
      <c r="K1617" s="278">
        <v>1.08</v>
      </c>
      <c r="L1617" s="47"/>
      <c r="M1617" s="25"/>
      <c r="N1617" s="2"/>
      <c r="O1617" s="3"/>
      <c r="P1617" s="2"/>
      <c r="Q1617" s="2"/>
      <c r="R1617" s="2"/>
      <c r="S1617" s="2"/>
      <c r="T1617" s="2"/>
      <c r="U1617" s="2"/>
      <c r="V1617" s="2"/>
      <c r="W1617" s="2"/>
      <c r="X1617" s="2"/>
    </row>
    <row r="1618" spans="1:24" ht="30" customHeight="1" x14ac:dyDescent="0.45">
      <c r="A1618" s="47"/>
      <c r="B1618" s="224"/>
      <c r="C1618" s="224"/>
      <c r="D1618" s="224"/>
      <c r="E1618" s="224"/>
      <c r="F1618" s="1012"/>
      <c r="G1618" s="1014" t="s">
        <v>287</v>
      </c>
      <c r="H1618" s="1014"/>
      <c r="I1618" s="1014"/>
      <c r="J1618" s="1014"/>
      <c r="K1618" s="278">
        <v>1.05</v>
      </c>
      <c r="L1618" s="47"/>
      <c r="M1618" s="25"/>
      <c r="S1618" s="41"/>
      <c r="T1618" s="41"/>
    </row>
    <row r="1619" spans="1:24" ht="30" customHeight="1" x14ac:dyDescent="0.45">
      <c r="A1619" s="47"/>
      <c r="B1619" s="1279"/>
      <c r="C1619" s="1280"/>
      <c r="D1619" s="1281"/>
      <c r="E1619" s="58"/>
      <c r="F1619" s="58"/>
      <c r="G1619" s="58"/>
      <c r="H1619" s="58"/>
      <c r="I1619" s="58"/>
      <c r="J1619" s="221" t="s">
        <v>39</v>
      </c>
      <c r="K1619" s="517">
        <f>+K1616*K1617/K1618</f>
        <v>242.1544224954138</v>
      </c>
      <c r="L1619" s="518" t="s">
        <v>35</v>
      </c>
      <c r="M1619" s="25"/>
      <c r="S1619" s="41"/>
      <c r="T1619" s="41"/>
    </row>
    <row r="1620" spans="1:24" ht="30" customHeight="1" thickBot="1" x14ac:dyDescent="0.5">
      <c r="A1620" s="222"/>
      <c r="B1620" s="356"/>
      <c r="C1620" s="515"/>
      <c r="D1620" s="515"/>
      <c r="E1620" s="515"/>
      <c r="F1620" s="58"/>
      <c r="G1620" s="303"/>
      <c r="H1620" s="303"/>
      <c r="I1620" s="509" t="s">
        <v>288</v>
      </c>
      <c r="J1620" s="213">
        <f>VLOOKUP(B1610,'[1]Mil Cost Premiums for PUCs'!$A$4:$R$278,18,FALSE)</f>
        <v>1.12897214704308</v>
      </c>
      <c r="K1620" s="298">
        <f>+K1619*J1620</f>
        <v>273.38559828062444</v>
      </c>
      <c r="L1620" s="518" t="s">
        <v>35</v>
      </c>
      <c r="M1620" s="25"/>
      <c r="S1620" s="41"/>
      <c r="T1620" s="41"/>
    </row>
    <row r="1621" spans="1:24" ht="30" customHeight="1" thickBot="1" x14ac:dyDescent="0.5">
      <c r="A1621" s="999"/>
      <c r="B1621" s="1000"/>
      <c r="C1621" s="1000"/>
      <c r="D1621" s="1000"/>
      <c r="E1621" s="1000"/>
      <c r="F1621" s="1000"/>
      <c r="G1621" s="1000"/>
      <c r="H1621" s="1000"/>
      <c r="I1621" s="1000"/>
      <c r="J1621" s="1000"/>
      <c r="K1621" s="1000"/>
      <c r="L1621" s="1001"/>
      <c r="M1621" s="25"/>
      <c r="O1621" s="468"/>
      <c r="P1621" s="26"/>
      <c r="T1621" s="28"/>
    </row>
    <row r="1622" spans="1:24" ht="30" customHeight="1" x14ac:dyDescent="0.45">
      <c r="A1622" s="9" t="s">
        <v>4</v>
      </c>
      <c r="B1622" s="10">
        <v>2135</v>
      </c>
      <c r="C1622" s="1138" t="s">
        <v>1124</v>
      </c>
      <c r="D1622" s="1139"/>
      <c r="E1622" s="13" t="s">
        <v>7</v>
      </c>
      <c r="F1622" s="14" t="s">
        <v>88</v>
      </c>
      <c r="G1622" s="173" t="s">
        <v>148</v>
      </c>
      <c r="H1622" s="300">
        <v>5936</v>
      </c>
      <c r="I1622" s="13" t="s">
        <v>9</v>
      </c>
      <c r="J1622" s="985" t="s">
        <v>272</v>
      </c>
      <c r="K1622" s="985"/>
      <c r="L1622" s="986"/>
      <c r="M1622" s="25"/>
      <c r="O1622" s="468"/>
      <c r="P1622" s="26"/>
      <c r="T1622" s="28"/>
    </row>
    <row r="1623" spans="1:24" ht="30" customHeight="1" x14ac:dyDescent="0.45">
      <c r="A1623" s="19" t="s">
        <v>11</v>
      </c>
      <c r="B1623" s="1005" t="s">
        <v>12</v>
      </c>
      <c r="C1623" s="1005"/>
      <c r="D1623" s="1005"/>
      <c r="E1623" s="132" t="s">
        <v>267</v>
      </c>
      <c r="F1623" s="20" t="s">
        <v>13</v>
      </c>
      <c r="G1623" s="1068" t="s">
        <v>15</v>
      </c>
      <c r="H1623" s="1069"/>
      <c r="I1623" s="1068" t="s">
        <v>16</v>
      </c>
      <c r="J1623" s="1069"/>
      <c r="K1623" s="992" t="s">
        <v>17</v>
      </c>
      <c r="L1623" s="993"/>
      <c r="M1623" s="25"/>
      <c r="O1623" s="468"/>
      <c r="P1623" s="26"/>
      <c r="T1623" s="28"/>
    </row>
    <row r="1624" spans="1:24" ht="30" customHeight="1" x14ac:dyDescent="0.45">
      <c r="A1624" s="47">
        <v>14962</v>
      </c>
      <c r="B1624" s="1008" t="s">
        <v>516</v>
      </c>
      <c r="C1624" s="1009"/>
      <c r="D1624" s="1010"/>
      <c r="E1624" s="521">
        <v>1</v>
      </c>
      <c r="F1624" s="145">
        <v>6777000</v>
      </c>
      <c r="G1624" s="522"/>
      <c r="H1624" s="178"/>
      <c r="I1624" s="1119">
        <f>+'[1]2023 MILCON Inflation Table'!F15</f>
        <v>1.2839611975731238</v>
      </c>
      <c r="J1624" s="1120"/>
      <c r="K1624" s="145">
        <f>+F1624*I1624</f>
        <v>8701405.0359530598</v>
      </c>
      <c r="L1624" s="29" t="s">
        <v>88</v>
      </c>
      <c r="M1624" s="84"/>
      <c r="O1624" s="468"/>
      <c r="P1624" s="26"/>
      <c r="T1624" s="28"/>
    </row>
    <row r="1625" spans="1:24" ht="30" customHeight="1" thickBot="1" x14ac:dyDescent="0.5">
      <c r="A1625" s="47"/>
      <c r="B1625" s="1092" t="s">
        <v>1125</v>
      </c>
      <c r="C1625" s="1092"/>
      <c r="D1625" s="1092"/>
      <c r="E1625" s="293"/>
      <c r="F1625" s="294"/>
      <c r="G1625" s="294"/>
      <c r="H1625" s="295"/>
      <c r="I1625" s="58"/>
      <c r="J1625" s="85" t="s">
        <v>39</v>
      </c>
      <c r="K1625" s="216">
        <f>+K1624</f>
        <v>8701405.0359530598</v>
      </c>
      <c r="L1625" s="47" t="s">
        <v>88</v>
      </c>
      <c r="M1625" s="25"/>
      <c r="O1625" s="468"/>
      <c r="P1625" s="26"/>
      <c r="T1625" s="28"/>
    </row>
    <row r="1626" spans="1:24" ht="30" customHeight="1" thickBot="1" x14ac:dyDescent="0.5">
      <c r="A1626" s="999"/>
      <c r="B1626" s="1000"/>
      <c r="C1626" s="1000"/>
      <c r="D1626" s="1000"/>
      <c r="E1626" s="1000"/>
      <c r="F1626" s="1000"/>
      <c r="G1626" s="1000"/>
      <c r="H1626" s="1000"/>
      <c r="I1626" s="1000"/>
      <c r="J1626" s="1000"/>
      <c r="K1626" s="1000"/>
      <c r="L1626" s="1001"/>
      <c r="M1626" s="25"/>
      <c r="O1626" s="468"/>
      <c r="P1626" s="26"/>
      <c r="T1626" s="28"/>
    </row>
    <row r="1627" spans="1:24" ht="30" customHeight="1" x14ac:dyDescent="0.45">
      <c r="A1627" s="9" t="s">
        <v>4</v>
      </c>
      <c r="B1627" s="10">
        <v>2136</v>
      </c>
      <c r="C1627" s="1138" t="s">
        <v>1126</v>
      </c>
      <c r="D1627" s="1139"/>
      <c r="E1627" s="13" t="s">
        <v>7</v>
      </c>
      <c r="F1627" s="14" t="s">
        <v>35</v>
      </c>
      <c r="G1627" s="173" t="s">
        <v>6</v>
      </c>
      <c r="H1627" s="300">
        <v>20692</v>
      </c>
      <c r="I1627" s="13" t="s">
        <v>9</v>
      </c>
      <c r="J1627" s="985" t="s">
        <v>1127</v>
      </c>
      <c r="K1627" s="985"/>
      <c r="L1627" s="986"/>
      <c r="M1627" s="25"/>
      <c r="O1627" s="468"/>
      <c r="P1627" s="26"/>
      <c r="T1627" s="28"/>
    </row>
    <row r="1628" spans="1:24" ht="30" customHeight="1" x14ac:dyDescent="0.45">
      <c r="A1628" s="19" t="s">
        <v>11</v>
      </c>
      <c r="B1628" s="1005" t="s">
        <v>12</v>
      </c>
      <c r="C1628" s="1005"/>
      <c r="D1628" s="1005"/>
      <c r="E1628" s="132" t="s">
        <v>1128</v>
      </c>
      <c r="F1628" s="20"/>
      <c r="G1628" s="1068"/>
      <c r="H1628" s="1069"/>
      <c r="I1628" s="1068"/>
      <c r="J1628" s="1069"/>
      <c r="K1628" s="992" t="s">
        <v>17</v>
      </c>
      <c r="L1628" s="993"/>
      <c r="M1628" s="121"/>
      <c r="O1628" s="468"/>
      <c r="P1628" s="26"/>
      <c r="T1628" s="28"/>
    </row>
    <row r="1629" spans="1:24" ht="30" customHeight="1" x14ac:dyDescent="0.45">
      <c r="A1629" s="47">
        <v>21365</v>
      </c>
      <c r="B1629" s="1008" t="s">
        <v>1129</v>
      </c>
      <c r="C1629" s="1009"/>
      <c r="D1629" s="1010"/>
      <c r="E1629" s="523">
        <f>+K1496</f>
        <v>324.56303174841452</v>
      </c>
      <c r="F1629" s="145"/>
      <c r="G1629" s="522"/>
      <c r="H1629" s="178"/>
      <c r="I1629" s="1119"/>
      <c r="J1629" s="1120"/>
      <c r="K1629" s="145">
        <f>E1629</f>
        <v>324.56303174841452</v>
      </c>
      <c r="L1629" s="29" t="s">
        <v>35</v>
      </c>
      <c r="M1629" s="25"/>
      <c r="N1629" s="26"/>
      <c r="O1629" s="2"/>
      <c r="P1629" s="27"/>
      <c r="Q1629" s="26"/>
      <c r="R1629" s="28"/>
    </row>
    <row r="1630" spans="1:24" ht="30" customHeight="1" thickBot="1" x14ac:dyDescent="0.5">
      <c r="A1630" s="47"/>
      <c r="B1630" s="1092"/>
      <c r="C1630" s="1092"/>
      <c r="D1630" s="1092"/>
      <c r="E1630" s="293"/>
      <c r="F1630" s="294"/>
      <c r="G1630" s="294"/>
      <c r="H1630" s="295"/>
      <c r="I1630" s="58"/>
      <c r="J1630" s="85" t="s">
        <v>39</v>
      </c>
      <c r="K1630" s="216">
        <f>+K1629</f>
        <v>324.56303174841452</v>
      </c>
      <c r="L1630" s="47" t="s">
        <v>35</v>
      </c>
      <c r="M1630" s="25"/>
      <c r="N1630" s="26"/>
      <c r="O1630" s="2"/>
      <c r="P1630" s="27"/>
      <c r="Q1630" s="26"/>
      <c r="R1630" s="28"/>
    </row>
    <row r="1631" spans="1:24" ht="30" customHeight="1" thickBot="1" x14ac:dyDescent="0.5">
      <c r="A1631" s="999"/>
      <c r="B1631" s="1000"/>
      <c r="C1631" s="1000"/>
      <c r="D1631" s="1000"/>
      <c r="E1631" s="1000"/>
      <c r="F1631" s="1000"/>
      <c r="G1631" s="1000"/>
      <c r="H1631" s="1000"/>
      <c r="I1631" s="1000"/>
      <c r="J1631" s="1000"/>
      <c r="K1631" s="1000"/>
      <c r="L1631" s="1001"/>
      <c r="M1631" s="25"/>
      <c r="N1631" s="26"/>
      <c r="O1631" s="2"/>
      <c r="P1631" s="27"/>
      <c r="Q1631" s="26"/>
      <c r="R1631" s="28"/>
    </row>
    <row r="1632" spans="1:24" ht="30" customHeight="1" x14ac:dyDescent="0.45">
      <c r="A1632" s="9" t="s">
        <v>4</v>
      </c>
      <c r="B1632" s="10">
        <v>2137</v>
      </c>
      <c r="C1632" s="1138" t="s">
        <v>1130</v>
      </c>
      <c r="D1632" s="1139"/>
      <c r="E1632" s="13" t="s">
        <v>7</v>
      </c>
      <c r="F1632" s="14" t="s">
        <v>88</v>
      </c>
      <c r="G1632" s="11" t="s">
        <v>148</v>
      </c>
      <c r="H1632" s="184">
        <v>1</v>
      </c>
      <c r="I1632" s="13" t="s">
        <v>9</v>
      </c>
      <c r="J1632" s="985" t="s">
        <v>1131</v>
      </c>
      <c r="K1632" s="985"/>
      <c r="L1632" s="986"/>
      <c r="M1632" s="25"/>
      <c r="N1632" s="26"/>
      <c r="O1632" s="2"/>
      <c r="P1632" s="27"/>
      <c r="Q1632" s="26"/>
      <c r="R1632" s="28"/>
    </row>
    <row r="1633" spans="1:18" ht="30" customHeight="1" x14ac:dyDescent="0.45">
      <c r="A1633" s="19" t="s">
        <v>11</v>
      </c>
      <c r="B1633" s="1005" t="s">
        <v>12</v>
      </c>
      <c r="C1633" s="1005"/>
      <c r="D1633" s="1005"/>
      <c r="E1633" s="132" t="s">
        <v>267</v>
      </c>
      <c r="F1633" s="20" t="s">
        <v>1132</v>
      </c>
      <c r="G1633" s="1068"/>
      <c r="H1633" s="1069"/>
      <c r="I1633" s="1068" t="s">
        <v>16</v>
      </c>
      <c r="J1633" s="1069"/>
      <c r="K1633" s="992" t="s">
        <v>17</v>
      </c>
      <c r="L1633" s="993"/>
      <c r="M1633" s="25"/>
      <c r="N1633" s="26"/>
      <c r="O1633" s="2"/>
      <c r="P1633" s="27"/>
      <c r="Q1633" s="26"/>
      <c r="R1633" s="28"/>
    </row>
    <row r="1634" spans="1:18" ht="30" customHeight="1" x14ac:dyDescent="0.45">
      <c r="A1634" s="47">
        <v>21340</v>
      </c>
      <c r="B1634" s="1008" t="s">
        <v>1130</v>
      </c>
      <c r="C1634" s="1009"/>
      <c r="D1634" s="1010"/>
      <c r="E1634" s="521">
        <v>1</v>
      </c>
      <c r="F1634" s="145">
        <v>6987423.4888319997</v>
      </c>
      <c r="G1634" s="522"/>
      <c r="H1634" s="178"/>
      <c r="I1634" s="1119">
        <f>+'[1]2023 MILCON Inflation Table'!F18</f>
        <v>1.1214155171577724</v>
      </c>
      <c r="J1634" s="1120"/>
      <c r="K1634" s="145">
        <f>F1634*I1634</f>
        <v>7835805.1253289031</v>
      </c>
      <c r="L1634" s="29" t="s">
        <v>88</v>
      </c>
      <c r="M1634" s="25"/>
      <c r="N1634" s="26"/>
      <c r="O1634" s="2"/>
      <c r="P1634" s="27"/>
      <c r="Q1634" s="26"/>
      <c r="R1634" s="28"/>
    </row>
    <row r="1635" spans="1:18" ht="30" customHeight="1" thickBot="1" x14ac:dyDescent="0.5">
      <c r="A1635" s="47"/>
      <c r="B1635" s="1092"/>
      <c r="C1635" s="1092"/>
      <c r="D1635" s="1092"/>
      <c r="E1635" s="293"/>
      <c r="F1635" s="294"/>
      <c r="G1635" s="294"/>
      <c r="H1635" s="295"/>
      <c r="I1635" s="58"/>
      <c r="J1635" s="85" t="s">
        <v>39</v>
      </c>
      <c r="K1635" s="216">
        <f>+K1634</f>
        <v>7835805.1253289031</v>
      </c>
      <c r="L1635" s="47" t="s">
        <v>88</v>
      </c>
      <c r="M1635" s="25"/>
      <c r="N1635" s="26"/>
      <c r="O1635" s="2"/>
      <c r="P1635" s="27"/>
      <c r="Q1635" s="26"/>
      <c r="R1635" s="28"/>
    </row>
    <row r="1636" spans="1:18" ht="30" customHeight="1" thickBot="1" x14ac:dyDescent="0.5">
      <c r="A1636" s="999"/>
      <c r="B1636" s="1000"/>
      <c r="C1636" s="1000"/>
      <c r="D1636" s="1000"/>
      <c r="E1636" s="1000"/>
      <c r="F1636" s="1000"/>
      <c r="G1636" s="1000"/>
      <c r="H1636" s="1000"/>
      <c r="I1636" s="1000"/>
      <c r="J1636" s="1000"/>
      <c r="K1636" s="1000"/>
      <c r="L1636" s="1001"/>
      <c r="M1636" s="25"/>
      <c r="N1636" s="26"/>
      <c r="O1636" s="2"/>
      <c r="P1636" s="27"/>
      <c r="Q1636" s="26"/>
      <c r="R1636" s="28"/>
    </row>
    <row r="1637" spans="1:18" ht="30" customHeight="1" x14ac:dyDescent="0.45">
      <c r="A1637" s="9" t="s">
        <v>4</v>
      </c>
      <c r="B1637" s="10">
        <v>2141</v>
      </c>
      <c r="C1637" s="1138" t="s">
        <v>1133</v>
      </c>
      <c r="D1637" s="1139"/>
      <c r="E1637" s="13" t="s">
        <v>7</v>
      </c>
      <c r="F1637" s="14" t="s">
        <v>35</v>
      </c>
      <c r="G1637" s="11" t="s">
        <v>6</v>
      </c>
      <c r="H1637" s="273">
        <v>8754.9353088119497</v>
      </c>
      <c r="I1637" s="13" t="s">
        <v>9</v>
      </c>
      <c r="J1637" s="985" t="str">
        <f>+J1605</f>
        <v>Table 2, UFC 3-701-1, 2 March 2023</v>
      </c>
      <c r="K1637" s="985"/>
      <c r="L1637" s="986"/>
      <c r="M1637" s="25"/>
      <c r="N1637" s="26"/>
      <c r="O1637" s="2"/>
      <c r="P1637" s="27"/>
      <c r="Q1637" s="26"/>
      <c r="R1637" s="28"/>
    </row>
    <row r="1638" spans="1:18" ht="30" customHeight="1" x14ac:dyDescent="0.45">
      <c r="A1638" s="19" t="s">
        <v>11</v>
      </c>
      <c r="B1638" s="1258" t="s">
        <v>12</v>
      </c>
      <c r="C1638" s="1259"/>
      <c r="D1638" s="1260"/>
      <c r="E1638" s="132" t="s">
        <v>267</v>
      </c>
      <c r="F1638" s="20" t="s">
        <v>13</v>
      </c>
      <c r="H1638" s="524"/>
      <c r="I1638" s="1140" t="s">
        <v>60</v>
      </c>
      <c r="J1638" s="1141"/>
      <c r="K1638" s="992" t="s">
        <v>17</v>
      </c>
      <c r="L1638" s="993"/>
      <c r="M1638" s="25"/>
      <c r="N1638" s="26"/>
      <c r="O1638" s="2"/>
      <c r="P1638" s="27"/>
      <c r="Q1638" s="26"/>
      <c r="R1638" s="28"/>
    </row>
    <row r="1639" spans="1:18" ht="30" customHeight="1" x14ac:dyDescent="0.45">
      <c r="A1639" s="29" t="s">
        <v>268</v>
      </c>
      <c r="B1639" s="1142" t="s">
        <v>1134</v>
      </c>
      <c r="C1639" s="1117"/>
      <c r="D1639" s="1118"/>
      <c r="E1639" s="176">
        <v>12000</v>
      </c>
      <c r="F1639" s="145">
        <v>692</v>
      </c>
      <c r="G1639" s="177"/>
      <c r="H1639" s="178"/>
      <c r="I1639" s="1119" t="str">
        <f>+$I$298</f>
        <v>NA;  GUCs are as of October 2022</v>
      </c>
      <c r="J1639" s="1120"/>
      <c r="K1639" s="145">
        <f>+F1639</f>
        <v>692</v>
      </c>
      <c r="L1639" s="29" t="s">
        <v>35</v>
      </c>
      <c r="M1639" s="25"/>
      <c r="N1639" s="26"/>
      <c r="O1639" s="2"/>
      <c r="P1639" s="27"/>
      <c r="Q1639" s="26"/>
      <c r="R1639" s="28"/>
    </row>
    <row r="1640" spans="1:18" ht="30" customHeight="1" thickBot="1" x14ac:dyDescent="0.5">
      <c r="A1640" s="47"/>
      <c r="B1640" s="1018"/>
      <c r="C1640" s="1019"/>
      <c r="D1640" s="1020"/>
      <c r="E1640" s="180"/>
      <c r="F1640" s="181"/>
      <c r="G1640" s="181"/>
      <c r="H1640" s="182"/>
      <c r="I1640" s="58"/>
      <c r="J1640" s="85" t="s">
        <v>39</v>
      </c>
      <c r="K1640" s="216">
        <f>+K1639</f>
        <v>692</v>
      </c>
      <c r="L1640" s="47" t="s">
        <v>35</v>
      </c>
      <c r="M1640" s="25"/>
      <c r="N1640" s="26"/>
      <c r="O1640" s="2"/>
      <c r="P1640" s="27"/>
      <c r="Q1640" s="26"/>
      <c r="R1640" s="28"/>
    </row>
    <row r="1641" spans="1:18" ht="30" customHeight="1" thickBot="1" x14ac:dyDescent="0.5">
      <c r="A1641" s="999"/>
      <c r="B1641" s="1000"/>
      <c r="C1641" s="1000"/>
      <c r="D1641" s="1000"/>
      <c r="E1641" s="1000"/>
      <c r="F1641" s="1000"/>
      <c r="G1641" s="1000"/>
      <c r="H1641" s="1000"/>
      <c r="I1641" s="1000"/>
      <c r="J1641" s="1000"/>
      <c r="K1641" s="1000"/>
      <c r="L1641" s="1001"/>
      <c r="M1641" s="25"/>
      <c r="N1641" s="26"/>
      <c r="O1641" s="2"/>
      <c r="P1641" s="27"/>
      <c r="Q1641" s="26"/>
      <c r="R1641" s="28"/>
    </row>
    <row r="1642" spans="1:18" ht="30" customHeight="1" x14ac:dyDescent="0.45">
      <c r="A1642" s="9" t="s">
        <v>4</v>
      </c>
      <c r="B1642" s="10">
        <v>2142</v>
      </c>
      <c r="C1642" s="1243" t="s">
        <v>1135</v>
      </c>
      <c r="D1642" s="1244"/>
      <c r="E1642" s="13" t="s">
        <v>7</v>
      </c>
      <c r="F1642" s="14" t="s">
        <v>35</v>
      </c>
      <c r="G1642" s="11" t="s">
        <v>6</v>
      </c>
      <c r="H1642" s="273">
        <v>21801.183076923</v>
      </c>
      <c r="I1642" s="13" t="s">
        <v>9</v>
      </c>
      <c r="J1642" s="985" t="str">
        <f>+$J$318</f>
        <v>Table 2, UFC 3-701-1, 2 March 2023</v>
      </c>
      <c r="K1642" s="985"/>
      <c r="L1642" s="986"/>
      <c r="M1642" s="25"/>
      <c r="N1642" s="26"/>
      <c r="O1642" s="2"/>
      <c r="P1642" s="27"/>
      <c r="Q1642" s="26"/>
      <c r="R1642" s="28"/>
    </row>
    <row r="1643" spans="1:18" ht="30" customHeight="1" x14ac:dyDescent="0.45">
      <c r="A1643" s="19" t="s">
        <v>11</v>
      </c>
      <c r="B1643" s="1258" t="s">
        <v>12</v>
      </c>
      <c r="C1643" s="1259"/>
      <c r="D1643" s="1260"/>
      <c r="E1643" s="132" t="s">
        <v>267</v>
      </c>
      <c r="F1643" s="20" t="s">
        <v>13</v>
      </c>
      <c r="G1643" s="19"/>
      <c r="H1643" s="19"/>
      <c r="I1643" s="1140" t="s">
        <v>60</v>
      </c>
      <c r="J1643" s="1141"/>
      <c r="K1643" s="992" t="s">
        <v>17</v>
      </c>
      <c r="L1643" s="993"/>
      <c r="M1643" s="25"/>
      <c r="N1643" s="26"/>
      <c r="O1643" s="2"/>
      <c r="P1643" s="27"/>
      <c r="Q1643" s="26"/>
      <c r="R1643" s="28"/>
    </row>
    <row r="1644" spans="1:18" ht="30" customHeight="1" x14ac:dyDescent="0.45">
      <c r="A1644" s="29" t="s">
        <v>268</v>
      </c>
      <c r="B1644" s="1142" t="s">
        <v>1136</v>
      </c>
      <c r="C1644" s="1117"/>
      <c r="D1644" s="1118"/>
      <c r="E1644" s="176">
        <v>42000</v>
      </c>
      <c r="F1644" s="145">
        <v>465</v>
      </c>
      <c r="G1644" s="177"/>
      <c r="H1644" s="178"/>
      <c r="I1644" s="1119" t="str">
        <f>+$I$298</f>
        <v>NA;  GUCs are as of October 2022</v>
      </c>
      <c r="J1644" s="1120"/>
      <c r="K1644" s="145">
        <f>+F1644</f>
        <v>465</v>
      </c>
      <c r="L1644" s="29" t="s">
        <v>35</v>
      </c>
      <c r="M1644" s="25"/>
      <c r="N1644" s="26"/>
      <c r="O1644" s="2"/>
      <c r="P1644" s="27"/>
      <c r="Q1644" s="26"/>
      <c r="R1644" s="28"/>
    </row>
    <row r="1645" spans="1:18" ht="30" customHeight="1" thickBot="1" x14ac:dyDescent="0.5">
      <c r="A1645" s="47"/>
      <c r="B1645" s="1018"/>
      <c r="C1645" s="1019"/>
      <c r="D1645" s="1020"/>
      <c r="E1645" s="180"/>
      <c r="F1645" s="181"/>
      <c r="G1645" s="181"/>
      <c r="H1645" s="182"/>
      <c r="I1645" s="58"/>
      <c r="J1645" s="85" t="s">
        <v>39</v>
      </c>
      <c r="K1645" s="216">
        <f>+K1644</f>
        <v>465</v>
      </c>
      <c r="L1645" s="47" t="s">
        <v>35</v>
      </c>
      <c r="M1645" s="25"/>
      <c r="N1645" s="26"/>
      <c r="O1645" s="2"/>
      <c r="P1645" s="27"/>
      <c r="Q1645" s="26"/>
      <c r="R1645" s="28"/>
    </row>
    <row r="1646" spans="1:18" ht="30" customHeight="1" thickBot="1" x14ac:dyDescent="0.5">
      <c r="A1646" s="999"/>
      <c r="B1646" s="1000"/>
      <c r="C1646" s="1000"/>
      <c r="D1646" s="1000"/>
      <c r="E1646" s="1000"/>
      <c r="F1646" s="1000"/>
      <c r="G1646" s="1000"/>
      <c r="H1646" s="1000"/>
      <c r="I1646" s="1000"/>
      <c r="J1646" s="1000"/>
      <c r="K1646" s="1000"/>
      <c r="L1646" s="1001"/>
      <c r="M1646" s="25"/>
      <c r="N1646" s="26"/>
      <c r="O1646" s="2"/>
      <c r="P1646" s="27"/>
      <c r="Q1646" s="26"/>
      <c r="R1646" s="28"/>
    </row>
    <row r="1647" spans="1:18" ht="30" customHeight="1" x14ac:dyDescent="0.45">
      <c r="A1647" s="9" t="s">
        <v>4</v>
      </c>
      <c r="B1647" s="10">
        <v>2143</v>
      </c>
      <c r="C1647" s="1138" t="s">
        <v>1137</v>
      </c>
      <c r="D1647" s="1139"/>
      <c r="E1647" s="13" t="s">
        <v>7</v>
      </c>
      <c r="F1647" s="14" t="s">
        <v>35</v>
      </c>
      <c r="G1647" s="11" t="s">
        <v>6</v>
      </c>
      <c r="H1647" s="273">
        <v>14871.335308498201</v>
      </c>
      <c r="I1647" s="13" t="s">
        <v>9</v>
      </c>
      <c r="J1647" s="985" t="str">
        <f>+$J$318</f>
        <v>Table 2, UFC 3-701-1, 2 March 2023</v>
      </c>
      <c r="K1647" s="985"/>
      <c r="L1647" s="986"/>
      <c r="M1647" s="25"/>
      <c r="N1647" s="146"/>
      <c r="O1647" s="2"/>
      <c r="P1647" s="27"/>
      <c r="Q1647" s="26"/>
      <c r="R1647" s="28"/>
    </row>
    <row r="1648" spans="1:18" ht="30" customHeight="1" x14ac:dyDescent="0.45">
      <c r="A1648" s="19" t="s">
        <v>11</v>
      </c>
      <c r="B1648" s="1258" t="s">
        <v>12</v>
      </c>
      <c r="C1648" s="1259"/>
      <c r="D1648" s="1260"/>
      <c r="E1648" s="132" t="s">
        <v>267</v>
      </c>
      <c r="F1648" s="20" t="s">
        <v>13</v>
      </c>
      <c r="G1648" s="19"/>
      <c r="H1648" s="19"/>
      <c r="I1648" s="1140" t="s">
        <v>60</v>
      </c>
      <c r="J1648" s="1141"/>
      <c r="K1648" s="992" t="s">
        <v>17</v>
      </c>
      <c r="L1648" s="993"/>
      <c r="M1648" s="25"/>
      <c r="N1648" s="146"/>
      <c r="O1648" s="2"/>
      <c r="P1648" s="27"/>
      <c r="Q1648" s="26"/>
      <c r="R1648" s="28"/>
    </row>
    <row r="1649" spans="1:18" ht="30" customHeight="1" x14ac:dyDescent="0.45">
      <c r="A1649" s="29" t="s">
        <v>268</v>
      </c>
      <c r="B1649" s="1142" t="s">
        <v>1134</v>
      </c>
      <c r="C1649" s="1117"/>
      <c r="D1649" s="1118"/>
      <c r="E1649" s="176">
        <v>12000</v>
      </c>
      <c r="F1649" s="145">
        <v>692</v>
      </c>
      <c r="G1649" s="177"/>
      <c r="H1649" s="178"/>
      <c r="I1649" s="1119" t="str">
        <f>+$I$298</f>
        <v>NA;  GUCs are as of October 2022</v>
      </c>
      <c r="J1649" s="1120"/>
      <c r="K1649" s="145">
        <f>+F1649</f>
        <v>692</v>
      </c>
      <c r="L1649" s="29" t="s">
        <v>35</v>
      </c>
      <c r="M1649" s="25"/>
      <c r="N1649" s="26"/>
      <c r="O1649" s="2"/>
      <c r="P1649" s="27"/>
      <c r="Q1649" s="26"/>
      <c r="R1649" s="28"/>
    </row>
    <row r="1650" spans="1:18" ht="30" customHeight="1" thickBot="1" x14ac:dyDescent="0.5">
      <c r="A1650" s="47"/>
      <c r="B1650" s="1018"/>
      <c r="C1650" s="1019"/>
      <c r="D1650" s="1020"/>
      <c r="E1650" s="180"/>
      <c r="F1650" s="181"/>
      <c r="G1650" s="181"/>
      <c r="H1650" s="182"/>
      <c r="I1650" s="58"/>
      <c r="J1650" s="85" t="s">
        <v>39</v>
      </c>
      <c r="K1650" s="216">
        <f>+K1649</f>
        <v>692</v>
      </c>
      <c r="L1650" s="47" t="s">
        <v>35</v>
      </c>
      <c r="M1650" s="25"/>
      <c r="N1650" s="26"/>
      <c r="O1650" s="2"/>
      <c r="P1650" s="27"/>
      <c r="Q1650" s="26"/>
      <c r="R1650" s="28"/>
    </row>
    <row r="1651" spans="1:18" ht="30" customHeight="1" thickBot="1" x14ac:dyDescent="0.5">
      <c r="A1651" s="999"/>
      <c r="B1651" s="1000"/>
      <c r="C1651" s="1000"/>
      <c r="D1651" s="1000"/>
      <c r="E1651" s="1000"/>
      <c r="F1651" s="1000"/>
      <c r="G1651" s="1000"/>
      <c r="H1651" s="1000"/>
      <c r="I1651" s="1000"/>
      <c r="J1651" s="1000"/>
      <c r="K1651" s="1000"/>
      <c r="L1651" s="1001"/>
      <c r="M1651" s="25"/>
      <c r="N1651" s="26"/>
      <c r="O1651" s="2"/>
      <c r="P1651" s="27"/>
      <c r="Q1651" s="26"/>
      <c r="R1651" s="28"/>
    </row>
    <row r="1652" spans="1:18" ht="30" customHeight="1" x14ac:dyDescent="0.45">
      <c r="A1652" s="9" t="s">
        <v>4</v>
      </c>
      <c r="B1652" s="10">
        <v>2144</v>
      </c>
      <c r="C1652" s="1138" t="s">
        <v>1138</v>
      </c>
      <c r="D1652" s="1139"/>
      <c r="E1652" s="13" t="s">
        <v>7</v>
      </c>
      <c r="F1652" s="14" t="s">
        <v>35</v>
      </c>
      <c r="G1652" s="11" t="s">
        <v>6</v>
      </c>
      <c r="H1652" s="273">
        <v>7601</v>
      </c>
      <c r="I1652" s="13" t="s">
        <v>9</v>
      </c>
      <c r="J1652" s="985" t="str">
        <f>+$J$318</f>
        <v>Table 2, UFC 3-701-1, 2 March 2023</v>
      </c>
      <c r="K1652" s="985"/>
      <c r="L1652" s="986"/>
      <c r="M1652" s="25"/>
      <c r="N1652" s="26"/>
      <c r="O1652" s="2"/>
      <c r="P1652" s="27"/>
      <c r="Q1652" s="26"/>
      <c r="R1652" s="28"/>
    </row>
    <row r="1653" spans="1:18" ht="30" customHeight="1" x14ac:dyDescent="0.45">
      <c r="A1653" s="19" t="s">
        <v>11</v>
      </c>
      <c r="B1653" s="1258" t="s">
        <v>12</v>
      </c>
      <c r="C1653" s="1259"/>
      <c r="D1653" s="1260"/>
      <c r="E1653" s="132" t="s">
        <v>267</v>
      </c>
      <c r="F1653" s="20" t="s">
        <v>13</v>
      </c>
      <c r="G1653" s="19"/>
      <c r="H1653" s="19"/>
      <c r="I1653" s="1140" t="s">
        <v>60</v>
      </c>
      <c r="J1653" s="1141"/>
      <c r="K1653" s="992" t="s">
        <v>17</v>
      </c>
      <c r="L1653" s="993"/>
      <c r="M1653" s="25"/>
      <c r="N1653" s="26"/>
      <c r="O1653" s="2"/>
      <c r="P1653" s="27"/>
      <c r="Q1653" s="26"/>
      <c r="R1653" s="28"/>
    </row>
    <row r="1654" spans="1:18" ht="30" customHeight="1" x14ac:dyDescent="0.45">
      <c r="A1654" s="29" t="s">
        <v>268</v>
      </c>
      <c r="B1654" s="1142" t="s">
        <v>1134</v>
      </c>
      <c r="C1654" s="1117"/>
      <c r="D1654" s="1118"/>
      <c r="E1654" s="176">
        <v>12000</v>
      </c>
      <c r="F1654" s="145">
        <v>692</v>
      </c>
      <c r="G1654" s="177"/>
      <c r="H1654" s="178"/>
      <c r="I1654" s="1119" t="str">
        <f>+$I$298</f>
        <v>NA;  GUCs are as of October 2022</v>
      </c>
      <c r="J1654" s="1120"/>
      <c r="K1654" s="145">
        <f>+F1654</f>
        <v>692</v>
      </c>
      <c r="L1654" s="29" t="s">
        <v>35</v>
      </c>
      <c r="M1654" s="25"/>
      <c r="N1654" s="26"/>
      <c r="O1654" s="2"/>
      <c r="P1654" s="27"/>
      <c r="Q1654" s="26"/>
      <c r="R1654" s="28"/>
    </row>
    <row r="1655" spans="1:18" ht="30" customHeight="1" thickBot="1" x14ac:dyDescent="0.5">
      <c r="A1655" s="47"/>
      <c r="B1655" s="1018"/>
      <c r="C1655" s="1019"/>
      <c r="D1655" s="1020"/>
      <c r="E1655" s="180"/>
      <c r="F1655" s="181"/>
      <c r="G1655" s="181"/>
      <c r="H1655" s="182"/>
      <c r="I1655" s="58"/>
      <c r="J1655" s="85" t="s">
        <v>39</v>
      </c>
      <c r="K1655" s="216">
        <f>+K1654</f>
        <v>692</v>
      </c>
      <c r="L1655" s="47" t="s">
        <v>35</v>
      </c>
      <c r="M1655" s="25"/>
      <c r="N1655" s="26"/>
      <c r="O1655" s="2"/>
      <c r="P1655" s="27"/>
      <c r="Q1655" s="26"/>
      <c r="R1655" s="28"/>
    </row>
    <row r="1656" spans="1:18" ht="30" customHeight="1" thickBot="1" x14ac:dyDescent="0.5">
      <c r="A1656" s="999"/>
      <c r="B1656" s="1000"/>
      <c r="C1656" s="1000"/>
      <c r="D1656" s="1000"/>
      <c r="E1656" s="1000"/>
      <c r="F1656" s="1000"/>
      <c r="G1656" s="1000"/>
      <c r="H1656" s="1000"/>
      <c r="I1656" s="1000"/>
      <c r="J1656" s="1000"/>
      <c r="K1656" s="1000"/>
      <c r="L1656" s="1001"/>
      <c r="M1656" s="25"/>
      <c r="N1656" s="26"/>
      <c r="O1656" s="2"/>
      <c r="P1656" s="27"/>
      <c r="Q1656" s="26"/>
      <c r="R1656" s="28"/>
    </row>
    <row r="1657" spans="1:18" ht="30" customHeight="1" x14ac:dyDescent="0.45">
      <c r="A1657" s="9" t="s">
        <v>4</v>
      </c>
      <c r="B1657" s="10">
        <v>2145</v>
      </c>
      <c r="C1657" s="1138" t="s">
        <v>1139</v>
      </c>
      <c r="D1657" s="1139"/>
      <c r="E1657" s="13" t="s">
        <v>7</v>
      </c>
      <c r="F1657" s="14" t="s">
        <v>88</v>
      </c>
      <c r="G1657" s="11" t="s">
        <v>6</v>
      </c>
      <c r="H1657" s="184">
        <v>1</v>
      </c>
      <c r="I1657" s="13" t="s">
        <v>9</v>
      </c>
      <c r="J1657" s="985" t="s">
        <v>1140</v>
      </c>
      <c r="K1657" s="985"/>
      <c r="L1657" s="986"/>
      <c r="M1657" s="25"/>
      <c r="N1657" s="26"/>
      <c r="O1657" s="2"/>
      <c r="P1657" s="27"/>
      <c r="Q1657" s="26"/>
      <c r="R1657" s="28"/>
    </row>
    <row r="1658" spans="1:18" ht="30" customHeight="1" x14ac:dyDescent="0.45">
      <c r="A1658" s="19" t="s">
        <v>11</v>
      </c>
      <c r="B1658" s="1258" t="s">
        <v>12</v>
      </c>
      <c r="C1658" s="1259"/>
      <c r="D1658" s="1260"/>
      <c r="E1658" s="20" t="s">
        <v>13</v>
      </c>
      <c r="F1658" s="19" t="s">
        <v>267</v>
      </c>
      <c r="G1658" s="21" t="s">
        <v>79</v>
      </c>
      <c r="H1658" s="19" t="s">
        <v>15</v>
      </c>
      <c r="I1658" s="1068" t="s">
        <v>16</v>
      </c>
      <c r="J1658" s="1069"/>
      <c r="K1658" s="992" t="s">
        <v>17</v>
      </c>
      <c r="L1658" s="993"/>
      <c r="M1658" s="25"/>
      <c r="N1658" s="26"/>
      <c r="O1658" s="2"/>
      <c r="P1658" s="27"/>
      <c r="Q1658" s="26"/>
      <c r="R1658" s="28"/>
    </row>
    <row r="1659" spans="1:18" ht="30" customHeight="1" x14ac:dyDescent="0.45">
      <c r="A1659" s="47">
        <v>14955</v>
      </c>
      <c r="B1659" s="1018" t="s">
        <v>1141</v>
      </c>
      <c r="C1659" s="1019"/>
      <c r="D1659" s="1020"/>
      <c r="E1659" s="31">
        <v>142</v>
      </c>
      <c r="F1659" s="514">
        <v>1428</v>
      </c>
      <c r="G1659" s="231" t="s">
        <v>35</v>
      </c>
      <c r="H1659" s="231">
        <v>1428</v>
      </c>
      <c r="I1659" s="1119">
        <f>+'[1]2023 MILCON Inflation Table'!F21</f>
        <v>0.957411465768232</v>
      </c>
      <c r="J1659" s="1120"/>
      <c r="K1659" s="145">
        <f>E1659*H1659*I1659</f>
        <v>194140.06738261902</v>
      </c>
      <c r="L1659" s="29" t="s">
        <v>88</v>
      </c>
      <c r="M1659" s="25"/>
      <c r="N1659" s="26"/>
      <c r="O1659" s="2"/>
      <c r="P1659" s="27"/>
      <c r="Q1659" s="26"/>
      <c r="R1659" s="28"/>
    </row>
    <row r="1660" spans="1:18" ht="30" customHeight="1" x14ac:dyDescent="0.45">
      <c r="A1660" s="47">
        <v>14960</v>
      </c>
      <c r="B1660" s="1008" t="s">
        <v>1142</v>
      </c>
      <c r="C1660" s="1009"/>
      <c r="D1660" s="1010"/>
      <c r="E1660" s="31">
        <v>62680</v>
      </c>
      <c r="F1660" s="514">
        <v>1</v>
      </c>
      <c r="G1660" s="29" t="s">
        <v>88</v>
      </c>
      <c r="H1660" s="29"/>
      <c r="I1660" s="1119">
        <f>+'[1]2023 MILCON Inflation Table'!F10</f>
        <v>1.5845473099763927</v>
      </c>
      <c r="J1660" s="1120"/>
      <c r="K1660" s="36">
        <f>+E1660*I1660</f>
        <v>99319.425389320299</v>
      </c>
      <c r="L1660" s="29" t="s">
        <v>88</v>
      </c>
      <c r="M1660" s="25"/>
      <c r="N1660" s="26"/>
      <c r="O1660" s="2"/>
      <c r="P1660" s="27"/>
      <c r="Q1660" s="26"/>
      <c r="R1660" s="28"/>
    </row>
    <row r="1661" spans="1:18" ht="30" customHeight="1" thickBot="1" x14ac:dyDescent="0.5">
      <c r="A1661" s="47"/>
      <c r="B1661" s="1018"/>
      <c r="C1661" s="1019"/>
      <c r="D1661" s="1020"/>
      <c r="E1661" s="161"/>
      <c r="F1661" s="415"/>
      <c r="G1661" s="161"/>
      <c r="H1661" s="389" t="s">
        <v>56</v>
      </c>
      <c r="I1661" s="58"/>
      <c r="J1661" s="85" t="s">
        <v>39</v>
      </c>
      <c r="K1661" s="185">
        <f>AVERAGE(K1659:K1660)</f>
        <v>146729.74638596966</v>
      </c>
      <c r="L1661" s="29" t="s">
        <v>88</v>
      </c>
      <c r="M1661" s="25"/>
      <c r="N1661" s="26"/>
      <c r="O1661" s="2"/>
      <c r="P1661" s="27"/>
      <c r="Q1661" s="26"/>
      <c r="R1661" s="28"/>
    </row>
    <row r="1662" spans="1:18" ht="30" customHeight="1" thickBot="1" x14ac:dyDescent="0.5">
      <c r="A1662" s="999"/>
      <c r="B1662" s="1000"/>
      <c r="C1662" s="1000"/>
      <c r="D1662" s="1000"/>
      <c r="E1662" s="1000"/>
      <c r="F1662" s="1000"/>
      <c r="G1662" s="1000"/>
      <c r="H1662" s="1000"/>
      <c r="I1662" s="1000"/>
      <c r="J1662" s="1000"/>
      <c r="K1662" s="1000"/>
      <c r="L1662" s="1001"/>
      <c r="M1662" s="25"/>
      <c r="N1662" s="26"/>
      <c r="O1662" s="2"/>
      <c r="P1662" s="27"/>
      <c r="Q1662" s="26"/>
      <c r="R1662" s="28"/>
    </row>
    <row r="1663" spans="1:18" ht="30" customHeight="1" x14ac:dyDescent="0.45">
      <c r="A1663" s="9" t="s">
        <v>4</v>
      </c>
      <c r="B1663" s="10">
        <v>2146</v>
      </c>
      <c r="C1663" s="1138" t="s">
        <v>1143</v>
      </c>
      <c r="D1663" s="1139"/>
      <c r="E1663" s="13" t="s">
        <v>7</v>
      </c>
      <c r="F1663" s="14" t="s">
        <v>88</v>
      </c>
      <c r="G1663" s="11" t="s">
        <v>6</v>
      </c>
      <c r="H1663" s="184">
        <v>1</v>
      </c>
      <c r="I1663" s="13" t="s">
        <v>9</v>
      </c>
      <c r="J1663" s="985" t="s">
        <v>1144</v>
      </c>
      <c r="K1663" s="985"/>
      <c r="L1663" s="986"/>
      <c r="M1663" s="25"/>
      <c r="N1663" s="26"/>
      <c r="O1663" s="2"/>
      <c r="P1663" s="27"/>
      <c r="Q1663" s="26"/>
      <c r="R1663" s="28"/>
    </row>
    <row r="1664" spans="1:18" ht="30" customHeight="1" x14ac:dyDescent="0.45">
      <c r="A1664" s="19"/>
      <c r="B1664" s="1007" t="s">
        <v>409</v>
      </c>
      <c r="C1664" s="1007"/>
      <c r="D1664" s="1007"/>
      <c r="E1664" s="19" t="s">
        <v>13</v>
      </c>
      <c r="F1664" s="19" t="s">
        <v>14</v>
      </c>
      <c r="G1664" s="990" t="s">
        <v>15</v>
      </c>
      <c r="H1664" s="991"/>
      <c r="I1664" s="19" t="s">
        <v>59</v>
      </c>
      <c r="J1664" s="19" t="s">
        <v>60</v>
      </c>
      <c r="K1664" s="992" t="s">
        <v>39</v>
      </c>
      <c r="L1664" s="993"/>
      <c r="M1664" s="25"/>
      <c r="N1664" s="26"/>
      <c r="O1664" s="2"/>
      <c r="P1664" s="27"/>
      <c r="Q1664" s="26"/>
      <c r="R1664" s="28"/>
    </row>
    <row r="1665" spans="1:18" ht="30" customHeight="1" thickBot="1" x14ac:dyDescent="0.5">
      <c r="A1665" s="38"/>
      <c r="B1665" s="1083">
        <v>23742685.239041999</v>
      </c>
      <c r="C1665" s="1083"/>
      <c r="D1665" s="1083"/>
      <c r="E1665" s="104"/>
      <c r="F1665" s="105"/>
      <c r="G1665" s="1084"/>
      <c r="H1665" s="1085"/>
      <c r="I1665" s="105"/>
      <c r="J1665" s="226">
        <v>1.1214</v>
      </c>
      <c r="K1665" s="108">
        <f>B1665*J1665</f>
        <v>26625047.227061696</v>
      </c>
      <c r="L1665" s="105" t="s">
        <v>88</v>
      </c>
      <c r="M1665" s="25"/>
      <c r="N1665" s="26"/>
      <c r="O1665" s="2"/>
      <c r="P1665" s="27"/>
      <c r="Q1665" s="26"/>
      <c r="R1665" s="28"/>
    </row>
    <row r="1666" spans="1:18" ht="30" customHeight="1" thickBot="1" x14ac:dyDescent="0.5">
      <c r="A1666" s="999"/>
      <c r="B1666" s="1000"/>
      <c r="C1666" s="1000"/>
      <c r="D1666" s="1000"/>
      <c r="E1666" s="1000"/>
      <c r="F1666" s="1000"/>
      <c r="G1666" s="1000"/>
      <c r="H1666" s="1000"/>
      <c r="I1666" s="1000"/>
      <c r="J1666" s="1000"/>
      <c r="K1666" s="1000"/>
      <c r="L1666" s="1001"/>
      <c r="M1666" s="25"/>
      <c r="N1666" s="26"/>
      <c r="O1666" s="2"/>
      <c r="P1666" s="27"/>
      <c r="Q1666" s="26"/>
      <c r="R1666" s="28"/>
    </row>
    <row r="1667" spans="1:18" ht="30" customHeight="1" x14ac:dyDescent="0.45">
      <c r="A1667" s="9" t="s">
        <v>4</v>
      </c>
      <c r="B1667" s="10">
        <v>2147</v>
      </c>
      <c r="C1667" s="1138" t="s">
        <v>1145</v>
      </c>
      <c r="D1667" s="1139"/>
      <c r="E1667" s="13" t="s">
        <v>7</v>
      </c>
      <c r="F1667" s="14" t="s">
        <v>35</v>
      </c>
      <c r="G1667" s="11" t="s">
        <v>6</v>
      </c>
      <c r="H1667" s="184">
        <v>7397.8</v>
      </c>
      <c r="I1667" s="13" t="s">
        <v>9</v>
      </c>
      <c r="J1667" s="985" t="s">
        <v>10</v>
      </c>
      <c r="K1667" s="985"/>
      <c r="L1667" s="986"/>
      <c r="M1667" s="25"/>
      <c r="O1667" s="27"/>
      <c r="P1667" s="26"/>
      <c r="Q1667" s="28"/>
    </row>
    <row r="1668" spans="1:18" ht="30" customHeight="1" x14ac:dyDescent="0.45">
      <c r="A1668" s="19" t="s">
        <v>11</v>
      </c>
      <c r="B1668" s="1258" t="s">
        <v>12</v>
      </c>
      <c r="C1668" s="1259"/>
      <c r="D1668" s="1260"/>
      <c r="E1668" s="20" t="s">
        <v>13</v>
      </c>
      <c r="F1668" s="19" t="s">
        <v>267</v>
      </c>
      <c r="G1668" s="1068" t="s">
        <v>79</v>
      </c>
      <c r="H1668" s="1069"/>
      <c r="I1668" s="1068" t="s">
        <v>16</v>
      </c>
      <c r="J1668" s="1069"/>
      <c r="K1668" s="992" t="s">
        <v>17</v>
      </c>
      <c r="L1668" s="993"/>
      <c r="M1668" s="25"/>
      <c r="O1668" s="27"/>
      <c r="P1668" s="26"/>
      <c r="Q1668" s="28"/>
    </row>
    <row r="1669" spans="1:18" ht="30" customHeight="1" x14ac:dyDescent="0.45">
      <c r="A1669" s="47">
        <v>21470</v>
      </c>
      <c r="B1669" s="1018" t="s">
        <v>1146</v>
      </c>
      <c r="C1669" s="1019"/>
      <c r="D1669" s="1020"/>
      <c r="E1669" s="221">
        <v>724</v>
      </c>
      <c r="F1669" s="394">
        <v>180</v>
      </c>
      <c r="G1669" s="29" t="s">
        <v>35</v>
      </c>
      <c r="H1669" s="29"/>
      <c r="I1669" s="1119">
        <f>+'[1]2023 MILCON Inflation Table'!F22</f>
        <v>0.93771935922451721</v>
      </c>
      <c r="J1669" s="1120"/>
      <c r="K1669" s="36">
        <f>+E1669*I1669</f>
        <v>678.90881607855044</v>
      </c>
      <c r="L1669" s="29" t="s">
        <v>35</v>
      </c>
      <c r="M1669" s="25"/>
      <c r="O1669" s="27"/>
      <c r="P1669" s="26"/>
      <c r="Q1669" s="28"/>
    </row>
    <row r="1670" spans="1:18" ht="30" customHeight="1" x14ac:dyDescent="0.45">
      <c r="A1670" s="47">
        <v>21470</v>
      </c>
      <c r="B1670" s="1018" t="s">
        <v>1147</v>
      </c>
      <c r="C1670" s="1019"/>
      <c r="D1670" s="1020"/>
      <c r="E1670" s="221">
        <v>617</v>
      </c>
      <c r="F1670" s="394">
        <v>447</v>
      </c>
      <c r="G1670" s="29" t="s">
        <v>35</v>
      </c>
      <c r="H1670" s="29"/>
      <c r="I1670" s="1119">
        <f>+'[1]2023 MILCON Inflation Table'!F22</f>
        <v>0.93771935922451721</v>
      </c>
      <c r="J1670" s="1120"/>
      <c r="K1670" s="36">
        <f>+E1670*I1670</f>
        <v>578.57284464152713</v>
      </c>
      <c r="L1670" s="29" t="s">
        <v>35</v>
      </c>
      <c r="M1670" s="25"/>
      <c r="N1670" s="26"/>
      <c r="O1670" s="2"/>
      <c r="P1670" s="27"/>
      <c r="Q1670" s="26"/>
      <c r="R1670" s="28"/>
    </row>
    <row r="1671" spans="1:18" ht="30" customHeight="1" thickBot="1" x14ac:dyDescent="0.5">
      <c r="A1671" s="47"/>
      <c r="B1671" s="1098"/>
      <c r="C1671" s="1099"/>
      <c r="D1671" s="1100"/>
      <c r="E1671" s="161"/>
      <c r="F1671" s="415"/>
      <c r="G1671" s="15"/>
      <c r="H1671" s="389" t="s">
        <v>56</v>
      </c>
      <c r="I1671" s="58"/>
      <c r="J1671" s="85" t="s">
        <v>39</v>
      </c>
      <c r="K1671" s="185">
        <f>AVERAGE(K1669:K1670)</f>
        <v>628.74083036003879</v>
      </c>
      <c r="L1671" s="29" t="s">
        <v>35</v>
      </c>
      <c r="M1671" s="25"/>
      <c r="N1671" s="26"/>
      <c r="O1671" s="2"/>
      <c r="P1671" s="27"/>
      <c r="Q1671" s="26"/>
      <c r="R1671" s="28"/>
    </row>
    <row r="1672" spans="1:18" ht="30" customHeight="1" thickBot="1" x14ac:dyDescent="0.5">
      <c r="A1672" s="999"/>
      <c r="B1672" s="1000"/>
      <c r="C1672" s="1000"/>
      <c r="D1672" s="1000"/>
      <c r="E1672" s="1000"/>
      <c r="F1672" s="1000"/>
      <c r="G1672" s="1000"/>
      <c r="H1672" s="1000"/>
      <c r="I1672" s="1000"/>
      <c r="J1672" s="1000"/>
      <c r="K1672" s="1000"/>
      <c r="L1672" s="1001"/>
      <c r="M1672" s="25"/>
      <c r="N1672" s="26"/>
      <c r="O1672" s="2"/>
      <c r="P1672" s="27"/>
      <c r="Q1672" s="26"/>
      <c r="R1672" s="28"/>
    </row>
    <row r="1673" spans="1:18" ht="30" customHeight="1" x14ac:dyDescent="0.45">
      <c r="A1673" s="9" t="s">
        <v>4</v>
      </c>
      <c r="B1673" s="10">
        <v>2151</v>
      </c>
      <c r="C1673" s="1138" t="s">
        <v>1148</v>
      </c>
      <c r="D1673" s="1139"/>
      <c r="E1673" s="13" t="s">
        <v>7</v>
      </c>
      <c r="F1673" s="14" t="s">
        <v>35</v>
      </c>
      <c r="G1673" s="11" t="s">
        <v>6</v>
      </c>
      <c r="H1673" s="169">
        <v>7441.2385786801997</v>
      </c>
      <c r="I1673" s="13" t="s">
        <v>9</v>
      </c>
      <c r="J1673" s="985" t="str">
        <f>+$J$318</f>
        <v>Table 2, UFC 3-701-1, 2 March 2023</v>
      </c>
      <c r="K1673" s="985"/>
      <c r="L1673" s="986"/>
      <c r="M1673" s="25"/>
      <c r="N1673" s="26"/>
      <c r="O1673" s="2"/>
      <c r="P1673" s="27"/>
      <c r="Q1673" s="26"/>
      <c r="R1673" s="28"/>
    </row>
    <row r="1674" spans="1:18" ht="30" customHeight="1" x14ac:dyDescent="0.45">
      <c r="A1674" s="19" t="s">
        <v>11</v>
      </c>
      <c r="B1674" s="1005" t="s">
        <v>12</v>
      </c>
      <c r="C1674" s="1005"/>
      <c r="D1674" s="1005"/>
      <c r="E1674" s="132" t="s">
        <v>267</v>
      </c>
      <c r="F1674" s="20" t="s">
        <v>13</v>
      </c>
      <c r="G1674" s="19"/>
      <c r="H1674" s="19"/>
      <c r="I1674" s="1140" t="s">
        <v>60</v>
      </c>
      <c r="J1674" s="1141"/>
      <c r="K1674" s="992" t="s">
        <v>17</v>
      </c>
      <c r="L1674" s="993"/>
      <c r="M1674" s="25"/>
      <c r="N1674" s="26"/>
      <c r="O1674" s="2"/>
      <c r="P1674" s="27"/>
      <c r="Q1674" s="26"/>
      <c r="R1674" s="28"/>
    </row>
    <row r="1675" spans="1:18" ht="30" customHeight="1" x14ac:dyDescent="0.45">
      <c r="A1675" s="29" t="s">
        <v>268</v>
      </c>
      <c r="B1675" s="994" t="s">
        <v>1117</v>
      </c>
      <c r="C1675" s="994"/>
      <c r="D1675" s="994"/>
      <c r="E1675" s="176">
        <v>29000</v>
      </c>
      <c r="F1675" s="145">
        <v>458</v>
      </c>
      <c r="G1675" s="177"/>
      <c r="H1675" s="178"/>
      <c r="I1675" s="1119" t="str">
        <f>+$I$298</f>
        <v>NA;  GUCs are as of October 2022</v>
      </c>
      <c r="J1675" s="1120"/>
      <c r="K1675" s="145">
        <f>+F1675</f>
        <v>458</v>
      </c>
      <c r="L1675" s="29" t="s">
        <v>35</v>
      </c>
      <c r="M1675" s="25"/>
      <c r="N1675" s="26"/>
      <c r="O1675" s="2"/>
      <c r="P1675" s="27"/>
      <c r="Q1675" s="26"/>
      <c r="R1675" s="28"/>
    </row>
    <row r="1676" spans="1:18" ht="30" customHeight="1" thickBot="1" x14ac:dyDescent="0.5">
      <c r="A1676" s="47"/>
      <c r="B1676" s="1092"/>
      <c r="C1676" s="1092"/>
      <c r="D1676" s="1092"/>
      <c r="E1676" s="180"/>
      <c r="F1676" s="181"/>
      <c r="G1676" s="181"/>
      <c r="H1676" s="182"/>
      <c r="I1676" s="58"/>
      <c r="J1676" s="85" t="s">
        <v>39</v>
      </c>
      <c r="K1676" s="216">
        <f>+K1675</f>
        <v>458</v>
      </c>
      <c r="L1676" s="47" t="s">
        <v>35</v>
      </c>
      <c r="M1676" s="25"/>
      <c r="N1676" s="26"/>
      <c r="O1676" s="2"/>
      <c r="P1676" s="27"/>
      <c r="Q1676" s="26"/>
      <c r="R1676" s="28"/>
    </row>
    <row r="1677" spans="1:18" ht="30" customHeight="1" thickBot="1" x14ac:dyDescent="0.5">
      <c r="A1677" s="999"/>
      <c r="B1677" s="1000"/>
      <c r="C1677" s="1000"/>
      <c r="D1677" s="1000"/>
      <c r="E1677" s="1000"/>
      <c r="F1677" s="1000"/>
      <c r="G1677" s="1000"/>
      <c r="H1677" s="1000"/>
      <c r="I1677" s="1000"/>
      <c r="J1677" s="1000"/>
      <c r="K1677" s="1000"/>
      <c r="L1677" s="1001"/>
      <c r="M1677" s="25"/>
      <c r="N1677" s="26"/>
      <c r="O1677" s="2"/>
      <c r="P1677" s="27"/>
      <c r="Q1677" s="26"/>
      <c r="R1677" s="28"/>
    </row>
    <row r="1678" spans="1:18" ht="30" customHeight="1" x14ac:dyDescent="0.45">
      <c r="A1678" s="9" t="s">
        <v>4</v>
      </c>
      <c r="B1678" s="10">
        <v>2152</v>
      </c>
      <c r="C1678" s="1138" t="s">
        <v>1149</v>
      </c>
      <c r="D1678" s="1139"/>
      <c r="E1678" s="13" t="s">
        <v>7</v>
      </c>
      <c r="F1678" s="14" t="s">
        <v>35</v>
      </c>
      <c r="G1678" s="11" t="s">
        <v>6</v>
      </c>
      <c r="H1678" s="526">
        <v>19379.447078651599</v>
      </c>
      <c r="I1678" s="13" t="s">
        <v>9</v>
      </c>
      <c r="J1678" s="985" t="s">
        <v>10</v>
      </c>
      <c r="K1678" s="985"/>
      <c r="L1678" s="986"/>
      <c r="M1678" s="25"/>
      <c r="N1678" s="26"/>
      <c r="O1678" s="2"/>
      <c r="P1678" s="27"/>
      <c r="Q1678" s="26"/>
      <c r="R1678" s="28"/>
    </row>
    <row r="1679" spans="1:18" ht="30" customHeight="1" x14ac:dyDescent="0.45">
      <c r="A1679" s="19" t="s">
        <v>11</v>
      </c>
      <c r="B1679" s="1005" t="s">
        <v>12</v>
      </c>
      <c r="C1679" s="1005"/>
      <c r="D1679" s="1005"/>
      <c r="E1679" s="20" t="s">
        <v>13</v>
      </c>
      <c r="F1679" s="19" t="s">
        <v>267</v>
      </c>
      <c r="G1679" s="19"/>
      <c r="H1679" s="19"/>
      <c r="I1679" s="1068" t="s">
        <v>16</v>
      </c>
      <c r="J1679" s="1069"/>
      <c r="K1679" s="992" t="s">
        <v>17</v>
      </c>
      <c r="L1679" s="993"/>
      <c r="M1679" s="25"/>
      <c r="N1679" s="26"/>
      <c r="O1679" s="2"/>
      <c r="P1679" s="27"/>
      <c r="Q1679" s="26"/>
      <c r="R1679" s="28"/>
    </row>
    <row r="1680" spans="1:18" ht="30" customHeight="1" x14ac:dyDescent="0.45">
      <c r="A1680" s="47">
        <v>21885</v>
      </c>
      <c r="B1680" s="1018" t="s">
        <v>1150</v>
      </c>
      <c r="C1680" s="1019"/>
      <c r="D1680" s="1020"/>
      <c r="E1680" s="221">
        <v>488</v>
      </c>
      <c r="F1680" s="394">
        <v>29000</v>
      </c>
      <c r="G1680" s="29" t="s">
        <v>35</v>
      </c>
      <c r="H1680" s="29"/>
      <c r="I1680" s="1119">
        <f>+'[1]2023 MILCON Inflation Table'!F22</f>
        <v>0.93771935922451721</v>
      </c>
      <c r="J1680" s="1120"/>
      <c r="K1680" s="36">
        <f>+E1680*I1680</f>
        <v>457.60704730156442</v>
      </c>
      <c r="L1680" s="29" t="s">
        <v>35</v>
      </c>
      <c r="M1680" s="25"/>
      <c r="N1680" s="26"/>
      <c r="O1680" s="2"/>
      <c r="P1680" s="27"/>
      <c r="Q1680" s="26"/>
      <c r="R1680" s="28"/>
    </row>
    <row r="1681" spans="1:24" ht="30" customHeight="1" thickBot="1" x14ac:dyDescent="0.5">
      <c r="A1681" s="47"/>
      <c r="B1681" s="58"/>
      <c r="C1681" s="58"/>
      <c r="D1681" s="58"/>
      <c r="E1681" s="58"/>
      <c r="F1681" s="58"/>
      <c r="G1681" s="1320"/>
      <c r="H1681" s="1321"/>
      <c r="I1681" s="1322"/>
      <c r="J1681" s="85" t="s">
        <v>39</v>
      </c>
      <c r="K1681" s="216">
        <f>+K1680</f>
        <v>457.60704730156442</v>
      </c>
      <c r="L1681" s="518" t="s">
        <v>35</v>
      </c>
      <c r="M1681" s="25"/>
      <c r="N1681" s="26"/>
      <c r="O1681" s="2"/>
      <c r="P1681" s="27"/>
      <c r="Q1681" s="26"/>
      <c r="R1681" s="28"/>
    </row>
    <row r="1682" spans="1:24" ht="31.5" customHeight="1" thickBot="1" x14ac:dyDescent="0.5">
      <c r="A1682" s="999"/>
      <c r="B1682" s="1000"/>
      <c r="C1682" s="1000"/>
      <c r="D1682" s="1000"/>
      <c r="E1682" s="1000"/>
      <c r="F1682" s="1000"/>
      <c r="G1682" s="1000"/>
      <c r="H1682" s="1000"/>
      <c r="I1682" s="1000"/>
      <c r="J1682" s="1000"/>
      <c r="K1682" s="1000"/>
      <c r="L1682" s="1001"/>
      <c r="M1682" s="25"/>
      <c r="N1682" s="26"/>
      <c r="O1682" s="2"/>
      <c r="P1682" s="27"/>
      <c r="Q1682" s="26"/>
      <c r="R1682" s="28"/>
    </row>
    <row r="1683" spans="1:24" ht="30" customHeight="1" x14ac:dyDescent="0.45">
      <c r="A1683" s="9" t="s">
        <v>4</v>
      </c>
      <c r="B1683" s="10">
        <v>2153</v>
      </c>
      <c r="C1683" s="1138" t="s">
        <v>1151</v>
      </c>
      <c r="D1683" s="1139"/>
      <c r="E1683" s="13" t="s">
        <v>7</v>
      </c>
      <c r="F1683" s="14" t="s">
        <v>35</v>
      </c>
      <c r="G1683" s="11" t="s">
        <v>6</v>
      </c>
      <c r="H1683" s="184">
        <v>7187</v>
      </c>
      <c r="I1683" s="13" t="s">
        <v>9</v>
      </c>
      <c r="J1683" s="985" t="s">
        <v>1152</v>
      </c>
      <c r="K1683" s="985"/>
      <c r="L1683" s="986"/>
      <c r="N1683" s="26"/>
      <c r="O1683" s="2"/>
      <c r="P1683" s="27"/>
      <c r="Q1683" s="26"/>
      <c r="R1683" s="28"/>
    </row>
    <row r="1684" spans="1:24" ht="30" customHeight="1" x14ac:dyDescent="0.45">
      <c r="A1684" s="19"/>
      <c r="B1684" s="1005" t="s">
        <v>12</v>
      </c>
      <c r="C1684" s="1005"/>
      <c r="D1684" s="1005"/>
      <c r="E1684" s="19" t="s">
        <v>13</v>
      </c>
      <c r="F1684" s="19" t="s">
        <v>14</v>
      </c>
      <c r="G1684" s="990" t="s">
        <v>15</v>
      </c>
      <c r="H1684" s="991"/>
      <c r="I1684" s="19" t="s">
        <v>59</v>
      </c>
      <c r="J1684" s="19" t="s">
        <v>60</v>
      </c>
      <c r="K1684" s="992" t="s">
        <v>39</v>
      </c>
      <c r="L1684" s="993"/>
      <c r="M1684" s="121"/>
      <c r="N1684" s="26"/>
      <c r="O1684" s="2"/>
      <c r="P1684" s="27"/>
      <c r="Q1684" s="26"/>
      <c r="R1684" s="28"/>
    </row>
    <row r="1685" spans="1:24" ht="30" customHeight="1" thickBot="1" x14ac:dyDescent="0.5">
      <c r="A1685" s="38"/>
      <c r="B1685" s="1065" t="s">
        <v>1128</v>
      </c>
      <c r="C1685" s="1065"/>
      <c r="D1685" s="1065"/>
      <c r="E1685" s="350">
        <f>+K1496</f>
        <v>324.56303174841452</v>
      </c>
      <c r="F1685" s="105" t="s">
        <v>1153</v>
      </c>
      <c r="G1685" s="1084"/>
      <c r="H1685" s="1085"/>
      <c r="I1685" s="105"/>
      <c r="J1685" s="106" t="s">
        <v>676</v>
      </c>
      <c r="K1685" s="108">
        <f>E1685</f>
        <v>324.56303174841452</v>
      </c>
      <c r="L1685" s="105" t="s">
        <v>35</v>
      </c>
      <c r="M1685" s="25"/>
      <c r="N1685" s="26"/>
      <c r="O1685" s="2"/>
      <c r="P1685" s="27"/>
      <c r="Q1685" s="26"/>
      <c r="R1685" s="28"/>
    </row>
    <row r="1686" spans="1:24" ht="30" customHeight="1" thickBot="1" x14ac:dyDescent="0.5">
      <c r="A1686" s="999"/>
      <c r="B1686" s="1000"/>
      <c r="C1686" s="1000"/>
      <c r="D1686" s="1000"/>
      <c r="E1686" s="1000"/>
      <c r="F1686" s="1000"/>
      <c r="G1686" s="1000"/>
      <c r="H1686" s="1000"/>
      <c r="I1686" s="1000"/>
      <c r="J1686" s="1000"/>
      <c r="K1686" s="1000"/>
      <c r="L1686" s="1001"/>
      <c r="M1686" s="25"/>
      <c r="N1686" s="26"/>
      <c r="O1686" s="2"/>
      <c r="P1686" s="27"/>
      <c r="Q1686" s="26"/>
      <c r="R1686" s="28"/>
    </row>
    <row r="1687" spans="1:24" ht="30" customHeight="1" x14ac:dyDescent="0.45">
      <c r="A1687" s="9" t="s">
        <v>4</v>
      </c>
      <c r="B1687" s="10">
        <v>2154</v>
      </c>
      <c r="C1687" s="1323" t="s">
        <v>1154</v>
      </c>
      <c r="D1687" s="1323"/>
      <c r="E1687" s="13" t="s">
        <v>7</v>
      </c>
      <c r="F1687" s="14" t="s">
        <v>35</v>
      </c>
      <c r="G1687" s="11" t="s">
        <v>6</v>
      </c>
      <c r="H1687" s="512">
        <v>11344.666666666601</v>
      </c>
      <c r="I1687" s="13" t="s">
        <v>9</v>
      </c>
      <c r="J1687" s="985" t="s">
        <v>276</v>
      </c>
      <c r="K1687" s="985"/>
      <c r="L1687" s="986"/>
      <c r="M1687" s="25"/>
      <c r="N1687" s="26"/>
      <c r="O1687" s="2"/>
      <c r="P1687" s="27"/>
      <c r="Q1687" s="26"/>
      <c r="R1687" s="28"/>
    </row>
    <row r="1688" spans="1:24" ht="30" customHeight="1" x14ac:dyDescent="0.45">
      <c r="A1688" s="85" t="s">
        <v>277</v>
      </c>
      <c r="B1688" s="1146" t="s">
        <v>293</v>
      </c>
      <c r="C1688" s="1146"/>
      <c r="D1688" s="1146"/>
      <c r="E1688" s="85" t="s">
        <v>13</v>
      </c>
      <c r="F1688" s="85" t="s">
        <v>14</v>
      </c>
      <c r="G1688" s="1006" t="s">
        <v>15</v>
      </c>
      <c r="H1688" s="1006"/>
      <c r="I1688" s="1068" t="s">
        <v>278</v>
      </c>
      <c r="J1688" s="1069"/>
      <c r="K1688" s="992" t="s">
        <v>17</v>
      </c>
      <c r="L1688" s="993"/>
      <c r="M1688" s="25"/>
      <c r="N1688" s="26"/>
      <c r="O1688" s="2"/>
      <c r="P1688" s="27"/>
      <c r="Q1688" s="26"/>
      <c r="R1688" s="28"/>
    </row>
    <row r="1689" spans="1:24" ht="30" customHeight="1" x14ac:dyDescent="0.45">
      <c r="A1689" s="47" t="s">
        <v>1045</v>
      </c>
      <c r="B1689" s="1142" t="s">
        <v>1155</v>
      </c>
      <c r="C1689" s="1117"/>
      <c r="D1689" s="1118"/>
      <c r="E1689" s="221">
        <f>205-3.15</f>
        <v>201.85</v>
      </c>
      <c r="F1689" s="47" t="s">
        <v>35</v>
      </c>
      <c r="G1689" s="47"/>
      <c r="H1689" s="47"/>
      <c r="I1689" s="1157">
        <v>1.1299999999999999</v>
      </c>
      <c r="J1689" s="1191"/>
      <c r="K1689" s="221">
        <f>+E1689*I1689</f>
        <v>228.09049999999996</v>
      </c>
      <c r="L1689" s="47" t="s">
        <v>35</v>
      </c>
      <c r="M1689" s="121"/>
      <c r="N1689" s="26"/>
      <c r="O1689" s="2"/>
      <c r="P1689" s="27"/>
      <c r="Q1689" s="26"/>
      <c r="R1689" s="28"/>
    </row>
    <row r="1690" spans="1:24" ht="30" customHeight="1" x14ac:dyDescent="0.45">
      <c r="A1690" s="47" t="s">
        <v>470</v>
      </c>
      <c r="B1690" s="1092" t="s">
        <v>1156</v>
      </c>
      <c r="C1690" s="1092"/>
      <c r="D1690" s="1092"/>
      <c r="E1690" s="216">
        <v>162000</v>
      </c>
      <c r="F1690" s="47" t="s">
        <v>88</v>
      </c>
      <c r="G1690" s="500">
        <f>+H1687</f>
        <v>11344.666666666601</v>
      </c>
      <c r="H1690" s="179" t="s">
        <v>1157</v>
      </c>
      <c r="I1690" s="1157">
        <v>1.26</v>
      </c>
      <c r="J1690" s="1191"/>
      <c r="K1690" s="221">
        <f>+(E1690/G1690)*I1690</f>
        <v>17.992595639654567</v>
      </c>
      <c r="L1690" s="47" t="s">
        <v>35</v>
      </c>
      <c r="M1690" s="25"/>
      <c r="U1690" s="18"/>
      <c r="V1690" s="18"/>
      <c r="W1690" s="18"/>
      <c r="X1690" s="18"/>
    </row>
    <row r="1691" spans="1:24" s="18" customFormat="1" ht="30" customHeight="1" x14ac:dyDescent="0.45">
      <c r="A1691" s="47" t="s">
        <v>358</v>
      </c>
      <c r="B1691" s="1092" t="s">
        <v>365</v>
      </c>
      <c r="C1691" s="1092"/>
      <c r="D1691" s="1092"/>
      <c r="E1691" s="221">
        <v>5.38</v>
      </c>
      <c r="F1691" s="47" t="s">
        <v>35</v>
      </c>
      <c r="G1691" s="58"/>
      <c r="H1691" s="179"/>
      <c r="I1691" s="1157">
        <v>1.1299999999999999</v>
      </c>
      <c r="J1691" s="1191"/>
      <c r="K1691" s="221">
        <f>+E1691*I1691</f>
        <v>6.0793999999999997</v>
      </c>
      <c r="L1691" s="47" t="s">
        <v>35</v>
      </c>
      <c r="M1691" s="25"/>
      <c r="N1691" s="2"/>
      <c r="O1691" s="3"/>
      <c r="P1691" s="2"/>
      <c r="Q1691" s="2"/>
      <c r="R1691" s="2"/>
      <c r="S1691" s="90"/>
      <c r="T1691" s="90"/>
      <c r="U1691" s="2"/>
      <c r="V1691" s="2"/>
      <c r="W1691" s="2"/>
      <c r="X1691" s="2"/>
    </row>
    <row r="1692" spans="1:24" ht="30" customHeight="1" x14ac:dyDescent="0.45">
      <c r="A1692" s="47" t="s">
        <v>358</v>
      </c>
      <c r="B1692" s="1018" t="s">
        <v>1158</v>
      </c>
      <c r="C1692" s="1019"/>
      <c r="D1692" s="1020"/>
      <c r="E1692" s="221">
        <f>+E1691*0.15</f>
        <v>0.80699999999999994</v>
      </c>
      <c r="F1692" s="222" t="s">
        <v>35</v>
      </c>
      <c r="G1692" s="58"/>
      <c r="H1692" s="179"/>
      <c r="I1692" s="1157">
        <v>1.1299999999999999</v>
      </c>
      <c r="J1692" s="1191"/>
      <c r="K1692" s="221">
        <f>+E1692*I1692</f>
        <v>0.91190999999999989</v>
      </c>
      <c r="L1692" s="47" t="s">
        <v>35</v>
      </c>
      <c r="M1692" s="25"/>
      <c r="N1692" s="26"/>
      <c r="O1692" s="2"/>
      <c r="P1692" s="27"/>
      <c r="Q1692" s="26"/>
      <c r="R1692" s="28"/>
    </row>
    <row r="1693" spans="1:24" s="18" customFormat="1" ht="30" customHeight="1" x14ac:dyDescent="0.45">
      <c r="A1693" s="47" t="s">
        <v>1121</v>
      </c>
      <c r="B1693" s="1018" t="s">
        <v>1159</v>
      </c>
      <c r="C1693" s="1019"/>
      <c r="D1693" s="1020"/>
      <c r="E1693" s="221">
        <v>51.5</v>
      </c>
      <c r="F1693" s="47" t="s">
        <v>35</v>
      </c>
      <c r="G1693" s="528">
        <f>2145/H1687</f>
        <v>0.18907563025210194</v>
      </c>
      <c r="H1693" s="105" t="s">
        <v>1160</v>
      </c>
      <c r="I1693" s="1157">
        <v>1.1299999999999999</v>
      </c>
      <c r="J1693" s="1191"/>
      <c r="K1693" s="221">
        <f>+E1693*G1693*I1693</f>
        <v>11.003256302521072</v>
      </c>
      <c r="L1693" s="47" t="s">
        <v>35</v>
      </c>
      <c r="M1693" s="25"/>
      <c r="N1693" s="2"/>
      <c r="O1693" s="3"/>
      <c r="P1693" s="2"/>
      <c r="Q1693" s="2"/>
      <c r="R1693" s="2"/>
      <c r="S1693" s="90"/>
      <c r="T1693" s="90"/>
      <c r="U1693" s="2"/>
      <c r="V1693" s="2"/>
      <c r="W1693" s="2"/>
      <c r="X1693" s="2"/>
    </row>
    <row r="1694" spans="1:24" ht="30" customHeight="1" x14ac:dyDescent="0.45">
      <c r="A1694" s="47"/>
      <c r="B1694" s="1092"/>
      <c r="C1694" s="1092"/>
      <c r="D1694" s="1092"/>
      <c r="E1694" s="221"/>
      <c r="F1694" s="47"/>
      <c r="G1694" s="58"/>
      <c r="H1694" s="179"/>
      <c r="I1694" s="47"/>
      <c r="J1694" s="47" t="s">
        <v>38</v>
      </c>
      <c r="K1694" s="221">
        <f>SUM(K1689:K1693)</f>
        <v>264.07766194217561</v>
      </c>
      <c r="L1694" s="47" t="s">
        <v>35</v>
      </c>
      <c r="M1694" s="25"/>
      <c r="S1694" s="41"/>
      <c r="T1694" s="41"/>
    </row>
    <row r="1695" spans="1:24" ht="30" customHeight="1" x14ac:dyDescent="0.45">
      <c r="A1695" s="47"/>
      <c r="B1695" s="1008"/>
      <c r="C1695" s="1009"/>
      <c r="D1695" s="1010"/>
      <c r="E1695" s="221"/>
      <c r="F1695" s="1011" t="s">
        <v>285</v>
      </c>
      <c r="G1695" s="1013" t="s">
        <v>286</v>
      </c>
      <c r="H1695" s="1013"/>
      <c r="I1695" s="1013"/>
      <c r="J1695" s="1013"/>
      <c r="K1695" s="278">
        <v>1.04</v>
      </c>
      <c r="L1695" s="47"/>
      <c r="M1695" s="25"/>
      <c r="N1695" s="229"/>
      <c r="O1695" s="5"/>
      <c r="P1695" s="18"/>
      <c r="Q1695" s="18"/>
      <c r="R1695" s="18"/>
      <c r="S1695" s="18"/>
      <c r="T1695" s="18"/>
    </row>
    <row r="1696" spans="1:24" ht="30" customHeight="1" x14ac:dyDescent="0.45">
      <c r="A1696" s="47"/>
      <c r="B1696" s="224"/>
      <c r="C1696" s="224"/>
      <c r="D1696" s="224"/>
      <c r="E1696" s="221"/>
      <c r="F1696" s="1012"/>
      <c r="G1696" s="1014" t="s">
        <v>287</v>
      </c>
      <c r="H1696" s="1014"/>
      <c r="I1696" s="1014"/>
      <c r="J1696" s="1014"/>
      <c r="K1696" s="278">
        <v>1.05</v>
      </c>
      <c r="L1696" s="47"/>
      <c r="M1696" s="25"/>
    </row>
    <row r="1697" spans="1:24" ht="30" customHeight="1" x14ac:dyDescent="0.45">
      <c r="A1697" s="47"/>
      <c r="B1697" s="47"/>
      <c r="C1697" s="58"/>
      <c r="D1697" s="58"/>
      <c r="E1697" s="58"/>
      <c r="F1697" s="58"/>
      <c r="G1697" s="58"/>
      <c r="H1697" s="58"/>
      <c r="I1697" s="58"/>
      <c r="J1697" s="58" t="s">
        <v>39</v>
      </c>
      <c r="K1697" s="216">
        <f>+K1694*K1695/K1696</f>
        <v>261.56263659034533</v>
      </c>
      <c r="L1697" s="47" t="s">
        <v>35</v>
      </c>
      <c r="M1697" s="25"/>
      <c r="U1697" s="18"/>
      <c r="V1697" s="18"/>
      <c r="W1697" s="18"/>
      <c r="X1697" s="18"/>
    </row>
    <row r="1698" spans="1:24" s="18" customFormat="1" ht="30" customHeight="1" thickBot="1" x14ac:dyDescent="0.5">
      <c r="A1698" s="47"/>
      <c r="B1698" s="47"/>
      <c r="C1698" s="58"/>
      <c r="D1698" s="58"/>
      <c r="E1698" s="58"/>
      <c r="F1698" s="58"/>
      <c r="G1698" s="1032" t="s">
        <v>288</v>
      </c>
      <c r="H1698" s="1033"/>
      <c r="I1698" s="1034"/>
      <c r="J1698" s="213">
        <f>VLOOKUP(B1687,'[1]Mil Cost Premiums for PUCs'!$A$4:$R$278,18,FALSE)</f>
        <v>1.1561386038173773</v>
      </c>
      <c r="K1698" s="216">
        <f>+K1697*J1698</f>
        <v>302.40266147835388</v>
      </c>
      <c r="L1698" s="47" t="s">
        <v>35</v>
      </c>
      <c r="M1698" s="25"/>
      <c r="N1698" s="2"/>
      <c r="O1698" s="3"/>
      <c r="P1698" s="2"/>
      <c r="Q1698" s="2"/>
      <c r="R1698" s="2"/>
      <c r="S1698" s="90"/>
      <c r="T1698" s="90"/>
      <c r="U1698" s="2"/>
      <c r="V1698" s="2"/>
      <c r="W1698" s="2"/>
      <c r="X1698" s="2"/>
    </row>
    <row r="1699" spans="1:24" ht="30" customHeight="1" thickBot="1" x14ac:dyDescent="0.5">
      <c r="A1699" s="999"/>
      <c r="B1699" s="1000"/>
      <c r="C1699" s="1000"/>
      <c r="D1699" s="1000"/>
      <c r="E1699" s="1000"/>
      <c r="F1699" s="1000"/>
      <c r="G1699" s="1000"/>
      <c r="H1699" s="1000"/>
      <c r="I1699" s="1000"/>
      <c r="J1699" s="1000"/>
      <c r="K1699" s="1000"/>
      <c r="L1699" s="1001"/>
      <c r="N1699" s="26"/>
      <c r="O1699" s="2"/>
      <c r="P1699" s="27"/>
      <c r="Q1699" s="26"/>
      <c r="R1699" s="28"/>
    </row>
    <row r="1700" spans="1:24" ht="30" customHeight="1" x14ac:dyDescent="0.45">
      <c r="A1700" s="9" t="s">
        <v>4</v>
      </c>
      <c r="B1700" s="10">
        <v>2161</v>
      </c>
      <c r="C1700" s="1002" t="s">
        <v>1161</v>
      </c>
      <c r="D1700" s="1003"/>
      <c r="E1700" s="13" t="s">
        <v>7</v>
      </c>
      <c r="F1700" s="14" t="s">
        <v>35</v>
      </c>
      <c r="G1700" s="11" t="s">
        <v>6</v>
      </c>
      <c r="H1700" s="300">
        <v>7759.4209090908998</v>
      </c>
      <c r="I1700" s="13" t="s">
        <v>9</v>
      </c>
      <c r="J1700" s="985" t="s">
        <v>276</v>
      </c>
      <c r="K1700" s="985"/>
      <c r="L1700" s="986"/>
      <c r="M1700" s="25"/>
      <c r="N1700" s="26"/>
      <c r="O1700" s="2"/>
      <c r="P1700" s="27"/>
      <c r="Q1700" s="26"/>
      <c r="R1700" s="28"/>
    </row>
    <row r="1701" spans="1:24" ht="30" customHeight="1" x14ac:dyDescent="0.45">
      <c r="A1701" s="85" t="s">
        <v>277</v>
      </c>
      <c r="B1701" s="987" t="s">
        <v>293</v>
      </c>
      <c r="C1701" s="988"/>
      <c r="D1701" s="989"/>
      <c r="E1701" s="220" t="s">
        <v>13</v>
      </c>
      <c r="F1701" s="220" t="s">
        <v>14</v>
      </c>
      <c r="G1701" s="990" t="s">
        <v>15</v>
      </c>
      <c r="H1701" s="991"/>
      <c r="I1701" s="1068" t="s">
        <v>278</v>
      </c>
      <c r="J1701" s="1069"/>
      <c r="K1701" s="992" t="s">
        <v>17</v>
      </c>
      <c r="L1701" s="993"/>
      <c r="M1701" s="25"/>
      <c r="N1701" s="26"/>
      <c r="O1701" s="2"/>
      <c r="P1701" s="27"/>
      <c r="Q1701" s="26"/>
      <c r="R1701" s="28"/>
    </row>
    <row r="1702" spans="1:24" ht="30" customHeight="1" x14ac:dyDescent="0.45">
      <c r="A1702" s="47" t="s">
        <v>1045</v>
      </c>
      <c r="B1702" s="1142" t="s">
        <v>1162</v>
      </c>
      <c r="C1702" s="1117"/>
      <c r="D1702" s="1118"/>
      <c r="E1702" s="221">
        <f>205-3.15</f>
        <v>201.85</v>
      </c>
      <c r="F1702" s="47" t="s">
        <v>35</v>
      </c>
      <c r="G1702" s="47"/>
      <c r="H1702" s="47"/>
      <c r="I1702" s="1157">
        <v>1.1299999999999999</v>
      </c>
      <c r="J1702" s="1191"/>
      <c r="K1702" s="221">
        <f>+E1702*I1702</f>
        <v>228.09049999999996</v>
      </c>
      <c r="L1702" s="47" t="s">
        <v>35</v>
      </c>
      <c r="M1702" s="25"/>
      <c r="N1702" s="26"/>
      <c r="O1702" s="2"/>
      <c r="P1702" s="27"/>
      <c r="Q1702" s="26"/>
      <c r="R1702" s="28"/>
    </row>
    <row r="1703" spans="1:24" ht="30" customHeight="1" x14ac:dyDescent="0.45">
      <c r="A1703" s="47" t="s">
        <v>470</v>
      </c>
      <c r="B1703" s="1018" t="s">
        <v>1163</v>
      </c>
      <c r="C1703" s="1019"/>
      <c r="D1703" s="1020"/>
      <c r="E1703" s="41">
        <v>145000</v>
      </c>
      <c r="F1703" s="225" t="s">
        <v>88</v>
      </c>
      <c r="G1703" s="300">
        <f>+H1700</f>
        <v>7759.4209090908998</v>
      </c>
      <c r="H1703" s="105" t="s">
        <v>621</v>
      </c>
      <c r="I1703" s="1157">
        <v>1.26</v>
      </c>
      <c r="J1703" s="1191"/>
      <c r="K1703" s="221">
        <f>+(E1703)/H1700*I1703</f>
        <v>23.545571524023085</v>
      </c>
      <c r="L1703" s="47" t="s">
        <v>35</v>
      </c>
      <c r="M1703" s="25"/>
      <c r="N1703" s="26"/>
      <c r="O1703" s="2"/>
      <c r="P1703" s="27"/>
      <c r="Q1703" s="26"/>
      <c r="R1703" s="28"/>
    </row>
    <row r="1704" spans="1:24" ht="30" customHeight="1" x14ac:dyDescent="0.45">
      <c r="A1704" s="47" t="s">
        <v>1121</v>
      </c>
      <c r="B1704" s="1018" t="s">
        <v>1164</v>
      </c>
      <c r="C1704" s="1019"/>
      <c r="D1704" s="1020"/>
      <c r="E1704" s="221">
        <v>51.5</v>
      </c>
      <c r="F1704" s="47" t="s">
        <v>1165</v>
      </c>
      <c r="G1704" s="213">
        <f>960/H1700</f>
        <v>0.12372057286843</v>
      </c>
      <c r="H1704" s="105" t="s">
        <v>1160</v>
      </c>
      <c r="I1704" s="1157">
        <v>1.1299999999999999</v>
      </c>
      <c r="J1704" s="1191"/>
      <c r="K1704" s="221">
        <f>+E1704*G1704*I1704</f>
        <v>7.1999187380782823</v>
      </c>
      <c r="L1704" s="47" t="s">
        <v>35</v>
      </c>
      <c r="M1704" s="25"/>
      <c r="N1704" s="26"/>
      <c r="O1704" s="2"/>
      <c r="P1704" s="27"/>
      <c r="Q1704" s="26"/>
      <c r="R1704" s="28"/>
    </row>
    <row r="1705" spans="1:24" ht="30" customHeight="1" x14ac:dyDescent="0.45">
      <c r="A1705" s="47" t="s">
        <v>358</v>
      </c>
      <c r="B1705" s="1092" t="s">
        <v>365</v>
      </c>
      <c r="C1705" s="1092"/>
      <c r="D1705" s="1092"/>
      <c r="E1705" s="221">
        <v>5.38</v>
      </c>
      <c r="F1705" s="222" t="s">
        <v>35</v>
      </c>
      <c r="G1705" s="58"/>
      <c r="H1705" s="179"/>
      <c r="I1705" s="1157">
        <v>1.1299999999999999</v>
      </c>
      <c r="J1705" s="1191"/>
      <c r="K1705" s="221">
        <f>+E1705*I1705</f>
        <v>6.0793999999999997</v>
      </c>
      <c r="L1705" s="47" t="s">
        <v>35</v>
      </c>
      <c r="M1705" s="25"/>
      <c r="N1705" s="26"/>
      <c r="O1705" s="2"/>
      <c r="P1705" s="27"/>
      <c r="Q1705" s="26"/>
      <c r="R1705" s="28"/>
    </row>
    <row r="1706" spans="1:24" ht="30" customHeight="1" x14ac:dyDescent="0.45">
      <c r="A1706" s="47" t="s">
        <v>358</v>
      </c>
      <c r="B1706" s="1018" t="s">
        <v>1158</v>
      </c>
      <c r="C1706" s="1019"/>
      <c r="D1706" s="1020"/>
      <c r="E1706" s="221">
        <f>+E1705*0.15</f>
        <v>0.80699999999999994</v>
      </c>
      <c r="F1706" s="222" t="s">
        <v>35</v>
      </c>
      <c r="G1706" s="58"/>
      <c r="H1706" s="179"/>
      <c r="I1706" s="1157">
        <v>1.1299999999999999</v>
      </c>
      <c r="J1706" s="1191"/>
      <c r="K1706" s="221">
        <f>+E1706*I1706</f>
        <v>0.91190999999999989</v>
      </c>
      <c r="L1706" s="47" t="s">
        <v>35</v>
      </c>
      <c r="M1706" s="25"/>
      <c r="N1706" s="26"/>
      <c r="O1706" s="2"/>
      <c r="P1706" s="27"/>
      <c r="Q1706" s="26"/>
      <c r="R1706" s="28"/>
    </row>
    <row r="1707" spans="1:24" ht="30" customHeight="1" x14ac:dyDescent="0.45">
      <c r="A1707" s="47" t="s">
        <v>358</v>
      </c>
      <c r="B1707" s="1018" t="s">
        <v>1166</v>
      </c>
      <c r="C1707" s="1019"/>
      <c r="D1707" s="1020"/>
      <c r="E1707" s="216">
        <f xml:space="preserve"> 0.72+((1.42+2.11)/2)</f>
        <v>2.4849999999999999</v>
      </c>
      <c r="F1707" s="222" t="s">
        <v>35</v>
      </c>
      <c r="G1707" s="58"/>
      <c r="H1707" s="179"/>
      <c r="I1707" s="1157">
        <v>1.1299999999999999</v>
      </c>
      <c r="J1707" s="1191"/>
      <c r="K1707" s="221">
        <f>+E1707*I1707</f>
        <v>2.8080499999999997</v>
      </c>
      <c r="L1707" s="47" t="s">
        <v>35</v>
      </c>
      <c r="M1707" s="25"/>
      <c r="N1707" s="26"/>
      <c r="O1707" s="2"/>
      <c r="P1707" s="27"/>
      <c r="Q1707" s="26"/>
      <c r="R1707" s="28"/>
    </row>
    <row r="1708" spans="1:24" ht="30" customHeight="1" x14ac:dyDescent="0.45">
      <c r="A1708" s="47"/>
      <c r="B1708" s="1018"/>
      <c r="C1708" s="1019"/>
      <c r="D1708" s="1020"/>
      <c r="E1708" s="221"/>
      <c r="F1708" s="47"/>
      <c r="G1708" s="58"/>
      <c r="H1708" s="179"/>
      <c r="I1708" s="47"/>
      <c r="J1708" s="47" t="s">
        <v>38</v>
      </c>
      <c r="K1708" s="221">
        <f>SUM(K1702:K1707)</f>
        <v>268.63535026210133</v>
      </c>
      <c r="L1708" s="47" t="s">
        <v>35</v>
      </c>
      <c r="M1708" s="25"/>
      <c r="S1708" s="41"/>
      <c r="T1708" s="41"/>
    </row>
    <row r="1709" spans="1:24" ht="30" customHeight="1" x14ac:dyDescent="0.45">
      <c r="A1709" s="47"/>
      <c r="B1709" s="224"/>
      <c r="C1709" s="224"/>
      <c r="D1709" s="224"/>
      <c r="E1709" s="221"/>
      <c r="F1709" s="1011" t="s">
        <v>285</v>
      </c>
      <c r="G1709" s="1013" t="s">
        <v>286</v>
      </c>
      <c r="H1709" s="1013"/>
      <c r="I1709" s="1013"/>
      <c r="J1709" s="1013"/>
      <c r="K1709" s="278">
        <v>1.04</v>
      </c>
      <c r="L1709" s="47"/>
      <c r="M1709" s="25"/>
      <c r="S1709" s="41"/>
      <c r="T1709" s="41"/>
    </row>
    <row r="1710" spans="1:24" ht="30" customHeight="1" x14ac:dyDescent="0.45">
      <c r="A1710" s="47"/>
      <c r="B1710" s="224"/>
      <c r="C1710" s="224"/>
      <c r="D1710" s="224"/>
      <c r="E1710" s="221"/>
      <c r="F1710" s="1012"/>
      <c r="G1710" s="1014" t="s">
        <v>287</v>
      </c>
      <c r="H1710" s="1014"/>
      <c r="I1710" s="1014"/>
      <c r="J1710" s="1014"/>
      <c r="K1710" s="278">
        <v>1.05</v>
      </c>
      <c r="L1710" s="47"/>
      <c r="M1710" s="25"/>
      <c r="N1710" s="229"/>
      <c r="O1710" s="5"/>
      <c r="P1710" s="18"/>
      <c r="Q1710" s="18"/>
      <c r="R1710" s="18"/>
      <c r="S1710" s="18"/>
      <c r="T1710" s="18"/>
      <c r="U1710" s="18"/>
      <c r="V1710" s="18"/>
      <c r="W1710" s="18"/>
      <c r="X1710" s="18"/>
    </row>
    <row r="1711" spans="1:24" s="18" customFormat="1" ht="30" customHeight="1" x14ac:dyDescent="0.45">
      <c r="A1711" s="47"/>
      <c r="B1711" s="47"/>
      <c r="C1711" s="58"/>
      <c r="D1711" s="58"/>
      <c r="E1711" s="58"/>
      <c r="F1711" s="58"/>
      <c r="G1711" s="58"/>
      <c r="H1711" s="58"/>
      <c r="I1711" s="58"/>
      <c r="J1711" s="203" t="s">
        <v>39</v>
      </c>
      <c r="K1711" s="216">
        <f>+K1708*K1709/K1710</f>
        <v>266.0769183548432</v>
      </c>
      <c r="L1711" s="47" t="s">
        <v>35</v>
      </c>
      <c r="M1711" s="25"/>
      <c r="N1711" s="2"/>
      <c r="O1711" s="3"/>
      <c r="P1711" s="2"/>
      <c r="Q1711" s="2"/>
      <c r="R1711" s="2"/>
      <c r="S1711" s="2"/>
      <c r="T1711" s="2"/>
      <c r="U1711" s="2"/>
      <c r="V1711" s="2"/>
      <c r="W1711" s="2"/>
      <c r="X1711" s="2"/>
    </row>
    <row r="1712" spans="1:24" ht="30" customHeight="1" thickBot="1" x14ac:dyDescent="0.5">
      <c r="A1712" s="47"/>
      <c r="B1712" s="47"/>
      <c r="C1712" s="58"/>
      <c r="D1712" s="58"/>
      <c r="E1712" s="58"/>
      <c r="F1712" s="58"/>
      <c r="G1712" s="1309" t="s">
        <v>1112</v>
      </c>
      <c r="H1712" s="1309"/>
      <c r="I1712" s="1309"/>
      <c r="J1712" s="213">
        <f>VLOOKUP(B1700,'[1]Mil Cost Premiums for PUCs'!$A$4:$R$278,18,FALSE)</f>
        <v>1.1561386038173773</v>
      </c>
      <c r="K1712" s="216">
        <f>+K1711*J1712</f>
        <v>307.62179689479871</v>
      </c>
      <c r="L1712" s="47" t="s">
        <v>35</v>
      </c>
      <c r="N1712" s="3"/>
    </row>
    <row r="1713" spans="1:24" ht="30" customHeight="1" thickBot="1" x14ac:dyDescent="0.5">
      <c r="A1713" s="999"/>
      <c r="B1713" s="1000"/>
      <c r="C1713" s="1000"/>
      <c r="D1713" s="1000"/>
      <c r="E1713" s="1000"/>
      <c r="F1713" s="1000"/>
      <c r="G1713" s="1000"/>
      <c r="H1713" s="1000"/>
      <c r="I1713" s="1000"/>
      <c r="J1713" s="1000"/>
      <c r="K1713" s="1000"/>
      <c r="L1713" s="1001"/>
      <c r="S1713" s="41"/>
    </row>
    <row r="1714" spans="1:24" ht="30" customHeight="1" x14ac:dyDescent="0.45">
      <c r="A1714" s="9" t="s">
        <v>4</v>
      </c>
      <c r="B1714" s="10">
        <v>2162</v>
      </c>
      <c r="C1714" s="1002" t="s">
        <v>1167</v>
      </c>
      <c r="D1714" s="1003"/>
      <c r="E1714" s="13" t="s">
        <v>7</v>
      </c>
      <c r="F1714" s="14" t="s">
        <v>35</v>
      </c>
      <c r="G1714" s="11" t="s">
        <v>6</v>
      </c>
      <c r="H1714" s="300">
        <v>6677.6923337950102</v>
      </c>
      <c r="I1714" s="13" t="s">
        <v>9</v>
      </c>
      <c r="J1714" s="985" t="s">
        <v>276</v>
      </c>
      <c r="K1714" s="985"/>
      <c r="L1714" s="986"/>
      <c r="M1714" s="25"/>
      <c r="N1714" s="26"/>
      <c r="O1714" s="2"/>
      <c r="P1714" s="27"/>
      <c r="Q1714" s="26"/>
      <c r="R1714" s="28"/>
      <c r="T1714" s="41"/>
    </row>
    <row r="1715" spans="1:24" ht="30" customHeight="1" x14ac:dyDescent="0.45">
      <c r="A1715" s="85" t="s">
        <v>277</v>
      </c>
      <c r="B1715" s="987" t="s">
        <v>293</v>
      </c>
      <c r="C1715" s="988"/>
      <c r="D1715" s="989"/>
      <c r="E1715" s="220" t="s">
        <v>13</v>
      </c>
      <c r="F1715" s="220" t="s">
        <v>14</v>
      </c>
      <c r="G1715" s="990" t="s">
        <v>15</v>
      </c>
      <c r="H1715" s="991"/>
      <c r="I1715" s="1068" t="s">
        <v>278</v>
      </c>
      <c r="J1715" s="1069"/>
      <c r="K1715" s="992" t="s">
        <v>17</v>
      </c>
      <c r="L1715" s="993"/>
      <c r="M1715" s="25"/>
      <c r="N1715" s="229"/>
      <c r="O1715" s="5"/>
      <c r="P1715" s="18"/>
      <c r="Q1715" s="18"/>
      <c r="R1715" s="18"/>
      <c r="S1715" s="18"/>
      <c r="T1715" s="18"/>
      <c r="U1715" s="18"/>
      <c r="V1715" s="18"/>
      <c r="W1715" s="18"/>
      <c r="X1715" s="18"/>
    </row>
    <row r="1716" spans="1:24" s="18" customFormat="1" ht="30" customHeight="1" x14ac:dyDescent="0.45">
      <c r="A1716" s="47" t="s">
        <v>1045</v>
      </c>
      <c r="B1716" s="1142" t="s">
        <v>1168</v>
      </c>
      <c r="C1716" s="1117"/>
      <c r="D1716" s="1118"/>
      <c r="E1716" s="221">
        <f>205-3.15</f>
        <v>201.85</v>
      </c>
      <c r="F1716" s="47" t="s">
        <v>35</v>
      </c>
      <c r="G1716" s="47"/>
      <c r="H1716" s="47"/>
      <c r="I1716" s="1157">
        <v>1.1299999999999999</v>
      </c>
      <c r="J1716" s="1191"/>
      <c r="K1716" s="221">
        <f>+E1716*I1716</f>
        <v>228.09049999999996</v>
      </c>
      <c r="L1716" s="47" t="s">
        <v>35</v>
      </c>
      <c r="M1716" s="25"/>
      <c r="N1716" s="2"/>
      <c r="O1716" s="3"/>
      <c r="P1716" s="2"/>
      <c r="Q1716" s="2"/>
      <c r="R1716" s="2"/>
      <c r="S1716" s="2"/>
      <c r="T1716" s="2"/>
      <c r="U1716" s="2"/>
      <c r="V1716" s="2"/>
      <c r="W1716" s="2"/>
      <c r="X1716" s="2"/>
    </row>
    <row r="1717" spans="1:24" ht="30" customHeight="1" x14ac:dyDescent="0.45">
      <c r="A1717" s="47" t="s">
        <v>1121</v>
      </c>
      <c r="B1717" s="1018" t="s">
        <v>1169</v>
      </c>
      <c r="C1717" s="1019"/>
      <c r="D1717" s="1020"/>
      <c r="E1717" s="216">
        <v>51.5</v>
      </c>
      <c r="F1717" s="47" t="s">
        <v>1165</v>
      </c>
      <c r="G1717" s="213">
        <f>144/H1714</f>
        <v>2.1564335821707904E-2</v>
      </c>
      <c r="H1717" s="179" t="s">
        <v>1170</v>
      </c>
      <c r="I1717" s="1157">
        <v>1.1299999999999999</v>
      </c>
      <c r="J1717" s="1191"/>
      <c r="K1717" s="221">
        <f>+E1717*G1717*I1717</f>
        <v>1.2549365231442915</v>
      </c>
      <c r="L1717" s="47" t="s">
        <v>35</v>
      </c>
      <c r="M1717" s="25"/>
      <c r="N1717" s="3"/>
    </row>
    <row r="1718" spans="1:24" ht="30" customHeight="1" x14ac:dyDescent="0.45">
      <c r="A1718" s="47" t="s">
        <v>358</v>
      </c>
      <c r="B1718" s="1018" t="s">
        <v>1171</v>
      </c>
      <c r="C1718" s="1019"/>
      <c r="D1718" s="1020"/>
      <c r="E1718" s="221">
        <v>6.03</v>
      </c>
      <c r="F1718" s="222" t="s">
        <v>35</v>
      </c>
      <c r="G1718" s="58"/>
      <c r="H1718" s="179"/>
      <c r="I1718" s="1157">
        <v>1.1299999999999999</v>
      </c>
      <c r="J1718" s="1191"/>
      <c r="K1718" s="221">
        <f>+E1718*I1718</f>
        <v>6.8138999999999994</v>
      </c>
      <c r="L1718" s="47" t="s">
        <v>35</v>
      </c>
      <c r="M1718" s="121"/>
      <c r="N1718" s="26"/>
      <c r="S1718" s="41"/>
      <c r="T1718" s="41"/>
    </row>
    <row r="1719" spans="1:24" ht="30" customHeight="1" x14ac:dyDescent="0.45">
      <c r="A1719" s="47" t="s">
        <v>358</v>
      </c>
      <c r="B1719" s="1018" t="s">
        <v>1158</v>
      </c>
      <c r="C1719" s="1019"/>
      <c r="D1719" s="1020"/>
      <c r="E1719" s="221">
        <f>+E1718*0.15</f>
        <v>0.90449999999999997</v>
      </c>
      <c r="F1719" s="222" t="s">
        <v>35</v>
      </c>
      <c r="G1719" s="58"/>
      <c r="H1719" s="179"/>
      <c r="I1719" s="1157">
        <v>1.1299999999999999</v>
      </c>
      <c r="J1719" s="1191"/>
      <c r="K1719" s="221">
        <f>+E1719*I1719</f>
        <v>1.0220849999999999</v>
      </c>
      <c r="L1719" s="47" t="s">
        <v>35</v>
      </c>
      <c r="M1719" s="25"/>
      <c r="S1719" s="41"/>
      <c r="T1719" s="41"/>
    </row>
    <row r="1720" spans="1:24" ht="30" customHeight="1" x14ac:dyDescent="0.45">
      <c r="A1720" s="47" t="s">
        <v>358</v>
      </c>
      <c r="B1720" s="1018" t="s">
        <v>1166</v>
      </c>
      <c r="C1720" s="1019"/>
      <c r="D1720" s="1020"/>
      <c r="E1720" s="216">
        <f xml:space="preserve"> 0.72+((1.42+2.11)/2)</f>
        <v>2.4849999999999999</v>
      </c>
      <c r="F1720" s="222" t="s">
        <v>35</v>
      </c>
      <c r="G1720" s="58"/>
      <c r="H1720" s="179"/>
      <c r="I1720" s="1157">
        <v>1.1299999999999999</v>
      </c>
      <c r="J1720" s="1191"/>
      <c r="K1720" s="221">
        <f>+E1720*I1720</f>
        <v>2.8080499999999997</v>
      </c>
      <c r="L1720" s="47" t="s">
        <v>35</v>
      </c>
      <c r="M1720" s="25"/>
      <c r="T1720" s="18"/>
      <c r="U1720" s="18"/>
      <c r="V1720" s="18"/>
      <c r="W1720" s="18"/>
      <c r="X1720" s="18"/>
    </row>
    <row r="1721" spans="1:24" ht="30" customHeight="1" x14ac:dyDescent="0.45">
      <c r="A1721" s="47" t="s">
        <v>470</v>
      </c>
      <c r="B1721" s="1018" t="s">
        <v>1156</v>
      </c>
      <c r="C1721" s="1019"/>
      <c r="D1721" s="1020"/>
      <c r="E1721" s="41">
        <v>162000</v>
      </c>
      <c r="F1721" s="225" t="s">
        <v>517</v>
      </c>
      <c r="G1721" s="529">
        <f>+E1721/H1714</f>
        <v>24.259877799421393</v>
      </c>
      <c r="H1721" s="179" t="s">
        <v>1157</v>
      </c>
      <c r="I1721" s="1157">
        <v>1.26</v>
      </c>
      <c r="J1721" s="1191"/>
      <c r="K1721" s="221">
        <f>+G1721*I1721</f>
        <v>30.567446027270954</v>
      </c>
      <c r="L1721" s="47" t="s">
        <v>35</v>
      </c>
      <c r="M1721" s="25"/>
      <c r="N1721" s="3"/>
    </row>
    <row r="1722" spans="1:24" ht="30" customHeight="1" x14ac:dyDescent="0.45">
      <c r="A1722" s="47"/>
      <c r="B1722" s="1018"/>
      <c r="C1722" s="1019"/>
      <c r="D1722" s="1020"/>
      <c r="E1722" s="221"/>
      <c r="F1722" s="47"/>
      <c r="G1722" s="58"/>
      <c r="H1722" s="179"/>
      <c r="I1722" s="47"/>
      <c r="J1722" s="47" t="s">
        <v>38</v>
      </c>
      <c r="K1722" s="221">
        <f>SUM(K1716:K1721)</f>
        <v>270.55691755041522</v>
      </c>
      <c r="L1722" s="47" t="s">
        <v>35</v>
      </c>
      <c r="M1722" s="25"/>
      <c r="N1722" s="26"/>
      <c r="S1722" s="41"/>
      <c r="T1722" s="41"/>
    </row>
    <row r="1723" spans="1:24" ht="30" customHeight="1" x14ac:dyDescent="0.45">
      <c r="A1723" s="47"/>
      <c r="B1723" s="224"/>
      <c r="C1723" s="224"/>
      <c r="D1723" s="224"/>
      <c r="E1723" s="221"/>
      <c r="F1723" s="1011" t="s">
        <v>285</v>
      </c>
      <c r="G1723" s="1013" t="s">
        <v>286</v>
      </c>
      <c r="H1723" s="1013"/>
      <c r="I1723" s="1013"/>
      <c r="J1723" s="1013"/>
      <c r="K1723" s="278">
        <v>1.04</v>
      </c>
      <c r="L1723" s="47"/>
      <c r="M1723" s="25"/>
      <c r="S1723" s="41"/>
      <c r="T1723" s="41"/>
    </row>
    <row r="1724" spans="1:24" ht="30" customHeight="1" x14ac:dyDescent="0.45">
      <c r="A1724" s="47"/>
      <c r="B1724" s="224"/>
      <c r="C1724" s="224"/>
      <c r="D1724" s="224"/>
      <c r="E1724" s="221"/>
      <c r="F1724" s="1012"/>
      <c r="G1724" s="1014" t="s">
        <v>287</v>
      </c>
      <c r="H1724" s="1014"/>
      <c r="I1724" s="1014"/>
      <c r="J1724" s="1014"/>
      <c r="K1724" s="278">
        <v>1.05</v>
      </c>
      <c r="L1724" s="47"/>
      <c r="M1724" s="25"/>
    </row>
    <row r="1725" spans="1:24" ht="30" customHeight="1" x14ac:dyDescent="0.45">
      <c r="A1725" s="47"/>
      <c r="B1725" s="47"/>
      <c r="C1725" s="58"/>
      <c r="D1725" s="58"/>
      <c r="E1725" s="58"/>
      <c r="F1725" s="58"/>
      <c r="G1725" s="58"/>
      <c r="H1725" s="58"/>
      <c r="I1725" s="58"/>
      <c r="J1725" s="203" t="s">
        <v>39</v>
      </c>
      <c r="K1725" s="216">
        <f>+K1722*K1723/K1724</f>
        <v>267.98018500231603</v>
      </c>
      <c r="L1725" s="47" t="s">
        <v>35</v>
      </c>
      <c r="M1725" s="25"/>
      <c r="S1725" s="90"/>
      <c r="T1725" s="90"/>
    </row>
    <row r="1726" spans="1:24" ht="30" customHeight="1" thickBot="1" x14ac:dyDescent="0.5">
      <c r="A1726" s="47"/>
      <c r="B1726" s="47"/>
      <c r="C1726" s="58"/>
      <c r="D1726" s="58"/>
      <c r="E1726" s="58"/>
      <c r="F1726" s="58"/>
      <c r="G1726" s="1032" t="s">
        <v>288</v>
      </c>
      <c r="H1726" s="1033"/>
      <c r="I1726" s="1034"/>
      <c r="J1726" s="213">
        <f>VLOOKUP(B1714,'[1]Mil Cost Premiums for PUCs'!$A$4:$R$278,18,FALSE)</f>
        <v>1.1561386038173773</v>
      </c>
      <c r="K1726" s="216">
        <f>+K1725*J1726</f>
        <v>309.82223693930013</v>
      </c>
      <c r="L1726" s="47" t="s">
        <v>35</v>
      </c>
      <c r="M1726" s="25"/>
      <c r="S1726" s="41"/>
      <c r="T1726" s="41"/>
    </row>
    <row r="1727" spans="1:24" ht="30" customHeight="1" thickBot="1" x14ac:dyDescent="0.5">
      <c r="A1727" s="999"/>
      <c r="B1727" s="1000"/>
      <c r="C1727" s="1000"/>
      <c r="D1727" s="1000"/>
      <c r="E1727" s="1000"/>
      <c r="F1727" s="1000"/>
      <c r="G1727" s="1000"/>
      <c r="H1727" s="1000"/>
      <c r="I1727" s="1000"/>
      <c r="J1727" s="1000"/>
      <c r="K1727" s="1000"/>
      <c r="L1727" s="1001"/>
      <c r="M1727" s="25"/>
      <c r="N1727" s="229"/>
      <c r="O1727" s="5"/>
      <c r="P1727" s="18"/>
      <c r="Q1727" s="18"/>
      <c r="R1727" s="18"/>
      <c r="S1727" s="18"/>
      <c r="T1727" s="18"/>
    </row>
    <row r="1728" spans="1:24" ht="30" customHeight="1" x14ac:dyDescent="0.45">
      <c r="A1728" s="9" t="s">
        <v>4</v>
      </c>
      <c r="B1728" s="10">
        <v>2163</v>
      </c>
      <c r="C1728" s="1298" t="s">
        <v>1172</v>
      </c>
      <c r="D1728" s="1299"/>
      <c r="E1728" s="13" t="s">
        <v>7</v>
      </c>
      <c r="F1728" s="14" t="s">
        <v>35</v>
      </c>
      <c r="G1728" s="11" t="s">
        <v>6</v>
      </c>
      <c r="H1728" s="512">
        <v>45756</v>
      </c>
      <c r="I1728" s="13" t="s">
        <v>9</v>
      </c>
      <c r="J1728" s="985" t="s">
        <v>575</v>
      </c>
      <c r="K1728" s="985"/>
      <c r="L1728" s="986"/>
      <c r="M1728" s="25"/>
      <c r="N1728" s="26"/>
      <c r="O1728" s="2"/>
      <c r="P1728" s="27"/>
      <c r="Q1728" s="26"/>
      <c r="R1728" s="28"/>
    </row>
    <row r="1729" spans="1:18" ht="30" customHeight="1" x14ac:dyDescent="0.45">
      <c r="A1729" s="85" t="s">
        <v>277</v>
      </c>
      <c r="B1729" s="987" t="s">
        <v>293</v>
      </c>
      <c r="C1729" s="988"/>
      <c r="D1729" s="989"/>
      <c r="E1729" s="85" t="s">
        <v>13</v>
      </c>
      <c r="F1729" s="85" t="s">
        <v>14</v>
      </c>
      <c r="G1729" s="992" t="s">
        <v>15</v>
      </c>
      <c r="H1729" s="993"/>
      <c r="I1729" s="19" t="s">
        <v>278</v>
      </c>
      <c r="J1729" s="19"/>
      <c r="K1729" s="992" t="s">
        <v>17</v>
      </c>
      <c r="L1729" s="993"/>
      <c r="M1729" s="25"/>
      <c r="N1729" s="26"/>
      <c r="O1729" s="2"/>
      <c r="P1729" s="27"/>
      <c r="Q1729" s="26"/>
      <c r="R1729" s="28"/>
    </row>
    <row r="1730" spans="1:18" ht="30" customHeight="1" x14ac:dyDescent="0.45">
      <c r="A1730" s="47" t="s">
        <v>1045</v>
      </c>
      <c r="B1730" s="1142" t="s">
        <v>1173</v>
      </c>
      <c r="C1730" s="1117"/>
      <c r="D1730" s="1118"/>
      <c r="E1730" s="221">
        <f>164-2.51</f>
        <v>161.49</v>
      </c>
      <c r="F1730" s="47" t="s">
        <v>35</v>
      </c>
      <c r="G1730" s="47"/>
      <c r="H1730" s="47"/>
      <c r="I1730" s="47">
        <v>1.01</v>
      </c>
      <c r="J1730" s="47"/>
      <c r="K1730" s="221">
        <f>+E1730*I1730</f>
        <v>163.10490000000001</v>
      </c>
      <c r="L1730" s="47" t="s">
        <v>35</v>
      </c>
      <c r="M1730" s="25"/>
      <c r="N1730" s="26"/>
      <c r="O1730" s="2"/>
      <c r="P1730" s="27"/>
      <c r="Q1730" s="26"/>
      <c r="R1730" s="28"/>
    </row>
    <row r="1731" spans="1:18" ht="45" customHeight="1" x14ac:dyDescent="0.45">
      <c r="A1731" s="47" t="s">
        <v>470</v>
      </c>
      <c r="B1731" s="1018" t="s">
        <v>1174</v>
      </c>
      <c r="C1731" s="1019"/>
      <c r="D1731" s="1020"/>
      <c r="E1731" s="216">
        <v>177000</v>
      </c>
      <c r="F1731" s="47" t="s">
        <v>1175</v>
      </c>
      <c r="G1731" s="500">
        <f>+H1728</f>
        <v>45756</v>
      </c>
      <c r="H1731" s="179" t="s">
        <v>1157</v>
      </c>
      <c r="I1731" s="47">
        <v>1.02</v>
      </c>
      <c r="J1731" s="47"/>
      <c r="K1731" s="221">
        <f>+(E1731/G1731)*2*I1731</f>
        <v>7.8914240755310781</v>
      </c>
      <c r="L1731" s="47" t="s">
        <v>35</v>
      </c>
      <c r="N1731" s="26"/>
      <c r="O1731" s="2"/>
      <c r="P1731" s="27"/>
      <c r="Q1731" s="26"/>
      <c r="R1731" s="28"/>
    </row>
    <row r="1732" spans="1:18" ht="30" customHeight="1" x14ac:dyDescent="0.45">
      <c r="A1732" s="47" t="s">
        <v>358</v>
      </c>
      <c r="B1732" s="1018" t="s">
        <v>1176</v>
      </c>
      <c r="C1732" s="1019"/>
      <c r="D1732" s="1020"/>
      <c r="E1732" s="221">
        <v>3.06</v>
      </c>
      <c r="F1732" s="47" t="s">
        <v>35</v>
      </c>
      <c r="G1732" s="58"/>
      <c r="H1732" s="179"/>
      <c r="I1732" s="47">
        <v>1.01</v>
      </c>
      <c r="J1732" s="47"/>
      <c r="K1732" s="221">
        <f>+E1732*I1732</f>
        <v>3.0906000000000002</v>
      </c>
      <c r="L1732" s="47" t="s">
        <v>35</v>
      </c>
      <c r="M1732" s="25"/>
      <c r="N1732" s="26"/>
      <c r="O1732" s="2"/>
      <c r="P1732" s="27"/>
      <c r="Q1732" s="26"/>
      <c r="R1732" s="28"/>
    </row>
    <row r="1733" spans="1:18" ht="30" customHeight="1" x14ac:dyDescent="0.45">
      <c r="A1733" s="47" t="s">
        <v>358</v>
      </c>
      <c r="B1733" s="1018" t="s">
        <v>1158</v>
      </c>
      <c r="C1733" s="1019"/>
      <c r="D1733" s="1020"/>
      <c r="E1733" s="221">
        <f>+E1732*0.15</f>
        <v>0.45899999999999996</v>
      </c>
      <c r="F1733" s="47"/>
      <c r="G1733" s="58"/>
      <c r="H1733" s="179"/>
      <c r="I1733" s="47">
        <v>1.01</v>
      </c>
      <c r="J1733" s="47"/>
      <c r="K1733" s="221">
        <f>+E1733*I1733</f>
        <v>0.46358999999999995</v>
      </c>
      <c r="L1733" s="47"/>
      <c r="M1733" s="25"/>
      <c r="N1733" s="26"/>
      <c r="O1733" s="2"/>
      <c r="P1733" s="27"/>
      <c r="Q1733" s="26"/>
      <c r="R1733" s="28"/>
    </row>
    <row r="1734" spans="1:18" ht="30" customHeight="1" x14ac:dyDescent="0.45">
      <c r="A1734" s="47" t="s">
        <v>358</v>
      </c>
      <c r="B1734" s="1018" t="s">
        <v>1166</v>
      </c>
      <c r="C1734" s="1019"/>
      <c r="D1734" s="1020"/>
      <c r="E1734" s="216">
        <f xml:space="preserve"> 0.58+((1.15+1.71)/2)</f>
        <v>2.0099999999999998</v>
      </c>
      <c r="F1734" s="47"/>
      <c r="G1734" s="58"/>
      <c r="H1734" s="179"/>
      <c r="I1734" s="47">
        <v>1.01</v>
      </c>
      <c r="J1734" s="47"/>
      <c r="K1734" s="221">
        <f>+E1734*I1734</f>
        <v>2.0301</v>
      </c>
      <c r="L1734" s="47"/>
      <c r="M1734" s="25"/>
      <c r="N1734" s="26"/>
      <c r="O1734" s="2"/>
      <c r="P1734" s="27"/>
      <c r="Q1734" s="26"/>
      <c r="R1734" s="28"/>
    </row>
    <row r="1735" spans="1:18" ht="30" customHeight="1" x14ac:dyDescent="0.45">
      <c r="A1735" s="47"/>
      <c r="B1735" s="1018"/>
      <c r="C1735" s="1019"/>
      <c r="D1735" s="1020"/>
      <c r="E1735" s="221"/>
      <c r="F1735" s="47"/>
      <c r="G1735" s="58"/>
      <c r="H1735" s="179"/>
      <c r="I1735" s="47"/>
      <c r="J1735" s="47" t="s">
        <v>38</v>
      </c>
      <c r="K1735" s="221">
        <f>SUM(K1730:K1734)</f>
        <v>176.58061407553112</v>
      </c>
      <c r="L1735" s="47" t="s">
        <v>35</v>
      </c>
      <c r="M1735" s="25"/>
      <c r="N1735" s="26"/>
      <c r="O1735" s="2"/>
      <c r="P1735" s="27"/>
      <c r="Q1735" s="26"/>
      <c r="R1735" s="28"/>
    </row>
    <row r="1736" spans="1:18" ht="30" customHeight="1" x14ac:dyDescent="0.45">
      <c r="A1736" s="47"/>
      <c r="B1736" s="224"/>
      <c r="C1736" s="224"/>
      <c r="D1736" s="224"/>
      <c r="E1736" s="221"/>
      <c r="F1736" s="1011" t="s">
        <v>285</v>
      </c>
      <c r="G1736" s="1223" t="s">
        <v>286</v>
      </c>
      <c r="H1736" s="1224"/>
      <c r="I1736" s="1224"/>
      <c r="J1736" s="1225"/>
      <c r="K1736" s="278">
        <v>1.08</v>
      </c>
      <c r="L1736" s="47"/>
      <c r="M1736" s="121"/>
      <c r="N1736" s="26"/>
      <c r="O1736" s="2"/>
      <c r="P1736" s="27"/>
      <c r="Q1736" s="26"/>
      <c r="R1736" s="28"/>
    </row>
    <row r="1737" spans="1:18" ht="30" customHeight="1" x14ac:dyDescent="0.45">
      <c r="A1737" s="47"/>
      <c r="B1737" s="224"/>
      <c r="C1737" s="224"/>
      <c r="D1737" s="224"/>
      <c r="E1737" s="221"/>
      <c r="F1737" s="1012"/>
      <c r="G1737" s="1014" t="s">
        <v>580</v>
      </c>
      <c r="H1737" s="1014"/>
      <c r="I1737" s="1014"/>
      <c r="J1737" s="1014"/>
      <c r="K1737" s="278">
        <v>1.08</v>
      </c>
      <c r="L1737" s="47"/>
      <c r="M1737" s="25"/>
      <c r="N1737" s="26"/>
      <c r="O1737" s="2"/>
      <c r="P1737" s="27"/>
      <c r="Q1737" s="26"/>
      <c r="R1737" s="28"/>
    </row>
    <row r="1738" spans="1:18" ht="30" customHeight="1" x14ac:dyDescent="0.45">
      <c r="A1738" s="47"/>
      <c r="B1738" s="47"/>
      <c r="C1738" s="58"/>
      <c r="D1738" s="58"/>
      <c r="E1738" s="58"/>
      <c r="F1738" s="58"/>
      <c r="G1738" s="58"/>
      <c r="H1738" s="58"/>
      <c r="I1738" s="58"/>
      <c r="J1738" s="58" t="s">
        <v>39</v>
      </c>
      <c r="K1738" s="216">
        <f>+K1735*K1736/K1737</f>
        <v>176.58061407553112</v>
      </c>
      <c r="L1738" s="47" t="s">
        <v>35</v>
      </c>
      <c r="M1738" s="25"/>
      <c r="N1738" s="26"/>
      <c r="O1738" s="2"/>
      <c r="P1738" s="27"/>
      <c r="Q1738" s="26"/>
      <c r="R1738" s="28"/>
    </row>
    <row r="1739" spans="1:18" ht="30" customHeight="1" x14ac:dyDescent="0.45">
      <c r="A1739" s="47"/>
      <c r="B1739" s="47"/>
      <c r="C1739" s="58"/>
      <c r="D1739" s="58"/>
      <c r="E1739" s="58"/>
      <c r="F1739" s="58"/>
      <c r="G1739" s="1021" t="s">
        <v>288</v>
      </c>
      <c r="H1739" s="1022"/>
      <c r="I1739" s="1023"/>
      <c r="J1739" s="213">
        <f>VLOOKUP(B1728,'[1]Mil Cost Premiums for PUCs'!$A$4:$R$278,18,FALSE)</f>
        <v>1.1561386038173773</v>
      </c>
      <c r="K1739" s="216">
        <f>+K1738*J1739</f>
        <v>204.15166461849967</v>
      </c>
      <c r="L1739" s="47" t="s">
        <v>35</v>
      </c>
      <c r="M1739" s="25"/>
      <c r="N1739" s="26"/>
      <c r="O1739" s="2"/>
      <c r="P1739" s="27"/>
      <c r="Q1739" s="26"/>
      <c r="R1739" s="28"/>
    </row>
    <row r="1740" spans="1:18" ht="30" customHeight="1" x14ac:dyDescent="0.45">
      <c r="A1740" s="47"/>
      <c r="B1740" s="47"/>
      <c r="C1740" s="58"/>
      <c r="D1740" s="58"/>
      <c r="E1740" s="58"/>
      <c r="F1740" s="1175" t="s">
        <v>581</v>
      </c>
      <c r="G1740" s="1086"/>
      <c r="H1740" s="1086"/>
      <c r="I1740" s="1086"/>
      <c r="J1740" s="213">
        <v>1.0833999999999999</v>
      </c>
      <c r="K1740" s="363">
        <f>K1739*J1740</f>
        <v>221.17791344768253</v>
      </c>
      <c r="L1740" s="47" t="s">
        <v>35</v>
      </c>
      <c r="M1740" s="25"/>
      <c r="N1740" s="26"/>
      <c r="O1740" s="2"/>
      <c r="P1740" s="27"/>
      <c r="Q1740" s="26"/>
      <c r="R1740" s="28"/>
    </row>
    <row r="1741" spans="1:18" ht="30" customHeight="1" thickBot="1" x14ac:dyDescent="0.5">
      <c r="A1741" s="225"/>
      <c r="B1741" s="225"/>
      <c r="C1741" s="150"/>
      <c r="D1741" s="150"/>
      <c r="E1741" s="150"/>
      <c r="F1741" s="150"/>
      <c r="G1741" s="1025" t="s">
        <v>299</v>
      </c>
      <c r="H1741" s="1026"/>
      <c r="I1741" s="1027"/>
      <c r="J1741" s="226">
        <v>1.1214</v>
      </c>
      <c r="K1741" s="227">
        <f>+K1740*J1741</f>
        <v>248.02891214023117</v>
      </c>
      <c r="L1741" s="47" t="s">
        <v>35</v>
      </c>
      <c r="M1741" s="25"/>
    </row>
    <row r="1742" spans="1:18" ht="30" customHeight="1" thickBot="1" x14ac:dyDescent="0.5">
      <c r="A1742" s="999"/>
      <c r="B1742" s="1000"/>
      <c r="C1742" s="1000"/>
      <c r="D1742" s="1000"/>
      <c r="E1742" s="1000"/>
      <c r="F1742" s="1000"/>
      <c r="G1742" s="1000"/>
      <c r="H1742" s="1000"/>
      <c r="I1742" s="1000"/>
      <c r="J1742" s="1000"/>
      <c r="K1742" s="1000"/>
      <c r="L1742" s="1001"/>
      <c r="M1742" s="25"/>
      <c r="N1742" s="26"/>
      <c r="O1742" s="2"/>
      <c r="P1742" s="27"/>
      <c r="Q1742" s="26"/>
      <c r="R1742" s="28"/>
    </row>
    <row r="1743" spans="1:18" ht="30" customHeight="1" x14ac:dyDescent="0.45">
      <c r="A1743" s="9" t="s">
        <v>4</v>
      </c>
      <c r="B1743" s="10">
        <v>2171</v>
      </c>
      <c r="C1743" s="1138" t="s">
        <v>1177</v>
      </c>
      <c r="D1743" s="1139"/>
      <c r="E1743" s="13" t="s">
        <v>7</v>
      </c>
      <c r="F1743" s="14" t="s">
        <v>35</v>
      </c>
      <c r="G1743" s="11" t="s">
        <v>6</v>
      </c>
      <c r="H1743" s="184">
        <v>7518</v>
      </c>
      <c r="I1743" s="13" t="s">
        <v>9</v>
      </c>
      <c r="J1743" s="985" t="s">
        <v>1178</v>
      </c>
      <c r="K1743" s="985"/>
      <c r="L1743" s="986"/>
      <c r="M1743" s="25"/>
      <c r="N1743" s="26"/>
      <c r="O1743" s="2"/>
      <c r="P1743" s="27"/>
      <c r="Q1743" s="26"/>
      <c r="R1743" s="28"/>
    </row>
    <row r="1744" spans="1:18" ht="30" customHeight="1" x14ac:dyDescent="0.45">
      <c r="A1744" s="19" t="s">
        <v>11</v>
      </c>
      <c r="B1744" s="1005" t="s">
        <v>12</v>
      </c>
      <c r="C1744" s="1005"/>
      <c r="D1744" s="1005"/>
      <c r="E1744" s="20" t="s">
        <v>13</v>
      </c>
      <c r="F1744" s="19" t="s">
        <v>267</v>
      </c>
      <c r="G1744" s="1114" t="s">
        <v>79</v>
      </c>
      <c r="H1744" s="1115"/>
      <c r="I1744" s="1068" t="s">
        <v>1179</v>
      </c>
      <c r="J1744" s="1069"/>
      <c r="K1744" s="992" t="s">
        <v>17</v>
      </c>
      <c r="L1744" s="993"/>
      <c r="M1744" s="25"/>
      <c r="N1744" s="26"/>
      <c r="O1744" s="2"/>
      <c r="P1744" s="27"/>
      <c r="Q1744" s="26"/>
      <c r="R1744" s="28"/>
    </row>
    <row r="1745" spans="1:18" ht="30" customHeight="1" x14ac:dyDescent="0.45">
      <c r="A1745" s="47">
        <v>21710</v>
      </c>
      <c r="B1745" s="1008" t="s">
        <v>1180</v>
      </c>
      <c r="C1745" s="1009"/>
      <c r="D1745" s="1010"/>
      <c r="E1745" s="221">
        <v>152.35</v>
      </c>
      <c r="F1745" s="394">
        <v>17000</v>
      </c>
      <c r="G1745" s="47" t="s">
        <v>35</v>
      </c>
      <c r="H1745" s="47"/>
      <c r="I1745" s="1084">
        <f>+'[1]2023 MILCON Inflation Table'!$F$13</f>
        <v>1.4090525299662979</v>
      </c>
      <c r="J1745" s="1085"/>
      <c r="K1745" s="335">
        <f>+E1745*I1745</f>
        <v>214.66915294036548</v>
      </c>
      <c r="L1745" s="29" t="s">
        <v>35</v>
      </c>
      <c r="M1745" s="25"/>
      <c r="N1745" s="26"/>
      <c r="O1745" s="2"/>
      <c r="P1745" s="27"/>
      <c r="Q1745" s="26"/>
      <c r="R1745" s="28"/>
    </row>
    <row r="1746" spans="1:18" ht="30" customHeight="1" thickBot="1" x14ac:dyDescent="0.5">
      <c r="A1746" s="47"/>
      <c r="B1746" s="1008"/>
      <c r="C1746" s="1009"/>
      <c r="D1746" s="1010"/>
      <c r="E1746" s="161"/>
      <c r="F1746" s="415"/>
      <c r="G1746" s="161"/>
      <c r="H1746" s="389"/>
      <c r="I1746" s="58"/>
      <c r="J1746" s="85" t="s">
        <v>39</v>
      </c>
      <c r="K1746" s="185">
        <f>AVERAGE(K1745:K1745)</f>
        <v>214.66915294036548</v>
      </c>
      <c r="L1746" s="29" t="s">
        <v>35</v>
      </c>
      <c r="N1746" s="26"/>
      <c r="O1746" s="2"/>
      <c r="P1746" s="27"/>
      <c r="Q1746" s="26"/>
      <c r="R1746" s="28"/>
    </row>
    <row r="1747" spans="1:18" ht="30" customHeight="1" thickBot="1" x14ac:dyDescent="0.5">
      <c r="A1747" s="999"/>
      <c r="B1747" s="1000"/>
      <c r="C1747" s="1000"/>
      <c r="D1747" s="1000"/>
      <c r="E1747" s="1000"/>
      <c r="F1747" s="1000"/>
      <c r="G1747" s="1000"/>
      <c r="H1747" s="1000"/>
      <c r="I1747" s="1000"/>
      <c r="J1747" s="1000"/>
      <c r="K1747" s="1000"/>
      <c r="L1747" s="1001"/>
      <c r="M1747" s="25"/>
      <c r="N1747" s="26"/>
      <c r="O1747" s="2"/>
      <c r="P1747" s="27"/>
      <c r="Q1747" s="26"/>
      <c r="R1747" s="28"/>
    </row>
    <row r="1748" spans="1:18" ht="30" customHeight="1" x14ac:dyDescent="0.45">
      <c r="A1748" s="9" t="s">
        <v>4</v>
      </c>
      <c r="B1748" s="10">
        <v>2172</v>
      </c>
      <c r="C1748" s="1138" t="s">
        <v>1181</v>
      </c>
      <c r="D1748" s="1139"/>
      <c r="E1748" s="13" t="s">
        <v>7</v>
      </c>
      <c r="F1748" s="14" t="s">
        <v>35</v>
      </c>
      <c r="G1748" s="11" t="s">
        <v>6</v>
      </c>
      <c r="H1748" s="184">
        <v>17757</v>
      </c>
      <c r="I1748" s="13" t="s">
        <v>9</v>
      </c>
      <c r="J1748" s="985" t="s">
        <v>1178</v>
      </c>
      <c r="K1748" s="985"/>
      <c r="L1748" s="986"/>
      <c r="M1748" s="25"/>
      <c r="N1748" s="26"/>
      <c r="O1748" s="2"/>
      <c r="P1748" s="27"/>
      <c r="Q1748" s="26"/>
      <c r="R1748" s="28"/>
    </row>
    <row r="1749" spans="1:18" ht="30" customHeight="1" x14ac:dyDescent="0.45">
      <c r="A1749" s="19" t="s">
        <v>11</v>
      </c>
      <c r="B1749" s="1005" t="s">
        <v>12</v>
      </c>
      <c r="C1749" s="1005"/>
      <c r="D1749" s="1005"/>
      <c r="E1749" s="20" t="s">
        <v>13</v>
      </c>
      <c r="F1749" s="19" t="s">
        <v>267</v>
      </c>
      <c r="G1749" s="1114" t="s">
        <v>79</v>
      </c>
      <c r="H1749" s="1115"/>
      <c r="I1749" s="1068" t="s">
        <v>1179</v>
      </c>
      <c r="J1749" s="1069"/>
      <c r="K1749" s="992" t="s">
        <v>17</v>
      </c>
      <c r="L1749" s="993"/>
      <c r="M1749" s="25"/>
      <c r="N1749" s="26"/>
      <c r="O1749" s="2"/>
      <c r="P1749" s="27"/>
      <c r="Q1749" s="26"/>
      <c r="R1749" s="28"/>
    </row>
    <row r="1750" spans="1:18" ht="30" customHeight="1" x14ac:dyDescent="0.45">
      <c r="A1750" s="47">
        <v>21710</v>
      </c>
      <c r="B1750" s="1008" t="s">
        <v>1180</v>
      </c>
      <c r="C1750" s="1009"/>
      <c r="D1750" s="1010"/>
      <c r="E1750" s="221">
        <v>152.35</v>
      </c>
      <c r="F1750" s="394">
        <v>17000</v>
      </c>
      <c r="G1750" s="47" t="s">
        <v>35</v>
      </c>
      <c r="H1750" s="47"/>
      <c r="I1750" s="1084">
        <f>+'[1]2023 MILCON Inflation Table'!$F$13</f>
        <v>1.4090525299662979</v>
      </c>
      <c r="J1750" s="1085"/>
      <c r="K1750" s="335">
        <f>+E1750*I1750</f>
        <v>214.66915294036548</v>
      </c>
      <c r="L1750" s="47" t="s">
        <v>35</v>
      </c>
      <c r="M1750" s="25"/>
      <c r="N1750" s="26"/>
      <c r="O1750" s="2"/>
      <c r="P1750" s="27"/>
      <c r="Q1750" s="26"/>
      <c r="R1750" s="28"/>
    </row>
    <row r="1751" spans="1:18" ht="30" customHeight="1" thickBot="1" x14ac:dyDescent="0.5">
      <c r="A1751" s="47"/>
      <c r="B1751" s="1008"/>
      <c r="C1751" s="1009"/>
      <c r="D1751" s="1010"/>
      <c r="E1751" s="161"/>
      <c r="F1751" s="415"/>
      <c r="G1751" s="161"/>
      <c r="H1751" s="389"/>
      <c r="I1751" s="58"/>
      <c r="J1751" s="85" t="s">
        <v>39</v>
      </c>
      <c r="K1751" s="185">
        <f>AVERAGE(K1750:K1750)</f>
        <v>214.66915294036548</v>
      </c>
      <c r="L1751" s="29" t="s">
        <v>35</v>
      </c>
      <c r="M1751" s="25"/>
      <c r="N1751" s="26"/>
      <c r="O1751" s="2"/>
      <c r="P1751" s="27"/>
      <c r="Q1751" s="26"/>
      <c r="R1751" s="28"/>
    </row>
    <row r="1752" spans="1:18" ht="30" customHeight="1" thickBot="1" x14ac:dyDescent="0.5">
      <c r="A1752" s="999"/>
      <c r="B1752" s="1000"/>
      <c r="C1752" s="1000"/>
      <c r="D1752" s="1000"/>
      <c r="E1752" s="1000"/>
      <c r="F1752" s="1000"/>
      <c r="G1752" s="1000"/>
      <c r="H1752" s="1000"/>
      <c r="I1752" s="1000"/>
      <c r="J1752" s="1000"/>
      <c r="K1752" s="1000"/>
      <c r="L1752" s="1001"/>
      <c r="M1752" s="25"/>
      <c r="N1752" s="26"/>
      <c r="O1752" s="2"/>
      <c r="P1752" s="27"/>
      <c r="Q1752" s="26"/>
      <c r="R1752" s="28"/>
    </row>
    <row r="1753" spans="1:18" ht="30" customHeight="1" x14ac:dyDescent="0.45">
      <c r="A1753" s="228" t="s">
        <v>4</v>
      </c>
      <c r="B1753" s="228">
        <v>2173</v>
      </c>
      <c r="C1753" s="1138" t="s">
        <v>1182</v>
      </c>
      <c r="D1753" s="1139"/>
      <c r="E1753" s="29" t="s">
        <v>7</v>
      </c>
      <c r="F1753" s="154" t="s">
        <v>88</v>
      </c>
      <c r="G1753" s="173" t="s">
        <v>148</v>
      </c>
      <c r="H1753" s="14">
        <v>1</v>
      </c>
      <c r="I1753" s="13" t="s">
        <v>9</v>
      </c>
      <c r="J1753" s="985" t="s">
        <v>575</v>
      </c>
      <c r="K1753" s="985"/>
      <c r="L1753" s="986"/>
      <c r="M1753" s="25"/>
      <c r="N1753" s="26"/>
      <c r="O1753" s="2"/>
      <c r="P1753" s="27"/>
      <c r="Q1753" s="26"/>
      <c r="R1753" s="28"/>
    </row>
    <row r="1754" spans="1:18" ht="30" customHeight="1" x14ac:dyDescent="0.45">
      <c r="A1754" s="85" t="s">
        <v>277</v>
      </c>
      <c r="B1754" s="1146" t="s">
        <v>293</v>
      </c>
      <c r="C1754" s="1146"/>
      <c r="D1754" s="1146"/>
      <c r="E1754" s="85" t="s">
        <v>13</v>
      </c>
      <c r="F1754" s="85" t="s">
        <v>14</v>
      </c>
      <c r="G1754" s="1006" t="s">
        <v>15</v>
      </c>
      <c r="H1754" s="1006"/>
      <c r="I1754" s="19" t="s">
        <v>278</v>
      </c>
      <c r="J1754" s="19"/>
      <c r="K1754" s="992" t="s">
        <v>17</v>
      </c>
      <c r="L1754" s="993"/>
      <c r="M1754" s="25"/>
      <c r="N1754" s="26"/>
      <c r="O1754" s="2"/>
      <c r="P1754" s="27"/>
      <c r="Q1754" s="26"/>
      <c r="R1754" s="28"/>
    </row>
    <row r="1755" spans="1:18" ht="30" customHeight="1" x14ac:dyDescent="0.45">
      <c r="A1755" s="47" t="s">
        <v>279</v>
      </c>
      <c r="B1755" s="1092" t="s">
        <v>1183</v>
      </c>
      <c r="C1755" s="1092"/>
      <c r="D1755" s="1092"/>
      <c r="E1755" s="221">
        <v>1030</v>
      </c>
      <c r="F1755" s="47" t="s">
        <v>1184</v>
      </c>
      <c r="G1755" s="47">
        <v>100</v>
      </c>
      <c r="H1755" s="47" t="s">
        <v>1185</v>
      </c>
      <c r="I1755" s="365">
        <v>1.02</v>
      </c>
      <c r="J1755" s="365"/>
      <c r="K1755" s="221">
        <f>+E1755*G1755*I1755</f>
        <v>105060</v>
      </c>
      <c r="L1755" s="47" t="s">
        <v>88</v>
      </c>
      <c r="M1755" s="25"/>
      <c r="N1755" s="420"/>
      <c r="O1755" s="2"/>
      <c r="P1755" s="27"/>
      <c r="Q1755" s="26"/>
      <c r="R1755" s="28"/>
    </row>
    <row r="1756" spans="1:18" ht="30" customHeight="1" x14ac:dyDescent="0.45">
      <c r="A1756" s="47"/>
      <c r="E1756" s="221"/>
      <c r="F1756" s="1011" t="s">
        <v>285</v>
      </c>
      <c r="G1756" s="1013" t="s">
        <v>286</v>
      </c>
      <c r="H1756" s="1013"/>
      <c r="I1756" s="1013"/>
      <c r="J1756" s="1013"/>
      <c r="K1756" s="278">
        <v>1.07</v>
      </c>
      <c r="L1756" s="47"/>
      <c r="M1756" s="25"/>
      <c r="N1756" s="26"/>
      <c r="O1756" s="2"/>
      <c r="P1756" s="27"/>
      <c r="Q1756" s="26"/>
      <c r="R1756" s="28"/>
    </row>
    <row r="1757" spans="1:18" ht="30" customHeight="1" x14ac:dyDescent="0.45">
      <c r="A1757" s="47"/>
      <c r="B1757" s="224"/>
      <c r="C1757" s="224"/>
      <c r="D1757" s="224"/>
      <c r="E1757" s="221"/>
      <c r="F1757" s="1012"/>
      <c r="G1757" s="1014" t="s">
        <v>580</v>
      </c>
      <c r="H1757" s="1014"/>
      <c r="I1757" s="1014"/>
      <c r="J1757" s="1014"/>
      <c r="K1757" s="278">
        <v>1.08</v>
      </c>
      <c r="L1757" s="225"/>
      <c r="M1757" s="25"/>
      <c r="N1757" s="26"/>
      <c r="O1757" s="2"/>
      <c r="P1757" s="27"/>
      <c r="Q1757" s="26"/>
      <c r="R1757" s="28"/>
    </row>
    <row r="1758" spans="1:18" ht="30" customHeight="1" x14ac:dyDescent="0.45">
      <c r="A1758" s="47"/>
      <c r="B1758" s="47"/>
      <c r="C1758" s="58"/>
      <c r="D1758" s="58"/>
      <c r="E1758" s="58"/>
      <c r="F1758" s="58"/>
      <c r="G1758" s="58"/>
      <c r="H1758" s="58"/>
      <c r="I1758" s="58"/>
      <c r="J1758" s="47" t="s">
        <v>39</v>
      </c>
      <c r="K1758" s="530">
        <f>+K1755*K1756/K1757</f>
        <v>104087.22222222222</v>
      </c>
      <c r="L1758" s="531" t="s">
        <v>88</v>
      </c>
      <c r="M1758" s="25"/>
      <c r="N1758" s="26"/>
      <c r="O1758" s="2"/>
      <c r="P1758" s="27"/>
      <c r="Q1758" s="26"/>
      <c r="R1758" s="28"/>
    </row>
    <row r="1759" spans="1:18" ht="30" customHeight="1" x14ac:dyDescent="0.45">
      <c r="A1759" s="47"/>
      <c r="B1759" s="1092" t="s">
        <v>1186</v>
      </c>
      <c r="C1759" s="1092"/>
      <c r="D1759" s="1092"/>
      <c r="E1759" s="58"/>
      <c r="F1759" s="58"/>
      <c r="G1759" s="1021" t="s">
        <v>288</v>
      </c>
      <c r="H1759" s="1022"/>
      <c r="I1759" s="1023"/>
      <c r="J1759" s="213">
        <f>VLOOKUP(B1753,'[1]Mil Cost Premiums for PUCs'!$A$4:$R$278,18,FALSE)</f>
        <v>1.0485669999999998</v>
      </c>
      <c r="K1759" s="216">
        <f>+K1758*J1759</f>
        <v>109142.42634388886</v>
      </c>
      <c r="L1759" s="56" t="s">
        <v>88</v>
      </c>
      <c r="M1759" s="25"/>
      <c r="O1759" s="27"/>
      <c r="P1759" s="26"/>
      <c r="Q1759" s="28"/>
    </row>
    <row r="1760" spans="1:18" ht="30" customHeight="1" x14ac:dyDescent="0.45">
      <c r="A1760" s="47"/>
      <c r="B1760" s="47"/>
      <c r="C1760" s="58"/>
      <c r="D1760" s="58"/>
      <c r="E1760" s="58"/>
      <c r="F1760" s="1175" t="s">
        <v>581</v>
      </c>
      <c r="G1760" s="1086"/>
      <c r="H1760" s="1086"/>
      <c r="I1760" s="1086"/>
      <c r="J1760" s="213">
        <v>1.0833999999999999</v>
      </c>
      <c r="K1760" s="363">
        <f>K1759*J1760</f>
        <v>118244.90470096919</v>
      </c>
      <c r="L1760" s="47" t="s">
        <v>88</v>
      </c>
      <c r="M1760" s="25"/>
      <c r="O1760" s="27"/>
      <c r="P1760" s="26"/>
      <c r="Q1760" s="28"/>
    </row>
    <row r="1761" spans="1:18" ht="30" customHeight="1" thickBot="1" x14ac:dyDescent="0.5">
      <c r="A1761" s="225"/>
      <c r="B1761" s="225"/>
      <c r="C1761" s="150"/>
      <c r="D1761" s="150"/>
      <c r="E1761" s="150"/>
      <c r="F1761" s="150"/>
      <c r="G1761" s="1025" t="s">
        <v>299</v>
      </c>
      <c r="H1761" s="1026"/>
      <c r="I1761" s="1027"/>
      <c r="J1761" s="226">
        <v>1.1214</v>
      </c>
      <c r="K1761" s="227">
        <f>+K1760*J1761</f>
        <v>132599.83613166685</v>
      </c>
      <c r="L1761" s="47" t="s">
        <v>88</v>
      </c>
      <c r="M1761" s="25"/>
    </row>
    <row r="1762" spans="1:18" ht="30" customHeight="1" thickBot="1" x14ac:dyDescent="0.5">
      <c r="A1762" s="999"/>
      <c r="B1762" s="1000"/>
      <c r="C1762" s="1000"/>
      <c r="D1762" s="1000"/>
      <c r="E1762" s="1000"/>
      <c r="F1762" s="1000"/>
      <c r="G1762" s="1000"/>
      <c r="H1762" s="1000"/>
      <c r="I1762" s="1000"/>
      <c r="J1762" s="1000"/>
      <c r="K1762" s="1000"/>
      <c r="L1762" s="1001"/>
      <c r="M1762" s="25"/>
      <c r="O1762" s="27"/>
      <c r="P1762" s="26"/>
      <c r="Q1762" s="28"/>
    </row>
    <row r="1763" spans="1:18" ht="30" customHeight="1" x14ac:dyDescent="0.45">
      <c r="A1763" s="9" t="s">
        <v>4</v>
      </c>
      <c r="B1763" s="10">
        <v>2181</v>
      </c>
      <c r="C1763" s="1138" t="s">
        <v>1187</v>
      </c>
      <c r="D1763" s="1139"/>
      <c r="E1763" s="13" t="s">
        <v>7</v>
      </c>
      <c r="F1763" s="14" t="s">
        <v>35</v>
      </c>
      <c r="G1763" s="11" t="s">
        <v>6</v>
      </c>
      <c r="H1763" s="169">
        <v>19547.708473360599</v>
      </c>
      <c r="I1763" s="13" t="s">
        <v>9</v>
      </c>
      <c r="J1763" s="985" t="str">
        <f>+$J$318</f>
        <v>Table 2, UFC 3-701-1, 2 March 2023</v>
      </c>
      <c r="K1763" s="985"/>
      <c r="L1763" s="986"/>
      <c r="M1763" s="25"/>
      <c r="O1763" s="27"/>
      <c r="P1763" s="26"/>
      <c r="Q1763" s="28"/>
    </row>
    <row r="1764" spans="1:18" ht="30" customHeight="1" x14ac:dyDescent="0.45">
      <c r="A1764" s="19" t="s">
        <v>11</v>
      </c>
      <c r="B1764" s="1005" t="s">
        <v>12</v>
      </c>
      <c r="C1764" s="1005"/>
      <c r="D1764" s="1005"/>
      <c r="E1764" s="132" t="s">
        <v>267</v>
      </c>
      <c r="F1764" s="20" t="s">
        <v>13</v>
      </c>
      <c r="G1764" s="19"/>
      <c r="H1764" s="19"/>
      <c r="I1764" s="1140" t="s">
        <v>60</v>
      </c>
      <c r="J1764" s="1141"/>
      <c r="K1764" s="992" t="s">
        <v>17</v>
      </c>
      <c r="L1764" s="993"/>
      <c r="M1764" s="25"/>
      <c r="O1764" s="27"/>
      <c r="P1764" s="26"/>
      <c r="Q1764" s="28"/>
    </row>
    <row r="1765" spans="1:18" ht="30" customHeight="1" x14ac:dyDescent="0.45">
      <c r="A1765" s="29" t="s">
        <v>268</v>
      </c>
      <c r="B1765" s="1142" t="s">
        <v>1117</v>
      </c>
      <c r="C1765" s="1117"/>
      <c r="D1765" s="1118"/>
      <c r="E1765" s="176">
        <v>29000</v>
      </c>
      <c r="F1765" s="145">
        <v>458</v>
      </c>
      <c r="G1765" s="177"/>
      <c r="H1765" s="178"/>
      <c r="I1765" s="1119" t="s">
        <v>270</v>
      </c>
      <c r="J1765" s="1120"/>
      <c r="K1765" s="145">
        <f>+F1765</f>
        <v>458</v>
      </c>
      <c r="L1765" s="29" t="s">
        <v>35</v>
      </c>
      <c r="M1765" s="25"/>
      <c r="O1765" s="27"/>
      <c r="P1765" s="26"/>
      <c r="Q1765" s="28"/>
    </row>
    <row r="1766" spans="1:18" ht="30" customHeight="1" thickBot="1" x14ac:dyDescent="0.5">
      <c r="A1766" s="47"/>
      <c r="B1766" s="1093"/>
      <c r="C1766" s="1094"/>
      <c r="D1766" s="1095"/>
      <c r="E1766" s="180"/>
      <c r="F1766" s="181"/>
      <c r="G1766" s="181"/>
      <c r="H1766" s="182"/>
      <c r="I1766" s="58"/>
      <c r="J1766" s="85" t="s">
        <v>39</v>
      </c>
      <c r="K1766" s="216">
        <f>+K1765</f>
        <v>458</v>
      </c>
      <c r="L1766" s="47" t="s">
        <v>35</v>
      </c>
      <c r="M1766" s="25"/>
      <c r="O1766" s="27"/>
      <c r="P1766" s="26"/>
      <c r="Q1766" s="28"/>
    </row>
    <row r="1767" spans="1:18" ht="30" customHeight="1" thickBot="1" x14ac:dyDescent="0.5">
      <c r="A1767" s="999"/>
      <c r="B1767" s="1000"/>
      <c r="C1767" s="1000"/>
      <c r="D1767" s="1000"/>
      <c r="E1767" s="1000"/>
      <c r="F1767" s="1000"/>
      <c r="G1767" s="1000"/>
      <c r="H1767" s="1000"/>
      <c r="I1767" s="1000"/>
      <c r="J1767" s="1000"/>
      <c r="K1767" s="1000"/>
      <c r="L1767" s="1001"/>
      <c r="M1767" s="25"/>
      <c r="O1767" s="27"/>
      <c r="P1767" s="26"/>
      <c r="Q1767" s="28"/>
    </row>
    <row r="1768" spans="1:18" ht="30" customHeight="1" x14ac:dyDescent="0.45">
      <c r="A1768" s="9" t="s">
        <v>4</v>
      </c>
      <c r="B1768" s="10">
        <v>2182</v>
      </c>
      <c r="C1768" s="1138" t="s">
        <v>1188</v>
      </c>
      <c r="D1768" s="1139"/>
      <c r="E1768" s="13" t="s">
        <v>7</v>
      </c>
      <c r="F1768" s="14" t="s">
        <v>35</v>
      </c>
      <c r="G1768" s="11" t="s">
        <v>6</v>
      </c>
      <c r="H1768" s="169">
        <v>6667.8079864253305</v>
      </c>
      <c r="I1768" s="13" t="s">
        <v>9</v>
      </c>
      <c r="J1768" s="985" t="str">
        <f>+$J$318</f>
        <v>Table 2, UFC 3-701-1, 2 March 2023</v>
      </c>
      <c r="K1768" s="985"/>
      <c r="L1768" s="986"/>
      <c r="M1768" s="25"/>
      <c r="O1768" s="27"/>
      <c r="P1768" s="26"/>
      <c r="Q1768" s="28"/>
    </row>
    <row r="1769" spans="1:18" ht="30" customHeight="1" x14ac:dyDescent="0.45">
      <c r="A1769" s="19" t="s">
        <v>11</v>
      </c>
      <c r="B1769" s="1005" t="s">
        <v>12</v>
      </c>
      <c r="C1769" s="1005"/>
      <c r="D1769" s="1005"/>
      <c r="E1769" s="132" t="s">
        <v>267</v>
      </c>
      <c r="F1769" s="20" t="s">
        <v>13</v>
      </c>
      <c r="G1769" s="19"/>
      <c r="H1769" s="19"/>
      <c r="I1769" s="1140" t="s">
        <v>60</v>
      </c>
      <c r="J1769" s="1141"/>
      <c r="K1769" s="992" t="s">
        <v>17</v>
      </c>
      <c r="L1769" s="993"/>
      <c r="M1769" s="25"/>
      <c r="O1769" s="27"/>
      <c r="P1769" s="26"/>
      <c r="Q1769" s="28"/>
    </row>
    <row r="1770" spans="1:18" ht="30" customHeight="1" x14ac:dyDescent="0.45">
      <c r="A1770" s="29" t="s">
        <v>268</v>
      </c>
      <c r="B1770" s="994" t="s">
        <v>1117</v>
      </c>
      <c r="C1770" s="994"/>
      <c r="D1770" s="994"/>
      <c r="E1770" s="176">
        <v>29000</v>
      </c>
      <c r="F1770" s="145">
        <v>458</v>
      </c>
      <c r="G1770" s="177"/>
      <c r="H1770" s="178"/>
      <c r="I1770" s="1119" t="s">
        <v>270</v>
      </c>
      <c r="J1770" s="1120"/>
      <c r="K1770" s="145">
        <f>+F1770</f>
        <v>458</v>
      </c>
      <c r="L1770" s="29" t="s">
        <v>35</v>
      </c>
      <c r="M1770" s="25"/>
      <c r="O1770" s="27"/>
      <c r="P1770" s="26"/>
      <c r="Q1770" s="28"/>
    </row>
    <row r="1771" spans="1:18" ht="30" customHeight="1" thickBot="1" x14ac:dyDescent="0.5">
      <c r="A1771" s="47"/>
      <c r="B1771" s="1092"/>
      <c r="C1771" s="1092"/>
      <c r="D1771" s="1092"/>
      <c r="E1771" s="180"/>
      <c r="F1771" s="181"/>
      <c r="G1771" s="181"/>
      <c r="H1771" s="182"/>
      <c r="I1771" s="58"/>
      <c r="J1771" s="85" t="s">
        <v>39</v>
      </c>
      <c r="K1771" s="216">
        <f>+K1770</f>
        <v>458</v>
      </c>
      <c r="L1771" s="47" t="s">
        <v>35</v>
      </c>
      <c r="M1771" s="25"/>
      <c r="N1771" s="26"/>
      <c r="O1771" s="2"/>
      <c r="P1771" s="27"/>
      <c r="Q1771" s="26"/>
      <c r="R1771" s="28"/>
    </row>
    <row r="1772" spans="1:18" ht="30" customHeight="1" thickBot="1" x14ac:dyDescent="0.5">
      <c r="A1772" s="999"/>
      <c r="B1772" s="1000"/>
      <c r="C1772" s="1000"/>
      <c r="D1772" s="1000"/>
      <c r="E1772" s="1000"/>
      <c r="F1772" s="1000"/>
      <c r="G1772" s="1000"/>
      <c r="H1772" s="1000"/>
      <c r="I1772" s="1000"/>
      <c r="J1772" s="1000"/>
      <c r="K1772" s="1000"/>
      <c r="L1772" s="1001"/>
      <c r="M1772" s="25"/>
      <c r="N1772" s="26"/>
      <c r="O1772" s="2"/>
      <c r="P1772" s="27"/>
      <c r="Q1772" s="26"/>
      <c r="R1772" s="28"/>
    </row>
    <row r="1773" spans="1:18" ht="30" customHeight="1" x14ac:dyDescent="0.45">
      <c r="A1773" s="9" t="s">
        <v>4</v>
      </c>
      <c r="B1773" s="10">
        <v>2183</v>
      </c>
      <c r="C1773" s="1138" t="s">
        <v>1189</v>
      </c>
      <c r="D1773" s="1139"/>
      <c r="E1773" s="13" t="s">
        <v>7</v>
      </c>
      <c r="F1773" s="14" t="s">
        <v>35</v>
      </c>
      <c r="G1773" s="11" t="s">
        <v>6</v>
      </c>
      <c r="H1773" s="169">
        <v>5760.6054216867396</v>
      </c>
      <c r="I1773" s="13" t="s">
        <v>9</v>
      </c>
      <c r="J1773" s="985" t="str">
        <f>+$J$318</f>
        <v>Table 2, UFC 3-701-1, 2 March 2023</v>
      </c>
      <c r="K1773" s="985"/>
      <c r="L1773" s="986"/>
      <c r="M1773" s="25"/>
      <c r="O1773" s="27"/>
      <c r="P1773" s="26"/>
      <c r="Q1773" s="28"/>
    </row>
    <row r="1774" spans="1:18" ht="30" customHeight="1" x14ac:dyDescent="0.45">
      <c r="A1774" s="19" t="s">
        <v>11</v>
      </c>
      <c r="B1774" s="1005" t="s">
        <v>12</v>
      </c>
      <c r="C1774" s="1005"/>
      <c r="D1774" s="1005"/>
      <c r="E1774" s="132" t="s">
        <v>267</v>
      </c>
      <c r="F1774" s="20" t="s">
        <v>13</v>
      </c>
      <c r="G1774" s="19"/>
      <c r="H1774" s="19"/>
      <c r="I1774" s="1140" t="s">
        <v>60</v>
      </c>
      <c r="J1774" s="1141"/>
      <c r="K1774" s="992" t="s">
        <v>17</v>
      </c>
      <c r="L1774" s="993"/>
      <c r="M1774" s="25"/>
      <c r="O1774" s="27"/>
      <c r="P1774" s="26"/>
      <c r="Q1774" s="28"/>
    </row>
    <row r="1775" spans="1:18" ht="30" customHeight="1" x14ac:dyDescent="0.45">
      <c r="A1775" s="29" t="s">
        <v>268</v>
      </c>
      <c r="B1775" s="994" t="s">
        <v>1117</v>
      </c>
      <c r="C1775" s="994"/>
      <c r="D1775" s="994"/>
      <c r="E1775" s="176">
        <v>29000</v>
      </c>
      <c r="F1775" s="145">
        <v>458</v>
      </c>
      <c r="G1775" s="177"/>
      <c r="H1775" s="178"/>
      <c r="I1775" s="1119" t="s">
        <v>270</v>
      </c>
      <c r="J1775" s="1120"/>
      <c r="K1775" s="145">
        <f>+F1775</f>
        <v>458</v>
      </c>
      <c r="L1775" s="29" t="s">
        <v>35</v>
      </c>
      <c r="M1775" s="25"/>
      <c r="N1775" s="26"/>
      <c r="O1775" s="2"/>
      <c r="P1775" s="27"/>
      <c r="Q1775" s="26"/>
      <c r="R1775" s="28"/>
    </row>
    <row r="1776" spans="1:18" ht="30" customHeight="1" thickBot="1" x14ac:dyDescent="0.5">
      <c r="A1776" s="47"/>
      <c r="B1776" s="1092"/>
      <c r="C1776" s="1092"/>
      <c r="D1776" s="1092"/>
      <c r="E1776" s="180"/>
      <c r="F1776" s="181"/>
      <c r="G1776" s="181"/>
      <c r="H1776" s="182"/>
      <c r="I1776" s="58"/>
      <c r="J1776" s="85" t="s">
        <v>39</v>
      </c>
      <c r="K1776" s="216">
        <f>+K1775</f>
        <v>458</v>
      </c>
      <c r="L1776" s="47" t="s">
        <v>35</v>
      </c>
      <c r="M1776" s="25"/>
      <c r="N1776" s="26"/>
      <c r="O1776" s="2"/>
      <c r="P1776" s="27"/>
      <c r="Q1776" s="26"/>
      <c r="R1776" s="28"/>
    </row>
    <row r="1777" spans="1:18" ht="30" customHeight="1" thickBot="1" x14ac:dyDescent="0.5">
      <c r="A1777" s="999"/>
      <c r="B1777" s="1000"/>
      <c r="C1777" s="1000"/>
      <c r="D1777" s="1000"/>
      <c r="E1777" s="1000"/>
      <c r="F1777" s="1000"/>
      <c r="G1777" s="1000"/>
      <c r="H1777" s="1000"/>
      <c r="I1777" s="1000"/>
      <c r="J1777" s="1000"/>
      <c r="K1777" s="1000"/>
      <c r="L1777" s="1001"/>
      <c r="M1777" s="25"/>
      <c r="N1777" s="26"/>
      <c r="O1777" s="2"/>
      <c r="P1777" s="27"/>
      <c r="Q1777" s="26"/>
      <c r="R1777" s="28"/>
    </row>
    <row r="1778" spans="1:18" ht="30" customHeight="1" x14ac:dyDescent="0.45">
      <c r="A1778" s="9" t="s">
        <v>4</v>
      </c>
      <c r="B1778" s="10">
        <v>2184</v>
      </c>
      <c r="C1778" s="983" t="s">
        <v>1190</v>
      </c>
      <c r="D1778" s="984"/>
      <c r="E1778" s="13" t="s">
        <v>7</v>
      </c>
      <c r="F1778" s="14" t="s">
        <v>35</v>
      </c>
      <c r="G1778" s="11" t="s">
        <v>6</v>
      </c>
      <c r="H1778" s="169">
        <v>10600</v>
      </c>
      <c r="I1778" s="13" t="s">
        <v>9</v>
      </c>
      <c r="J1778" s="985" t="s">
        <v>1191</v>
      </c>
      <c r="K1778" s="985"/>
      <c r="L1778" s="986"/>
      <c r="M1778" s="25"/>
      <c r="N1778" s="26"/>
      <c r="O1778" s="2"/>
      <c r="P1778" s="27"/>
      <c r="Q1778" s="26"/>
      <c r="R1778" s="28"/>
    </row>
    <row r="1779" spans="1:18" ht="30" customHeight="1" x14ac:dyDescent="0.45">
      <c r="A1779" s="19"/>
      <c r="B1779" s="1005" t="s">
        <v>12</v>
      </c>
      <c r="C1779" s="1005"/>
      <c r="D1779" s="1005"/>
      <c r="E1779" s="19" t="s">
        <v>267</v>
      </c>
      <c r="F1779" s="20" t="s">
        <v>13</v>
      </c>
      <c r="G1779" s="1068"/>
      <c r="H1779" s="1069"/>
      <c r="I1779" s="1068" t="s">
        <v>16</v>
      </c>
      <c r="J1779" s="1069"/>
      <c r="K1779" s="992" t="s">
        <v>17</v>
      </c>
      <c r="L1779" s="993"/>
      <c r="M1779" s="25"/>
      <c r="N1779" s="26"/>
      <c r="O1779" s="2"/>
      <c r="P1779" s="27"/>
      <c r="Q1779" s="26"/>
      <c r="R1779" s="28"/>
    </row>
    <row r="1780" spans="1:18" ht="30" customHeight="1" x14ac:dyDescent="0.45">
      <c r="A1780" s="38" t="s">
        <v>268</v>
      </c>
      <c r="B1780" s="994" t="s">
        <v>1192</v>
      </c>
      <c r="C1780" s="994"/>
      <c r="D1780" s="994"/>
      <c r="E1780" s="53">
        <v>6600</v>
      </c>
      <c r="F1780" s="145">
        <v>198</v>
      </c>
      <c r="G1780" s="1261"/>
      <c r="H1780" s="1262"/>
      <c r="I1780" s="1119">
        <f>'[1]2023 MILCON Inflation Table'!F9</f>
        <v>1.6425241517617404</v>
      </c>
      <c r="J1780" s="1120"/>
      <c r="K1780" s="533">
        <f>+F1780*I1780</f>
        <v>325.21978204882458</v>
      </c>
      <c r="L1780" s="38" t="s">
        <v>35</v>
      </c>
      <c r="M1780" s="25"/>
      <c r="N1780" s="26"/>
      <c r="O1780" s="2"/>
      <c r="P1780" s="27"/>
      <c r="Q1780" s="26"/>
      <c r="R1780" s="28"/>
    </row>
    <row r="1781" spans="1:18" ht="30" customHeight="1" thickBot="1" x14ac:dyDescent="0.5">
      <c r="A1781" s="47"/>
      <c r="B1781" s="1092"/>
      <c r="C1781" s="1092"/>
      <c r="D1781" s="1092"/>
      <c r="E1781" s="180"/>
      <c r="F1781" s="181"/>
      <c r="G1781" s="181"/>
      <c r="H1781" s="182"/>
      <c r="I1781" s="58"/>
      <c r="J1781" s="85" t="s">
        <v>39</v>
      </c>
      <c r="K1781" s="534">
        <f>+K1780</f>
        <v>325.21978204882458</v>
      </c>
      <c r="L1781" s="47" t="s">
        <v>35</v>
      </c>
      <c r="M1781" s="25"/>
      <c r="N1781" s="26"/>
      <c r="O1781" s="2"/>
      <c r="P1781" s="27"/>
      <c r="Q1781" s="26"/>
      <c r="R1781" s="28"/>
    </row>
    <row r="1782" spans="1:18" ht="30" customHeight="1" thickBot="1" x14ac:dyDescent="0.5">
      <c r="A1782" s="999"/>
      <c r="B1782" s="1000"/>
      <c r="C1782" s="1000"/>
      <c r="D1782" s="1000"/>
      <c r="E1782" s="1000"/>
      <c r="F1782" s="1000"/>
      <c r="G1782" s="1000"/>
      <c r="H1782" s="1000"/>
      <c r="I1782" s="1000"/>
      <c r="J1782" s="1000"/>
      <c r="K1782" s="1000"/>
      <c r="L1782" s="1001"/>
      <c r="M1782" s="25"/>
      <c r="N1782" s="26"/>
      <c r="O1782" s="2"/>
      <c r="P1782" s="27"/>
      <c r="Q1782" s="26"/>
      <c r="R1782" s="28"/>
    </row>
    <row r="1783" spans="1:18" ht="30" customHeight="1" x14ac:dyDescent="0.45">
      <c r="A1783" s="9" t="s">
        <v>4</v>
      </c>
      <c r="B1783" s="10">
        <v>2185</v>
      </c>
      <c r="C1783" s="1138" t="s">
        <v>1193</v>
      </c>
      <c r="D1783" s="1139"/>
      <c r="E1783" s="13" t="s">
        <v>7</v>
      </c>
      <c r="F1783" s="14" t="s">
        <v>35</v>
      </c>
      <c r="G1783" s="11" t="s">
        <v>6</v>
      </c>
      <c r="H1783" s="184">
        <v>9855.45131979695</v>
      </c>
      <c r="I1783" s="13" t="s">
        <v>9</v>
      </c>
      <c r="J1783" s="985" t="s">
        <v>10</v>
      </c>
      <c r="K1783" s="985"/>
      <c r="L1783" s="986"/>
      <c r="M1783" s="25"/>
      <c r="N1783" s="26"/>
      <c r="O1783" s="2"/>
      <c r="P1783" s="27"/>
      <c r="Q1783" s="26"/>
      <c r="R1783" s="28"/>
    </row>
    <row r="1784" spans="1:18" ht="30" customHeight="1" x14ac:dyDescent="0.45">
      <c r="A1784" s="19" t="s">
        <v>11</v>
      </c>
      <c r="B1784" s="1005" t="s">
        <v>12</v>
      </c>
      <c r="C1784" s="1005"/>
      <c r="D1784" s="1005"/>
      <c r="E1784" s="20" t="s">
        <v>13</v>
      </c>
      <c r="F1784" s="19" t="s">
        <v>267</v>
      </c>
      <c r="G1784" s="1114" t="s">
        <v>79</v>
      </c>
      <c r="H1784" s="1115"/>
      <c r="I1784" s="1068" t="s">
        <v>16</v>
      </c>
      <c r="J1784" s="1069"/>
      <c r="K1784" s="992" t="s">
        <v>17</v>
      </c>
      <c r="L1784" s="993"/>
      <c r="M1784" s="25"/>
      <c r="N1784" s="26"/>
      <c r="O1784" s="2"/>
      <c r="P1784" s="27"/>
      <c r="Q1784" s="26"/>
      <c r="R1784" s="28"/>
    </row>
    <row r="1785" spans="1:18" ht="30" customHeight="1" x14ac:dyDescent="0.45">
      <c r="A1785" s="47">
        <v>44224</v>
      </c>
      <c r="B1785" s="1008" t="s">
        <v>1194</v>
      </c>
      <c r="C1785" s="1009"/>
      <c r="D1785" s="1010"/>
      <c r="E1785" s="221">
        <v>303</v>
      </c>
      <c r="F1785" s="394">
        <v>2515</v>
      </c>
      <c r="G1785" s="29" t="s">
        <v>35</v>
      </c>
      <c r="H1785" s="29"/>
      <c r="I1785" s="1119">
        <f>+'[1]2023 MILCON Inflation Table'!F22</f>
        <v>0.93771935922451721</v>
      </c>
      <c r="J1785" s="1120"/>
      <c r="K1785" s="145">
        <f>+E1785*I1785</f>
        <v>284.12896584502869</v>
      </c>
      <c r="L1785" s="29" t="s">
        <v>35</v>
      </c>
      <c r="N1785" s="26"/>
      <c r="O1785" s="363"/>
      <c r="P1785" s="27"/>
      <c r="Q1785" s="26"/>
      <c r="R1785" s="28"/>
    </row>
    <row r="1786" spans="1:18" ht="30" customHeight="1" thickBot="1" x14ac:dyDescent="0.5">
      <c r="A1786" s="47"/>
      <c r="B1786" s="1008"/>
      <c r="C1786" s="1009"/>
      <c r="D1786" s="1010"/>
      <c r="E1786" s="161"/>
      <c r="F1786" s="415"/>
      <c r="G1786" s="161"/>
      <c r="H1786" s="389"/>
      <c r="I1786" s="58"/>
      <c r="J1786" s="85" t="s">
        <v>39</v>
      </c>
      <c r="K1786" s="216">
        <f>AVERAGE(K1785:K1785)</f>
        <v>284.12896584502869</v>
      </c>
      <c r="L1786" s="29" t="s">
        <v>35</v>
      </c>
      <c r="M1786" s="25"/>
      <c r="N1786" s="26"/>
      <c r="O1786" s="2"/>
      <c r="P1786" s="27"/>
      <c r="Q1786" s="26"/>
      <c r="R1786" s="28"/>
    </row>
    <row r="1787" spans="1:18" ht="30" customHeight="1" thickBot="1" x14ac:dyDescent="0.5">
      <c r="A1787" s="999"/>
      <c r="B1787" s="1000"/>
      <c r="C1787" s="1000"/>
      <c r="D1787" s="1000"/>
      <c r="E1787" s="1000"/>
      <c r="F1787" s="1000"/>
      <c r="G1787" s="1000"/>
      <c r="H1787" s="1000"/>
      <c r="I1787" s="1000"/>
      <c r="J1787" s="1000"/>
      <c r="K1787" s="1000"/>
      <c r="L1787" s="1001"/>
      <c r="M1787" s="25"/>
      <c r="N1787" s="26"/>
      <c r="O1787" s="2"/>
      <c r="P1787" s="27"/>
      <c r="Q1787" s="26"/>
      <c r="R1787" s="28"/>
    </row>
    <row r="1788" spans="1:18" ht="30" customHeight="1" x14ac:dyDescent="0.45">
      <c r="A1788" s="174" t="s">
        <v>4</v>
      </c>
      <c r="B1788" s="175">
        <v>2191</v>
      </c>
      <c r="C1788" s="1002" t="s">
        <v>1195</v>
      </c>
      <c r="D1788" s="1003"/>
      <c r="E1788" s="11" t="s">
        <v>7</v>
      </c>
      <c r="F1788" s="389" t="s">
        <v>35</v>
      </c>
      <c r="G1788" s="11" t="s">
        <v>6</v>
      </c>
      <c r="H1788" s="535">
        <v>5648.9112999999998</v>
      </c>
      <c r="I1788" s="11" t="s">
        <v>9</v>
      </c>
      <c r="J1788" s="985" t="str">
        <f>+$J$318</f>
        <v>Table 2, UFC 3-701-1, 2 March 2023</v>
      </c>
      <c r="K1788" s="985"/>
      <c r="L1788" s="986"/>
      <c r="M1788" s="25"/>
      <c r="N1788" s="26"/>
      <c r="O1788" s="2"/>
      <c r="P1788" s="27"/>
      <c r="Q1788" s="26"/>
      <c r="R1788" s="28"/>
    </row>
    <row r="1789" spans="1:18" ht="30" customHeight="1" x14ac:dyDescent="0.45">
      <c r="A1789" s="19" t="s">
        <v>11</v>
      </c>
      <c r="B1789" s="1005" t="s">
        <v>12</v>
      </c>
      <c r="C1789" s="1005"/>
      <c r="D1789" s="1005"/>
      <c r="E1789" s="132" t="s">
        <v>267</v>
      </c>
      <c r="F1789" s="20" t="s">
        <v>13</v>
      </c>
      <c r="G1789" s="19"/>
      <c r="H1789" s="19"/>
      <c r="I1789" s="1140" t="s">
        <v>60</v>
      </c>
      <c r="J1789" s="1141"/>
      <c r="K1789" s="992" t="s">
        <v>17</v>
      </c>
      <c r="L1789" s="993"/>
      <c r="M1789" s="25"/>
      <c r="N1789" s="26"/>
      <c r="O1789" s="2"/>
      <c r="P1789" s="27"/>
      <c r="Q1789" s="26"/>
      <c r="R1789" s="28"/>
    </row>
    <row r="1790" spans="1:18" ht="30" customHeight="1" x14ac:dyDescent="0.45">
      <c r="A1790" s="29" t="s">
        <v>268</v>
      </c>
      <c r="B1790" s="994" t="s">
        <v>1117</v>
      </c>
      <c r="C1790" s="994"/>
      <c r="D1790" s="994"/>
      <c r="E1790" s="176">
        <v>29000</v>
      </c>
      <c r="F1790" s="145">
        <v>458</v>
      </c>
      <c r="G1790" s="177"/>
      <c r="H1790" s="178"/>
      <c r="I1790" s="1119" t="s">
        <v>270</v>
      </c>
      <c r="J1790" s="1120"/>
      <c r="K1790" s="145">
        <f>+F1790</f>
        <v>458</v>
      </c>
      <c r="L1790" s="29" t="s">
        <v>35</v>
      </c>
      <c r="M1790" s="25"/>
      <c r="N1790" s="26"/>
      <c r="O1790" s="2"/>
      <c r="P1790" s="27"/>
      <c r="Q1790" s="26"/>
      <c r="R1790" s="28"/>
    </row>
    <row r="1791" spans="1:18" ht="30" customHeight="1" thickBot="1" x14ac:dyDescent="0.5">
      <c r="A1791" s="47"/>
      <c r="B1791" s="1092"/>
      <c r="C1791" s="1092"/>
      <c r="D1791" s="1092"/>
      <c r="E1791" s="180"/>
      <c r="F1791" s="181"/>
      <c r="G1791" s="181"/>
      <c r="H1791" s="182"/>
      <c r="I1791" s="58"/>
      <c r="J1791" s="85" t="s">
        <v>39</v>
      </c>
      <c r="K1791" s="216">
        <f>+K1790</f>
        <v>458</v>
      </c>
      <c r="L1791" s="47" t="s">
        <v>35</v>
      </c>
      <c r="M1791" s="25"/>
      <c r="N1791" s="26"/>
      <c r="O1791" s="2"/>
      <c r="P1791" s="27"/>
      <c r="Q1791" s="26"/>
      <c r="R1791" s="28"/>
    </row>
    <row r="1792" spans="1:18" ht="30" customHeight="1" thickBot="1" x14ac:dyDescent="0.5">
      <c r="A1792" s="999"/>
      <c r="B1792" s="1000"/>
      <c r="C1792" s="1000"/>
      <c r="D1792" s="1000"/>
      <c r="E1792" s="1000"/>
      <c r="F1792" s="1000"/>
      <c r="G1792" s="1000"/>
      <c r="H1792" s="1000"/>
      <c r="I1792" s="1000"/>
      <c r="J1792" s="1000"/>
      <c r="K1792" s="1000"/>
      <c r="L1792" s="1001"/>
      <c r="M1792" s="25"/>
      <c r="N1792" s="26"/>
      <c r="O1792" s="2"/>
      <c r="P1792" s="27"/>
      <c r="Q1792" s="26"/>
      <c r="R1792" s="28"/>
    </row>
    <row r="1793" spans="1:18" ht="30" customHeight="1" x14ac:dyDescent="0.45">
      <c r="A1793" s="9" t="s">
        <v>4</v>
      </c>
      <c r="B1793" s="10">
        <v>2192</v>
      </c>
      <c r="C1793" s="983" t="s">
        <v>1196</v>
      </c>
      <c r="D1793" s="984"/>
      <c r="E1793" s="13" t="s">
        <v>7</v>
      </c>
      <c r="F1793" s="14" t="s">
        <v>88</v>
      </c>
      <c r="G1793" s="11" t="s">
        <v>148</v>
      </c>
      <c r="H1793" s="300">
        <v>1</v>
      </c>
      <c r="I1793" s="13" t="s">
        <v>9</v>
      </c>
      <c r="J1793" s="985" t="s">
        <v>10</v>
      </c>
      <c r="K1793" s="985"/>
      <c r="L1793" s="986"/>
      <c r="M1793" s="25"/>
      <c r="O1793" s="27"/>
      <c r="P1793" s="26"/>
      <c r="Q1793" s="28"/>
    </row>
    <row r="1794" spans="1:18" ht="30" customHeight="1" x14ac:dyDescent="0.45">
      <c r="A1794" s="19" t="s">
        <v>11</v>
      </c>
      <c r="B1794" s="1005" t="s">
        <v>12</v>
      </c>
      <c r="C1794" s="1005"/>
      <c r="D1794" s="1005"/>
      <c r="E1794" s="20" t="s">
        <v>13</v>
      </c>
      <c r="F1794" s="19" t="s">
        <v>267</v>
      </c>
      <c r="G1794" s="1114" t="s">
        <v>79</v>
      </c>
      <c r="H1794" s="1115"/>
      <c r="I1794" s="1068" t="s">
        <v>16</v>
      </c>
      <c r="J1794" s="1069"/>
      <c r="K1794" s="992" t="s">
        <v>17</v>
      </c>
      <c r="L1794" s="993"/>
      <c r="M1794" s="25"/>
      <c r="N1794" s="26"/>
      <c r="O1794" s="2"/>
      <c r="P1794" s="27"/>
      <c r="Q1794" s="26"/>
      <c r="R1794" s="28"/>
    </row>
    <row r="1795" spans="1:18" ht="30" customHeight="1" x14ac:dyDescent="0.45">
      <c r="A1795" s="29">
        <v>21885</v>
      </c>
      <c r="B1795" s="1101" t="s">
        <v>1150</v>
      </c>
      <c r="C1795" s="1102"/>
      <c r="D1795" s="1103"/>
      <c r="E1795" s="31">
        <v>488</v>
      </c>
      <c r="F1795" s="514">
        <v>29000</v>
      </c>
      <c r="G1795" s="29">
        <v>1500</v>
      </c>
      <c r="H1795" s="29" t="s">
        <v>296</v>
      </c>
      <c r="I1795" s="1119">
        <f>+'[1]2023 MILCON Inflation Table'!F22</f>
        <v>0.93771935922451721</v>
      </c>
      <c r="J1795" s="1120"/>
      <c r="K1795" s="145">
        <f>+E1795*G1795*I1795</f>
        <v>686410.57095234655</v>
      </c>
      <c r="L1795" s="29" t="s">
        <v>88</v>
      </c>
      <c r="N1795" s="26"/>
      <c r="O1795" s="363"/>
      <c r="P1795" s="27"/>
      <c r="Q1795" s="26"/>
      <c r="R1795" s="28"/>
    </row>
    <row r="1796" spans="1:18" ht="30" customHeight="1" x14ac:dyDescent="0.45">
      <c r="A1796" s="47"/>
      <c r="B1796" s="1018" t="s">
        <v>1197</v>
      </c>
      <c r="C1796" s="1019"/>
      <c r="D1796" s="1020"/>
      <c r="E1796" s="221"/>
      <c r="F1796" s="47"/>
      <c r="G1796" s="387"/>
      <c r="H1796" s="47"/>
      <c r="I1796" s="47"/>
      <c r="J1796" s="365"/>
      <c r="K1796" s="221"/>
      <c r="L1796" s="47"/>
      <c r="M1796" s="25"/>
      <c r="N1796" s="26"/>
      <c r="O1796" s="2"/>
      <c r="P1796" s="27"/>
      <c r="Q1796" s="26"/>
      <c r="R1796" s="28"/>
    </row>
    <row r="1797" spans="1:18" ht="30" customHeight="1" thickBot="1" x14ac:dyDescent="0.5">
      <c r="A1797" s="47"/>
      <c r="B1797" s="47"/>
      <c r="C1797" s="58"/>
      <c r="D1797" s="58"/>
      <c r="E1797" s="58"/>
      <c r="F1797" s="1320"/>
      <c r="G1797" s="1321"/>
      <c r="H1797" s="1321"/>
      <c r="I1797" s="1321"/>
      <c r="J1797" s="85" t="s">
        <v>39</v>
      </c>
      <c r="K1797" s="363">
        <f>+K1795</f>
        <v>686410.57095234655</v>
      </c>
      <c r="L1797" s="47" t="s">
        <v>88</v>
      </c>
      <c r="M1797" s="25"/>
      <c r="N1797" s="26"/>
      <c r="O1797" s="2"/>
      <c r="P1797" s="27"/>
      <c r="Q1797" s="26"/>
      <c r="R1797" s="28"/>
    </row>
    <row r="1798" spans="1:18" ht="30" customHeight="1" thickBot="1" x14ac:dyDescent="0.5">
      <c r="A1798" s="999"/>
      <c r="B1798" s="1000"/>
      <c r="C1798" s="1000"/>
      <c r="D1798" s="1000"/>
      <c r="E1798" s="1000"/>
      <c r="F1798" s="1000"/>
      <c r="G1798" s="1000"/>
      <c r="H1798" s="1000"/>
      <c r="I1798" s="1000"/>
      <c r="J1798" s="1000"/>
      <c r="K1798" s="1000"/>
      <c r="L1798" s="1001"/>
      <c r="M1798" s="25"/>
      <c r="N1798" s="26"/>
      <c r="O1798" s="2"/>
      <c r="P1798" s="27"/>
      <c r="Q1798" s="26"/>
      <c r="R1798" s="28"/>
    </row>
    <row r="1799" spans="1:18" ht="30" customHeight="1" x14ac:dyDescent="0.45">
      <c r="A1799" s="9" t="s">
        <v>4</v>
      </c>
      <c r="B1799" s="10">
        <v>2211</v>
      </c>
      <c r="C1799" s="1163" t="s">
        <v>1198</v>
      </c>
      <c r="D1799" s="1164"/>
      <c r="E1799" s="13" t="s">
        <v>7</v>
      </c>
      <c r="F1799" s="14" t="s">
        <v>35</v>
      </c>
      <c r="G1799" s="11" t="s">
        <v>6</v>
      </c>
      <c r="H1799" s="512">
        <v>62118.059440559402</v>
      </c>
      <c r="I1799" s="13" t="s">
        <v>9</v>
      </c>
      <c r="J1799" s="985" t="s">
        <v>276</v>
      </c>
      <c r="K1799" s="985"/>
      <c r="L1799" s="986"/>
      <c r="M1799" s="25"/>
      <c r="N1799" s="26"/>
      <c r="O1799" s="2"/>
      <c r="P1799" s="27"/>
      <c r="Q1799" s="26"/>
      <c r="R1799" s="28"/>
    </row>
    <row r="1800" spans="1:18" ht="30" customHeight="1" x14ac:dyDescent="0.45">
      <c r="A1800" s="85" t="s">
        <v>277</v>
      </c>
      <c r="B1800" s="987" t="s">
        <v>293</v>
      </c>
      <c r="C1800" s="988"/>
      <c r="D1800" s="989"/>
      <c r="E1800" s="220" t="s">
        <v>13</v>
      </c>
      <c r="F1800" s="220" t="s">
        <v>14</v>
      </c>
      <c r="G1800" s="992" t="s">
        <v>15</v>
      </c>
      <c r="H1800" s="993"/>
      <c r="I1800" s="504" t="s">
        <v>1044</v>
      </c>
      <c r="J1800" s="19" t="s">
        <v>278</v>
      </c>
      <c r="K1800" s="992" t="s">
        <v>17</v>
      </c>
      <c r="L1800" s="993"/>
      <c r="M1800" s="25"/>
      <c r="N1800" s="26"/>
      <c r="O1800" s="2"/>
      <c r="P1800" s="27"/>
      <c r="Q1800" s="26"/>
      <c r="R1800" s="28"/>
    </row>
    <row r="1801" spans="1:18" ht="30" customHeight="1" x14ac:dyDescent="0.45">
      <c r="A1801" s="47" t="s">
        <v>1045</v>
      </c>
      <c r="B1801" s="1142" t="s">
        <v>1168</v>
      </c>
      <c r="C1801" s="1117"/>
      <c r="D1801" s="1118"/>
      <c r="E1801" s="221">
        <f>205-3.15</f>
        <v>201.85</v>
      </c>
      <c r="F1801" s="47" t="s">
        <v>35</v>
      </c>
      <c r="G1801" s="348"/>
      <c r="H1801" s="349"/>
      <c r="I1801" s="505">
        <f>+E1801</f>
        <v>201.85</v>
      </c>
      <c r="J1801" s="47">
        <v>1.1299999999999999</v>
      </c>
      <c r="K1801" s="378">
        <f>+I1801*J1801</f>
        <v>228.09049999999996</v>
      </c>
      <c r="L1801" s="47" t="s">
        <v>35</v>
      </c>
      <c r="N1801" s="186"/>
      <c r="O1801" s="2"/>
      <c r="P1801" s="27"/>
      <c r="Q1801" s="26"/>
      <c r="R1801" s="28"/>
    </row>
    <row r="1802" spans="1:18" ht="40.5" customHeight="1" x14ac:dyDescent="0.45">
      <c r="A1802" s="47" t="s">
        <v>358</v>
      </c>
      <c r="B1802" s="1018" t="s">
        <v>1199</v>
      </c>
      <c r="C1802" s="1019"/>
      <c r="D1802" s="1020"/>
      <c r="E1802" s="1">
        <v>3.93</v>
      </c>
      <c r="F1802" s="47" t="s">
        <v>35</v>
      </c>
      <c r="G1802" s="42"/>
      <c r="H1802" s="206"/>
      <c r="I1802" s="506">
        <f>+E1802</f>
        <v>3.93</v>
      </c>
      <c r="J1802" s="47">
        <v>1.1299999999999999</v>
      </c>
      <c r="K1802" s="378">
        <f t="shared" ref="K1802:K1809" si="46">+I1802*J1802</f>
        <v>4.4409000000000001</v>
      </c>
      <c r="L1802" s="47" t="s">
        <v>35</v>
      </c>
      <c r="M1802" s="25"/>
      <c r="N1802" s="26"/>
      <c r="O1802" s="2"/>
      <c r="P1802" s="27"/>
      <c r="Q1802" s="26"/>
      <c r="R1802" s="28"/>
    </row>
    <row r="1803" spans="1:18" ht="30" customHeight="1" x14ac:dyDescent="0.45">
      <c r="A1803" s="47" t="s">
        <v>358</v>
      </c>
      <c r="B1803" s="1018" t="s">
        <v>1048</v>
      </c>
      <c r="C1803" s="1019"/>
      <c r="D1803" s="1020"/>
      <c r="E1803" s="216">
        <f xml:space="preserve"> 0.72+((1.42+2.11)/2)</f>
        <v>2.4849999999999999</v>
      </c>
      <c r="F1803" s="222" t="s">
        <v>35</v>
      </c>
      <c r="G1803" s="42"/>
      <c r="H1803" s="206"/>
      <c r="I1803" s="506">
        <f>+E1803</f>
        <v>2.4849999999999999</v>
      </c>
      <c r="J1803" s="47">
        <v>1.1299999999999999</v>
      </c>
      <c r="K1803" s="378">
        <f t="shared" si="46"/>
        <v>2.8080499999999997</v>
      </c>
      <c r="L1803" s="47" t="s">
        <v>35</v>
      </c>
      <c r="M1803" s="25"/>
      <c r="N1803" s="186"/>
      <c r="O1803" s="2"/>
      <c r="P1803" s="27"/>
      <c r="Q1803" s="26"/>
      <c r="R1803" s="28"/>
    </row>
    <row r="1804" spans="1:18" ht="30" customHeight="1" x14ac:dyDescent="0.45">
      <c r="A1804" s="47" t="s">
        <v>470</v>
      </c>
      <c r="B1804" s="1018" t="s">
        <v>1200</v>
      </c>
      <c r="C1804" s="1019"/>
      <c r="D1804" s="1020"/>
      <c r="E1804" s="221">
        <v>258000</v>
      </c>
      <c r="F1804" s="222" t="s">
        <v>88</v>
      </c>
      <c r="G1804" s="42"/>
      <c r="H1804" s="206"/>
      <c r="I1804" s="506">
        <f>+E1804*2/H1799</f>
        <v>8.3067630355349227</v>
      </c>
      <c r="J1804" s="47">
        <v>1.26</v>
      </c>
      <c r="K1804" s="378">
        <f>+I1804*J1804</f>
        <v>10.466521424774003</v>
      </c>
      <c r="L1804" s="47" t="s">
        <v>35</v>
      </c>
      <c r="M1804" s="25"/>
      <c r="N1804" s="186"/>
      <c r="O1804" s="2"/>
      <c r="P1804" s="27"/>
      <c r="Q1804" s="26"/>
      <c r="R1804" s="28"/>
    </row>
    <row r="1805" spans="1:18" ht="30" customHeight="1" x14ac:dyDescent="0.45">
      <c r="A1805" s="47" t="s">
        <v>1050</v>
      </c>
      <c r="B1805" s="1018" t="s">
        <v>1201</v>
      </c>
      <c r="C1805" s="1019"/>
      <c r="D1805" s="1020"/>
      <c r="E1805" s="221">
        <f>(24+37.25)/2</f>
        <v>30.625</v>
      </c>
      <c r="F1805" s="222" t="s">
        <v>35</v>
      </c>
      <c r="G1805" s="42">
        <f>120*12</f>
        <v>1440</v>
      </c>
      <c r="H1805" s="206" t="s">
        <v>479</v>
      </c>
      <c r="I1805" s="506">
        <f>+E1805*G1805/H1799</f>
        <v>0.7099384687346707</v>
      </c>
      <c r="J1805" s="47">
        <v>1.22</v>
      </c>
      <c r="K1805" s="378">
        <f t="shared" si="46"/>
        <v>0.86612493185629824</v>
      </c>
      <c r="L1805" s="47" t="s">
        <v>35</v>
      </c>
      <c r="M1805" s="25"/>
      <c r="N1805" s="63"/>
      <c r="O1805" s="2"/>
      <c r="P1805" s="27"/>
      <c r="Q1805" s="26"/>
      <c r="R1805" s="28"/>
    </row>
    <row r="1806" spans="1:18" ht="30" customHeight="1" x14ac:dyDescent="0.45">
      <c r="A1806" s="47" t="s">
        <v>1050</v>
      </c>
      <c r="B1806" s="1018" t="s">
        <v>1202</v>
      </c>
      <c r="C1806" s="1019"/>
      <c r="D1806" s="1020"/>
      <c r="E1806" s="221">
        <f>(2020+2850)/2</f>
        <v>2435</v>
      </c>
      <c r="F1806" s="222" t="s">
        <v>88</v>
      </c>
      <c r="G1806" s="42"/>
      <c r="H1806" s="206"/>
      <c r="I1806" s="506">
        <f>12*E1806/H1799</f>
        <v>0.47039460445412878</v>
      </c>
      <c r="J1806" s="47">
        <v>1.22</v>
      </c>
      <c r="K1806" s="378">
        <f t="shared" si="46"/>
        <v>0.57388141743403709</v>
      </c>
      <c r="L1806" s="47" t="s">
        <v>35</v>
      </c>
      <c r="M1806" s="25"/>
      <c r="N1806" s="63"/>
      <c r="O1806" s="2"/>
      <c r="P1806" s="27"/>
      <c r="Q1806" s="26"/>
      <c r="R1806" s="28"/>
    </row>
    <row r="1807" spans="1:18" ht="30" customHeight="1" x14ac:dyDescent="0.45">
      <c r="A1807" s="47" t="s">
        <v>1055</v>
      </c>
      <c r="B1807" s="1018" t="s">
        <v>1203</v>
      </c>
      <c r="C1807" s="1019"/>
      <c r="D1807" s="1020"/>
      <c r="E1807" s="221">
        <v>72.38</v>
      </c>
      <c r="F1807" s="222" t="s">
        <v>113</v>
      </c>
      <c r="G1807" s="42">
        <f>12*10</f>
        <v>120</v>
      </c>
      <c r="H1807" s="206" t="s">
        <v>1204</v>
      </c>
      <c r="I1807" s="506">
        <f>+E1807*G1807/$H$1799</f>
        <v>0.13982407174698083</v>
      </c>
      <c r="J1807" s="47">
        <v>1.1200000000000001</v>
      </c>
      <c r="K1807" s="378">
        <f t="shared" si="46"/>
        <v>0.15660296035661855</v>
      </c>
      <c r="L1807" s="47" t="s">
        <v>35</v>
      </c>
      <c r="M1807" s="25"/>
      <c r="N1807" s="26"/>
      <c r="O1807" s="2"/>
      <c r="P1807" s="27"/>
      <c r="Q1807" s="26"/>
      <c r="R1807" s="28"/>
    </row>
    <row r="1808" spans="1:18" ht="30" customHeight="1" x14ac:dyDescent="0.45">
      <c r="A1808" s="47" t="s">
        <v>1055</v>
      </c>
      <c r="B1808" s="1018" t="s">
        <v>1057</v>
      </c>
      <c r="C1808" s="1019"/>
      <c r="D1808" s="1020"/>
      <c r="E1808" s="221">
        <f>+(8000+15300)/2</f>
        <v>11650</v>
      </c>
      <c r="F1808" s="222" t="s">
        <v>88</v>
      </c>
      <c r="G1808" s="42">
        <v>12</v>
      </c>
      <c r="H1808" s="206" t="s">
        <v>1061</v>
      </c>
      <c r="I1808" s="506">
        <f>+E1808*G1808/$H$1799</f>
        <v>2.2505532410228337</v>
      </c>
      <c r="J1808" s="47">
        <v>1.1200000000000001</v>
      </c>
      <c r="K1808" s="378">
        <f t="shared" si="46"/>
        <v>2.5206196299455739</v>
      </c>
      <c r="L1808" s="47" t="s">
        <v>35</v>
      </c>
      <c r="M1808" s="25"/>
      <c r="N1808" s="26"/>
      <c r="O1808" s="2"/>
      <c r="P1808" s="27"/>
      <c r="Q1808" s="26"/>
      <c r="R1808" s="28"/>
    </row>
    <row r="1809" spans="1:18" ht="30" customHeight="1" x14ac:dyDescent="0.45">
      <c r="A1809" s="47" t="s">
        <v>1055</v>
      </c>
      <c r="B1809" s="1018" t="s">
        <v>1058</v>
      </c>
      <c r="C1809" s="1019"/>
      <c r="D1809" s="1020"/>
      <c r="E1809" s="1">
        <f>+(820+1260)/2</f>
        <v>1040</v>
      </c>
      <c r="F1809" s="222" t="s">
        <v>88</v>
      </c>
      <c r="G1809" s="42">
        <v>12</v>
      </c>
      <c r="H1809" s="206" t="s">
        <v>1061</v>
      </c>
      <c r="I1809" s="506">
        <f>+E1809*G1809/$H$1799</f>
        <v>0.20090775713851908</v>
      </c>
      <c r="J1809" s="47">
        <v>1.1200000000000001</v>
      </c>
      <c r="K1809" s="378">
        <f t="shared" si="46"/>
        <v>0.22501668799514138</v>
      </c>
      <c r="L1809" s="47" t="s">
        <v>35</v>
      </c>
      <c r="M1809" s="25"/>
      <c r="N1809" s="26"/>
      <c r="O1809" s="2"/>
      <c r="P1809" s="27"/>
      <c r="Q1809" s="26"/>
      <c r="R1809" s="28"/>
    </row>
    <row r="1810" spans="1:18" ht="30" customHeight="1" x14ac:dyDescent="0.45">
      <c r="A1810" s="47"/>
      <c r="B1810" s="1018"/>
      <c r="C1810" s="1019"/>
      <c r="D1810" s="1020"/>
      <c r="E1810" s="221"/>
      <c r="F1810" s="47"/>
      <c r="G1810" s="58"/>
      <c r="H1810" s="179"/>
      <c r="I1810" s="179"/>
      <c r="J1810" s="47" t="s">
        <v>360</v>
      </c>
      <c r="K1810" s="221">
        <f>SUM(K1801:K1809)</f>
        <v>250.14821705236164</v>
      </c>
      <c r="L1810" s="47" t="s">
        <v>35</v>
      </c>
      <c r="M1810" s="25"/>
      <c r="N1810" s="26"/>
      <c r="O1810" s="2"/>
      <c r="P1810" s="27"/>
      <c r="Q1810" s="26"/>
      <c r="R1810" s="28"/>
    </row>
    <row r="1811" spans="1:18" ht="30" customHeight="1" x14ac:dyDescent="0.45">
      <c r="A1811" s="47"/>
      <c r="B1811" s="224"/>
      <c r="C1811" s="224"/>
      <c r="D1811" s="224"/>
      <c r="E1811" s="224"/>
      <c r="F1811" s="1011" t="s">
        <v>285</v>
      </c>
      <c r="G1811" s="1175" t="s">
        <v>286</v>
      </c>
      <c r="H1811" s="1086"/>
      <c r="I1811" s="1086"/>
      <c r="J1811" s="1087"/>
      <c r="K1811" s="278">
        <v>1.04</v>
      </c>
      <c r="L1811" s="47"/>
      <c r="M1811" s="25"/>
      <c r="N1811" s="26"/>
      <c r="O1811" s="2"/>
      <c r="P1811" s="27"/>
      <c r="Q1811" s="26"/>
      <c r="R1811" s="28"/>
    </row>
    <row r="1812" spans="1:18" ht="30" customHeight="1" x14ac:dyDescent="0.45">
      <c r="A1812" s="47"/>
      <c r="B1812" s="224"/>
      <c r="C1812" s="224"/>
      <c r="D1812" s="224"/>
      <c r="E1812" s="224"/>
      <c r="F1812" s="1012"/>
      <c r="G1812" s="1014" t="s">
        <v>287</v>
      </c>
      <c r="H1812" s="1014"/>
      <c r="I1812" s="1014"/>
      <c r="J1812" s="1014"/>
      <c r="K1812" s="278">
        <v>1.05</v>
      </c>
      <c r="L1812" s="47"/>
      <c r="M1812" s="25"/>
      <c r="N1812" s="26"/>
      <c r="O1812" s="2"/>
      <c r="P1812" s="27"/>
      <c r="Q1812" s="26"/>
      <c r="R1812" s="28"/>
    </row>
    <row r="1813" spans="1:18" ht="30" customHeight="1" x14ac:dyDescent="0.45">
      <c r="A1813" s="47"/>
      <c r="B1813" s="47"/>
      <c r="C1813" s="58"/>
      <c r="D1813" s="58"/>
      <c r="E1813" s="58"/>
      <c r="F1813" s="58"/>
      <c r="G1813" s="58"/>
      <c r="H1813" s="58"/>
      <c r="I1813" s="58"/>
      <c r="J1813" s="47" t="s">
        <v>39</v>
      </c>
      <c r="K1813" s="216">
        <f>+K1810*K1811/K1812</f>
        <v>247.76585308043437</v>
      </c>
      <c r="L1813" s="47" t="s">
        <v>35</v>
      </c>
      <c r="M1813" s="25"/>
      <c r="N1813" s="26"/>
      <c r="O1813" s="2"/>
      <c r="P1813" s="27"/>
      <c r="Q1813" s="26"/>
      <c r="R1813" s="28"/>
    </row>
    <row r="1814" spans="1:18" ht="30" customHeight="1" thickBot="1" x14ac:dyDescent="0.5">
      <c r="A1814" s="301"/>
      <c r="B1814" s="301"/>
      <c r="C1814" s="302"/>
      <c r="D1814" s="302"/>
      <c r="E1814" s="302"/>
      <c r="F1814" s="302"/>
      <c r="G1814" s="1320" t="s">
        <v>288</v>
      </c>
      <c r="H1814" s="1321"/>
      <c r="I1814" s="1322"/>
      <c r="J1814" s="213">
        <f>VLOOKUP(B1799,'[1]Mil Cost Premiums for PUCs'!$A$4:$R$278,18,FALSE)</f>
        <v>1.1932356231980656</v>
      </c>
      <c r="K1814" s="216">
        <f>+K1813*J1814</f>
        <v>295.64304210763248</v>
      </c>
      <c r="L1814" s="47" t="s">
        <v>35</v>
      </c>
      <c r="M1814" s="25"/>
      <c r="N1814" s="26"/>
      <c r="O1814" s="2"/>
      <c r="P1814" s="27"/>
      <c r="Q1814" s="26"/>
      <c r="R1814" s="28"/>
    </row>
    <row r="1815" spans="1:18" ht="30" customHeight="1" thickBot="1" x14ac:dyDescent="0.5">
      <c r="A1815" s="999"/>
      <c r="B1815" s="1000"/>
      <c r="C1815" s="1000"/>
      <c r="D1815" s="1000"/>
      <c r="E1815" s="1000"/>
      <c r="F1815" s="1000"/>
      <c r="G1815" s="1000"/>
      <c r="H1815" s="1000"/>
      <c r="I1815" s="1000"/>
      <c r="J1815" s="1000"/>
      <c r="K1815" s="1000"/>
      <c r="L1815" s="1001"/>
      <c r="M1815" s="25"/>
      <c r="N1815" s="26"/>
      <c r="O1815" s="2"/>
      <c r="P1815" s="27"/>
      <c r="Q1815" s="26"/>
      <c r="R1815" s="28"/>
    </row>
    <row r="1816" spans="1:18" ht="30" customHeight="1" x14ac:dyDescent="0.45">
      <c r="A1816" s="9" t="s">
        <v>4</v>
      </c>
      <c r="B1816" s="10">
        <v>2213</v>
      </c>
      <c r="C1816" s="983" t="s">
        <v>1205</v>
      </c>
      <c r="D1816" s="984"/>
      <c r="E1816" s="13" t="s">
        <v>7</v>
      </c>
      <c r="F1816" s="14" t="s">
        <v>35</v>
      </c>
      <c r="G1816" s="11" t="s">
        <v>6</v>
      </c>
      <c r="H1816" s="300">
        <v>713</v>
      </c>
      <c r="I1816" s="13" t="s">
        <v>9</v>
      </c>
      <c r="J1816" s="985" t="s">
        <v>575</v>
      </c>
      <c r="K1816" s="985"/>
      <c r="L1816" s="986"/>
      <c r="M1816" s="25"/>
      <c r="N1816" s="26"/>
      <c r="O1816" s="2"/>
      <c r="P1816" s="27"/>
      <c r="Q1816" s="26"/>
      <c r="R1816" s="28"/>
    </row>
    <row r="1817" spans="1:18" ht="30" customHeight="1" x14ac:dyDescent="0.45">
      <c r="A1817" s="85" t="s">
        <v>277</v>
      </c>
      <c r="B1817" s="987" t="s">
        <v>293</v>
      </c>
      <c r="C1817" s="988"/>
      <c r="D1817" s="989"/>
      <c r="E1817" s="220" t="s">
        <v>13</v>
      </c>
      <c r="F1817" s="220" t="s">
        <v>14</v>
      </c>
      <c r="G1817" s="990" t="s">
        <v>15</v>
      </c>
      <c r="H1817" s="991"/>
      <c r="I1817" s="19" t="s">
        <v>278</v>
      </c>
      <c r="J1817" s="19"/>
      <c r="K1817" s="992" t="s">
        <v>17</v>
      </c>
      <c r="L1817" s="993"/>
      <c r="M1817" s="25"/>
      <c r="N1817" s="26"/>
      <c r="O1817" s="2"/>
      <c r="P1817" s="27"/>
      <c r="Q1817" s="26"/>
      <c r="R1817" s="28"/>
    </row>
    <row r="1818" spans="1:18" ht="30" customHeight="1" x14ac:dyDescent="0.45">
      <c r="A1818" s="47" t="s">
        <v>1045</v>
      </c>
      <c r="B1818" s="1018" t="s">
        <v>1206</v>
      </c>
      <c r="C1818" s="1019"/>
      <c r="D1818" s="1020"/>
      <c r="E1818" s="221">
        <v>29.5</v>
      </c>
      <c r="F1818" s="47" t="s">
        <v>35</v>
      </c>
      <c r="G1818" s="47"/>
      <c r="H1818" s="47"/>
      <c r="I1818" s="278">
        <v>1.03</v>
      </c>
      <c r="J1818" s="47"/>
      <c r="K1818" s="221">
        <f>+E1818*I1818</f>
        <v>30.385000000000002</v>
      </c>
      <c r="L1818" s="47" t="s">
        <v>35</v>
      </c>
      <c r="M1818" s="25"/>
      <c r="N1818" s="26"/>
      <c r="O1818" s="2"/>
      <c r="P1818" s="27"/>
      <c r="Q1818" s="26"/>
      <c r="R1818" s="28"/>
    </row>
    <row r="1819" spans="1:18" ht="30" customHeight="1" x14ac:dyDescent="0.45">
      <c r="A1819" s="47" t="s">
        <v>358</v>
      </c>
      <c r="B1819" s="1008" t="s">
        <v>1207</v>
      </c>
      <c r="C1819" s="1009"/>
      <c r="D1819" s="1009"/>
      <c r="E1819" s="221">
        <v>4.1500000000000004</v>
      </c>
      <c r="F1819" s="222" t="s">
        <v>35</v>
      </c>
      <c r="G1819" s="58"/>
      <c r="H1819" s="179"/>
      <c r="I1819" s="278">
        <v>1.03</v>
      </c>
      <c r="J1819" s="47"/>
      <c r="K1819" s="221">
        <f>+E1819*I1819</f>
        <v>4.2745000000000006</v>
      </c>
      <c r="L1819" s="47" t="s">
        <v>35</v>
      </c>
      <c r="M1819" s="25"/>
      <c r="N1819" s="26"/>
      <c r="O1819" s="2"/>
      <c r="P1819" s="27"/>
      <c r="Q1819" s="26"/>
      <c r="R1819" s="28"/>
    </row>
    <row r="1820" spans="1:18" ht="30" customHeight="1" x14ac:dyDescent="0.45">
      <c r="A1820" s="47"/>
      <c r="B1820" s="1092"/>
      <c r="C1820" s="1092"/>
      <c r="D1820" s="1092"/>
      <c r="E1820" s="221"/>
      <c r="F1820" s="47"/>
      <c r="G1820" s="58"/>
      <c r="H1820" s="179"/>
      <c r="I1820" s="47"/>
      <c r="J1820" s="47" t="s">
        <v>38</v>
      </c>
      <c r="K1820" s="221">
        <f>SUM(K1818:K1819)</f>
        <v>34.659500000000001</v>
      </c>
      <c r="L1820" s="47" t="s">
        <v>35</v>
      </c>
      <c r="M1820" s="25"/>
      <c r="N1820" s="26"/>
      <c r="O1820" s="2"/>
      <c r="P1820" s="27"/>
      <c r="Q1820" s="26"/>
      <c r="R1820" s="28"/>
    </row>
    <row r="1821" spans="1:18" ht="30" customHeight="1" x14ac:dyDescent="0.45">
      <c r="A1821" s="47"/>
      <c r="B1821" s="224"/>
      <c r="C1821" s="224"/>
      <c r="D1821" s="224"/>
      <c r="E1821" s="221"/>
      <c r="F1821" s="1011" t="s">
        <v>285</v>
      </c>
      <c r="G1821" s="1013" t="s">
        <v>286</v>
      </c>
      <c r="H1821" s="1013"/>
      <c r="I1821" s="1013"/>
      <c r="J1821" s="1013"/>
      <c r="K1821" s="278">
        <v>1.07</v>
      </c>
      <c r="L1821" s="47"/>
      <c r="M1821" s="25"/>
      <c r="N1821" s="26"/>
      <c r="O1821" s="2"/>
      <c r="P1821" s="27"/>
      <c r="Q1821" s="26"/>
      <c r="R1821" s="28"/>
    </row>
    <row r="1822" spans="1:18" ht="30" customHeight="1" x14ac:dyDescent="0.45">
      <c r="A1822" s="225"/>
      <c r="B1822" s="536"/>
      <c r="C1822" s="536"/>
      <c r="D1822" s="536"/>
      <c r="E1822" s="537"/>
      <c r="F1822" s="1197"/>
      <c r="G1822" s="1014" t="s">
        <v>580</v>
      </c>
      <c r="H1822" s="1014"/>
      <c r="I1822" s="1014"/>
      <c r="J1822" s="1014"/>
      <c r="K1822" s="278">
        <v>1.08</v>
      </c>
      <c r="L1822" s="47"/>
      <c r="M1822" s="25"/>
      <c r="N1822" s="26"/>
      <c r="O1822" s="2"/>
      <c r="P1822" s="27"/>
      <c r="Q1822" s="26"/>
      <c r="R1822" s="28"/>
    </row>
    <row r="1823" spans="1:18" ht="30" customHeight="1" x14ac:dyDescent="0.45">
      <c r="A1823" s="531"/>
      <c r="B1823" s="531"/>
      <c r="C1823" s="538"/>
      <c r="D1823" s="538"/>
      <c r="E1823" s="538"/>
      <c r="F1823" s="538"/>
      <c r="G1823" s="538"/>
      <c r="H1823" s="538"/>
      <c r="I1823" s="538"/>
      <c r="J1823" s="223" t="s">
        <v>39</v>
      </c>
      <c r="K1823" s="216">
        <f>+K1820*K1821/K1822</f>
        <v>34.338578703703703</v>
      </c>
      <c r="L1823" s="47" t="s">
        <v>35</v>
      </c>
      <c r="N1823" s="26"/>
      <c r="O1823" s="2"/>
      <c r="P1823" s="27"/>
      <c r="Q1823" s="26"/>
      <c r="R1823" s="28"/>
    </row>
    <row r="1824" spans="1:18" ht="30" customHeight="1" x14ac:dyDescent="0.45">
      <c r="A1824" s="539"/>
      <c r="B1824" s="1052"/>
      <c r="C1824" s="1052"/>
      <c r="D1824" s="1052"/>
      <c r="E1824" s="538"/>
      <c r="F1824" s="538"/>
      <c r="G1824" s="1192" t="s">
        <v>288</v>
      </c>
      <c r="H1824" s="1193"/>
      <c r="I1824" s="1194"/>
      <c r="J1824" s="540">
        <f>VLOOKUP(B1816,'[1]Mil Cost Premiums for PUCs'!$A$4:$R$278,18,FALSE)</f>
        <v>1.1837478839085387</v>
      </c>
      <c r="K1824" s="216">
        <f>+K1823*J1824</f>
        <v>40.648219876936068</v>
      </c>
      <c r="L1824" s="47" t="s">
        <v>35</v>
      </c>
      <c r="M1824" s="25"/>
      <c r="N1824" s="26"/>
      <c r="O1824" s="2"/>
      <c r="P1824" s="27"/>
      <c r="Q1824" s="26"/>
      <c r="R1824" s="28"/>
    </row>
    <row r="1825" spans="1:18" ht="30" customHeight="1" x14ac:dyDescent="0.45">
      <c r="A1825" s="541"/>
      <c r="B1825" s="541"/>
      <c r="C1825" s="542"/>
      <c r="D1825" s="542"/>
      <c r="E1825" s="542"/>
      <c r="F1825" s="1024" t="s">
        <v>581</v>
      </c>
      <c r="G1825" s="1024"/>
      <c r="H1825" s="1024"/>
      <c r="I1825" s="1024"/>
      <c r="J1825" s="543">
        <v>1.0833999999999999</v>
      </c>
      <c r="K1825" s="363">
        <f>K1824*J1825</f>
        <v>44.038281414672532</v>
      </c>
      <c r="L1825" s="225" t="s">
        <v>35</v>
      </c>
      <c r="M1825" s="25"/>
      <c r="N1825" s="26"/>
      <c r="O1825" s="2"/>
      <c r="P1825" s="27"/>
      <c r="Q1825" s="26"/>
      <c r="R1825" s="28"/>
    </row>
    <row r="1826" spans="1:18" ht="30" customHeight="1" thickBot="1" x14ac:dyDescent="0.5">
      <c r="A1826" s="225"/>
      <c r="B1826" s="225"/>
      <c r="C1826" s="150"/>
      <c r="D1826" s="150"/>
      <c r="E1826" s="150"/>
      <c r="F1826" s="150"/>
      <c r="G1826" s="1025" t="s">
        <v>299</v>
      </c>
      <c r="H1826" s="1026"/>
      <c r="I1826" s="1027"/>
      <c r="J1826" s="226">
        <v>1.1214</v>
      </c>
      <c r="K1826" s="227">
        <f>+K1825*J1826</f>
        <v>49.384528778413774</v>
      </c>
      <c r="L1826" s="225" t="s">
        <v>35</v>
      </c>
      <c r="M1826" s="25"/>
    </row>
    <row r="1827" spans="1:18" ht="30" customHeight="1" thickBot="1" x14ac:dyDescent="0.5">
      <c r="A1827" s="1317"/>
      <c r="B1827" s="1318"/>
      <c r="C1827" s="1318"/>
      <c r="D1827" s="1318"/>
      <c r="E1827" s="1318"/>
      <c r="F1827" s="1318"/>
      <c r="G1827" s="1318"/>
      <c r="H1827" s="1318"/>
      <c r="I1827" s="1318"/>
      <c r="J1827" s="1318"/>
      <c r="K1827" s="1318"/>
      <c r="L1827" s="1319"/>
      <c r="M1827" s="25"/>
      <c r="N1827" s="26"/>
      <c r="O1827" s="2"/>
      <c r="P1827" s="27"/>
      <c r="Q1827" s="26"/>
      <c r="R1827" s="28"/>
    </row>
    <row r="1828" spans="1:18" ht="30" customHeight="1" x14ac:dyDescent="0.45">
      <c r="A1828" s="93" t="s">
        <v>4</v>
      </c>
      <c r="B1828" s="76">
        <v>2221</v>
      </c>
      <c r="C1828" s="1073" t="s">
        <v>1208</v>
      </c>
      <c r="D1828" s="1074"/>
      <c r="E1828" s="94" t="s">
        <v>7</v>
      </c>
      <c r="F1828" s="95" t="s">
        <v>35</v>
      </c>
      <c r="G1828" s="102" t="s">
        <v>6</v>
      </c>
      <c r="H1828" s="413">
        <v>12118.6733668341</v>
      </c>
      <c r="I1828" s="94" t="s">
        <v>9</v>
      </c>
      <c r="J1828" s="1088" t="s">
        <v>276</v>
      </c>
      <c r="K1828" s="1088"/>
      <c r="L1828" s="1089"/>
      <c r="M1828" s="25"/>
      <c r="N1828" s="26"/>
      <c r="O1828" s="2"/>
      <c r="P1828" s="27"/>
      <c r="Q1828" s="26"/>
      <c r="R1828" s="28"/>
    </row>
    <row r="1829" spans="1:18" ht="30" customHeight="1" x14ac:dyDescent="0.45">
      <c r="A1829" s="85" t="s">
        <v>277</v>
      </c>
      <c r="B1829" s="987" t="s">
        <v>293</v>
      </c>
      <c r="C1829" s="988"/>
      <c r="D1829" s="989"/>
      <c r="E1829" s="220" t="s">
        <v>13</v>
      </c>
      <c r="F1829" s="220" t="s">
        <v>14</v>
      </c>
      <c r="G1829" s="990" t="s">
        <v>15</v>
      </c>
      <c r="H1829" s="991"/>
      <c r="I1829" s="504" t="s">
        <v>1044</v>
      </c>
      <c r="J1829" s="19" t="s">
        <v>278</v>
      </c>
      <c r="K1829" s="992" t="s">
        <v>17</v>
      </c>
      <c r="L1829" s="993"/>
      <c r="M1829" s="25"/>
      <c r="N1829" s="26"/>
      <c r="O1829" s="2"/>
      <c r="P1829" s="27"/>
      <c r="Q1829" s="26"/>
      <c r="R1829" s="28"/>
    </row>
    <row r="1830" spans="1:18" ht="30" customHeight="1" x14ac:dyDescent="0.45">
      <c r="A1830" s="47" t="s">
        <v>1045</v>
      </c>
      <c r="B1830" s="1142" t="s">
        <v>1168</v>
      </c>
      <c r="C1830" s="1117"/>
      <c r="D1830" s="1118"/>
      <c r="E1830" s="221">
        <f>205-3.15</f>
        <v>201.85</v>
      </c>
      <c r="F1830" s="47" t="s">
        <v>35</v>
      </c>
      <c r="G1830" s="348"/>
      <c r="H1830" s="349"/>
      <c r="I1830" s="505">
        <f>+E1830</f>
        <v>201.85</v>
      </c>
      <c r="J1830" s="47">
        <v>1.1299999999999999</v>
      </c>
      <c r="K1830" s="378">
        <f t="shared" ref="K1830:K1837" si="47">+I1830*J1830</f>
        <v>228.09049999999996</v>
      </c>
      <c r="L1830" s="47" t="s">
        <v>35</v>
      </c>
      <c r="M1830" s="25"/>
      <c r="N1830" s="26"/>
      <c r="O1830" s="2"/>
      <c r="P1830" s="27"/>
      <c r="Q1830" s="26"/>
      <c r="R1830" s="28"/>
    </row>
    <row r="1831" spans="1:18" ht="52.5" customHeight="1" x14ac:dyDescent="0.45">
      <c r="A1831" s="47" t="s">
        <v>358</v>
      </c>
      <c r="B1831" s="1092" t="s">
        <v>365</v>
      </c>
      <c r="C1831" s="1092"/>
      <c r="D1831" s="1092"/>
      <c r="E1831" s="216">
        <v>5.38</v>
      </c>
      <c r="F1831" s="47" t="s">
        <v>35</v>
      </c>
      <c r="G1831" s="42"/>
      <c r="H1831" s="206"/>
      <c r="I1831" s="506">
        <f>+E1831</f>
        <v>5.38</v>
      </c>
      <c r="J1831" s="47">
        <v>1.1299999999999999</v>
      </c>
      <c r="K1831" s="378">
        <f t="shared" si="47"/>
        <v>6.0793999999999997</v>
      </c>
      <c r="L1831" s="47" t="s">
        <v>35</v>
      </c>
      <c r="M1831" s="25"/>
      <c r="N1831" s="26"/>
      <c r="O1831" s="2"/>
      <c r="P1831" s="27"/>
      <c r="Q1831" s="26"/>
      <c r="R1831" s="28"/>
    </row>
    <row r="1832" spans="1:18" ht="30" customHeight="1" x14ac:dyDescent="0.45">
      <c r="A1832" s="47" t="s">
        <v>358</v>
      </c>
      <c r="B1832" s="1018" t="s">
        <v>1047</v>
      </c>
      <c r="C1832" s="1019"/>
      <c r="D1832" s="1020"/>
      <c r="E1832" s="216">
        <f>0.15*E1831</f>
        <v>0.80699999999999994</v>
      </c>
      <c r="F1832" s="222" t="s">
        <v>35</v>
      </c>
      <c r="G1832" s="42"/>
      <c r="H1832" s="206"/>
      <c r="I1832" s="506">
        <f>+E1832</f>
        <v>0.80699999999999994</v>
      </c>
      <c r="J1832" s="47">
        <v>1.1299999999999999</v>
      </c>
      <c r="K1832" s="378">
        <f t="shared" si="47"/>
        <v>0.91190999999999989</v>
      </c>
      <c r="L1832" s="47" t="s">
        <v>35</v>
      </c>
      <c r="M1832" s="25"/>
      <c r="N1832" s="26"/>
      <c r="O1832" s="2"/>
      <c r="P1832" s="27"/>
      <c r="Q1832" s="26"/>
      <c r="R1832" s="28"/>
    </row>
    <row r="1833" spans="1:18" ht="30" customHeight="1" x14ac:dyDescent="0.45">
      <c r="A1833" s="47" t="s">
        <v>358</v>
      </c>
      <c r="B1833" s="1092" t="s">
        <v>1048</v>
      </c>
      <c r="C1833" s="1092"/>
      <c r="D1833" s="1092"/>
      <c r="E1833" s="216">
        <f xml:space="preserve"> 0.72+((1.42+2.11)/2)</f>
        <v>2.4849999999999999</v>
      </c>
      <c r="F1833" s="47" t="s">
        <v>35</v>
      </c>
      <c r="G1833" s="42"/>
      <c r="H1833" s="206"/>
      <c r="I1833" s="506">
        <f>+E1833</f>
        <v>2.4849999999999999</v>
      </c>
      <c r="J1833" s="47">
        <v>1.1299999999999999</v>
      </c>
      <c r="K1833" s="378">
        <f t="shared" si="47"/>
        <v>2.8080499999999997</v>
      </c>
      <c r="L1833" s="47" t="s">
        <v>35</v>
      </c>
      <c r="M1833" s="25"/>
      <c r="N1833" s="26"/>
      <c r="O1833" s="2"/>
      <c r="P1833" s="27"/>
      <c r="Q1833" s="26"/>
      <c r="R1833" s="28"/>
    </row>
    <row r="1834" spans="1:18" ht="30" customHeight="1" x14ac:dyDescent="0.45">
      <c r="A1834" s="47" t="s">
        <v>470</v>
      </c>
      <c r="B1834" s="1018" t="s">
        <v>1209</v>
      </c>
      <c r="C1834" s="1019"/>
      <c r="D1834" s="1020"/>
      <c r="E1834" s="221">
        <v>204000</v>
      </c>
      <c r="F1834" s="222" t="s">
        <v>88</v>
      </c>
      <c r="G1834" s="42"/>
      <c r="H1834" s="206"/>
      <c r="I1834" s="506">
        <f>+E1834/H1828</f>
        <v>16.833525735440567</v>
      </c>
      <c r="J1834" s="47">
        <v>1.26</v>
      </c>
      <c r="K1834" s="378">
        <f t="shared" si="47"/>
        <v>21.210242426655114</v>
      </c>
      <c r="L1834" s="47" t="s">
        <v>35</v>
      </c>
      <c r="M1834" s="25"/>
      <c r="N1834" s="26"/>
      <c r="O1834" s="2"/>
      <c r="P1834" s="27"/>
      <c r="Q1834" s="26"/>
      <c r="R1834" s="28"/>
    </row>
    <row r="1835" spans="1:18" ht="30" customHeight="1" x14ac:dyDescent="0.45">
      <c r="A1835" s="47" t="s">
        <v>1050</v>
      </c>
      <c r="B1835" s="1018" t="s">
        <v>1210</v>
      </c>
      <c r="C1835" s="1019"/>
      <c r="D1835" s="1020"/>
      <c r="E1835" s="221">
        <f>(24+37.25)/2</f>
        <v>30.625</v>
      </c>
      <c r="F1835" s="222" t="s">
        <v>35</v>
      </c>
      <c r="G1835" s="42">
        <f>120*4</f>
        <v>480</v>
      </c>
      <c r="H1835" s="206" t="s">
        <v>479</v>
      </c>
      <c r="I1835" s="506">
        <f>+E1835*G1835/H1828</f>
        <v>1.2130040603479231</v>
      </c>
      <c r="J1835" s="47">
        <v>1.22</v>
      </c>
      <c r="K1835" s="378">
        <f t="shared" si="47"/>
        <v>1.4798649536244661</v>
      </c>
      <c r="L1835" s="47" t="s">
        <v>35</v>
      </c>
      <c r="M1835" s="25"/>
      <c r="N1835" s="26"/>
      <c r="O1835" s="2"/>
      <c r="P1835" s="27"/>
      <c r="Q1835" s="26"/>
      <c r="R1835" s="28"/>
    </row>
    <row r="1836" spans="1:18" ht="30" customHeight="1" x14ac:dyDescent="0.45">
      <c r="A1836" s="47" t="s">
        <v>1050</v>
      </c>
      <c r="B1836" s="1018" t="s">
        <v>1211</v>
      </c>
      <c r="C1836" s="1019"/>
      <c r="D1836" s="1020"/>
      <c r="E1836" s="221">
        <f>(2020+2850)/2</f>
        <v>2435</v>
      </c>
      <c r="F1836" s="222" t="s">
        <v>88</v>
      </c>
      <c r="G1836" s="42"/>
      <c r="H1836" s="206"/>
      <c r="I1836" s="506">
        <f>4*E1836/H1828</f>
        <v>0.80371833658427017</v>
      </c>
      <c r="J1836" s="47">
        <v>1.22</v>
      </c>
      <c r="K1836" s="378">
        <f t="shared" si="47"/>
        <v>0.98053637063280963</v>
      </c>
      <c r="L1836" s="47" t="s">
        <v>35</v>
      </c>
      <c r="M1836" s="25"/>
      <c r="N1836" s="26"/>
      <c r="O1836" s="2"/>
      <c r="P1836" s="27"/>
      <c r="Q1836" s="26"/>
      <c r="R1836" s="28"/>
    </row>
    <row r="1837" spans="1:18" ht="30" customHeight="1" x14ac:dyDescent="0.45">
      <c r="A1837" s="47" t="s">
        <v>1055</v>
      </c>
      <c r="B1837" s="1018" t="s">
        <v>1203</v>
      </c>
      <c r="C1837" s="1019"/>
      <c r="D1837" s="1020"/>
      <c r="E1837" s="221">
        <v>72.38</v>
      </c>
      <c r="F1837" s="222" t="s">
        <v>113</v>
      </c>
      <c r="G1837" s="42">
        <f>4*10</f>
        <v>40</v>
      </c>
      <c r="H1837" s="206" t="s">
        <v>1204</v>
      </c>
      <c r="I1837" s="506">
        <f>+E1837*G1837/H1828</f>
        <v>0.23890403779042904</v>
      </c>
      <c r="J1837" s="47">
        <v>1.1200000000000001</v>
      </c>
      <c r="K1837" s="378">
        <f t="shared" si="47"/>
        <v>0.26757252232528056</v>
      </c>
      <c r="L1837" s="47" t="s">
        <v>35</v>
      </c>
      <c r="M1837" s="25"/>
      <c r="N1837" s="26"/>
      <c r="O1837" s="2"/>
      <c r="P1837" s="27"/>
      <c r="Q1837" s="26"/>
      <c r="R1837" s="28"/>
    </row>
    <row r="1838" spans="1:18" ht="30" customHeight="1" x14ac:dyDescent="0.45">
      <c r="A1838" s="47"/>
      <c r="B1838" s="1282"/>
      <c r="C1838" s="1282"/>
      <c r="D1838" s="1282"/>
      <c r="E1838" s="221"/>
      <c r="F1838" s="47"/>
      <c r="G1838" s="58"/>
      <c r="H1838" s="179"/>
      <c r="I1838" s="47"/>
      <c r="J1838" s="47" t="s">
        <v>38</v>
      </c>
      <c r="K1838" s="221">
        <f>SUM(K1830:K1837)</f>
        <v>261.82807627323768</v>
      </c>
      <c r="L1838" s="47" t="s">
        <v>35</v>
      </c>
      <c r="M1838" s="25"/>
      <c r="N1838" s="26"/>
      <c r="O1838" s="2"/>
      <c r="P1838" s="27"/>
      <c r="Q1838" s="26"/>
      <c r="R1838" s="28"/>
    </row>
    <row r="1839" spans="1:18" ht="30" customHeight="1" x14ac:dyDescent="0.45">
      <c r="A1839" s="47"/>
      <c r="B1839" s="224"/>
      <c r="C1839" s="224"/>
      <c r="D1839" s="224"/>
      <c r="E1839" s="221"/>
      <c r="F1839" s="1011" t="s">
        <v>285</v>
      </c>
      <c r="G1839" s="1013" t="s">
        <v>286</v>
      </c>
      <c r="H1839" s="1013"/>
      <c r="I1839" s="1013"/>
      <c r="J1839" s="1013"/>
      <c r="K1839" s="278">
        <v>1.04</v>
      </c>
      <c r="L1839" s="47"/>
      <c r="M1839" s="25"/>
      <c r="N1839" s="26"/>
      <c r="O1839" s="2"/>
      <c r="P1839" s="27"/>
      <c r="Q1839" s="26"/>
      <c r="R1839" s="28"/>
    </row>
    <row r="1840" spans="1:18" ht="30" customHeight="1" x14ac:dyDescent="0.45">
      <c r="A1840" s="47"/>
      <c r="B1840" s="224"/>
      <c r="C1840" s="224"/>
      <c r="D1840" s="224"/>
      <c r="E1840" s="221"/>
      <c r="F1840" s="1012"/>
      <c r="G1840" s="1014" t="s">
        <v>287</v>
      </c>
      <c r="H1840" s="1014"/>
      <c r="I1840" s="1014"/>
      <c r="J1840" s="1014"/>
      <c r="K1840" s="278">
        <v>1.05</v>
      </c>
      <c r="L1840" s="47"/>
      <c r="M1840" s="25"/>
      <c r="N1840" s="26"/>
      <c r="O1840" s="2"/>
      <c r="P1840" s="27"/>
      <c r="Q1840" s="26"/>
      <c r="R1840" s="28"/>
    </row>
    <row r="1841" spans="1:20" ht="30" customHeight="1" x14ac:dyDescent="0.45">
      <c r="A1841" s="47"/>
      <c r="B1841" s="47"/>
      <c r="C1841" s="58"/>
      <c r="D1841" s="58"/>
      <c r="E1841" s="58"/>
      <c r="F1841" s="58"/>
      <c r="G1841" s="58"/>
      <c r="H1841" s="58"/>
      <c r="I1841" s="58"/>
      <c r="J1841" s="58" t="s">
        <v>39</v>
      </c>
      <c r="K1841" s="216">
        <f>+K1838*K1839/K1840</f>
        <v>259.3344755468259</v>
      </c>
      <c r="L1841" s="47" t="s">
        <v>35</v>
      </c>
      <c r="N1841" s="26"/>
      <c r="O1841" s="2"/>
      <c r="P1841" s="27"/>
      <c r="Q1841" s="26"/>
      <c r="R1841" s="28"/>
    </row>
    <row r="1842" spans="1:20" ht="30" customHeight="1" thickBot="1" x14ac:dyDescent="0.5">
      <c r="A1842" s="47"/>
      <c r="B1842" s="47"/>
      <c r="C1842" s="58"/>
      <c r="D1842" s="58"/>
      <c r="E1842" s="58"/>
      <c r="F1842" s="58"/>
      <c r="G1842" s="1309" t="s">
        <v>1112</v>
      </c>
      <c r="H1842" s="1309"/>
      <c r="I1842" s="1309"/>
      <c r="J1842" s="213">
        <f>VLOOKUP(B1828,'[1]Mil Cost Premiums for PUCs'!$A$4:$R$278,18,FALSE)</f>
        <v>1.1932356231980656</v>
      </c>
      <c r="K1842" s="216">
        <f>+K1841*J1842</f>
        <v>309.44713454586031</v>
      </c>
      <c r="L1842" s="47" t="s">
        <v>35</v>
      </c>
      <c r="M1842" s="25"/>
      <c r="N1842" s="26"/>
      <c r="O1842" s="2"/>
      <c r="P1842" s="27"/>
      <c r="Q1842" s="26"/>
      <c r="R1842" s="28"/>
    </row>
    <row r="1843" spans="1:20" ht="30" customHeight="1" thickBot="1" x14ac:dyDescent="0.5">
      <c r="A1843" s="999"/>
      <c r="B1843" s="1000"/>
      <c r="C1843" s="1000"/>
      <c r="D1843" s="1000"/>
      <c r="E1843" s="1000"/>
      <c r="F1843" s="1000"/>
      <c r="G1843" s="1000"/>
      <c r="H1843" s="1000"/>
      <c r="I1843" s="1000"/>
      <c r="J1843" s="1000"/>
      <c r="K1843" s="1000"/>
      <c r="L1843" s="1001"/>
      <c r="M1843" s="25"/>
      <c r="N1843" s="26"/>
      <c r="O1843" s="2"/>
      <c r="P1843" s="27"/>
      <c r="Q1843" s="26"/>
      <c r="R1843" s="28"/>
    </row>
    <row r="1844" spans="1:20" ht="30" customHeight="1" x14ac:dyDescent="0.45">
      <c r="A1844" s="9" t="s">
        <v>4</v>
      </c>
      <c r="B1844" s="10">
        <v>2231</v>
      </c>
      <c r="C1844" s="1298" t="s">
        <v>1212</v>
      </c>
      <c r="D1844" s="1299"/>
      <c r="E1844" s="13" t="s">
        <v>7</v>
      </c>
      <c r="F1844" s="14" t="s">
        <v>35</v>
      </c>
      <c r="G1844" s="11" t="s">
        <v>6</v>
      </c>
      <c r="H1844" s="300">
        <v>45940</v>
      </c>
      <c r="I1844" s="13" t="s">
        <v>9</v>
      </c>
      <c r="J1844" s="985" t="s">
        <v>575</v>
      </c>
      <c r="K1844" s="985"/>
      <c r="L1844" s="986"/>
      <c r="M1844" s="25"/>
      <c r="N1844" s="26"/>
      <c r="O1844" s="2"/>
      <c r="P1844" s="27"/>
      <c r="Q1844" s="26"/>
      <c r="R1844" s="28"/>
    </row>
    <row r="1845" spans="1:20" ht="30" customHeight="1" x14ac:dyDescent="0.45">
      <c r="A1845" s="85" t="s">
        <v>277</v>
      </c>
      <c r="B1845" s="987" t="s">
        <v>293</v>
      </c>
      <c r="C1845" s="988"/>
      <c r="D1845" s="989"/>
      <c r="E1845" s="220" t="s">
        <v>13</v>
      </c>
      <c r="F1845" s="220" t="s">
        <v>14</v>
      </c>
      <c r="G1845" s="992" t="s">
        <v>15</v>
      </c>
      <c r="H1845" s="993"/>
      <c r="I1845" s="19" t="s">
        <v>278</v>
      </c>
      <c r="J1845" s="19"/>
      <c r="K1845" s="992" t="s">
        <v>17</v>
      </c>
      <c r="L1845" s="993"/>
      <c r="M1845" s="25"/>
      <c r="N1845" s="186"/>
      <c r="O1845" s="2"/>
      <c r="P1845" s="27"/>
      <c r="Q1845" s="26"/>
      <c r="R1845" s="28"/>
    </row>
    <row r="1846" spans="1:20" ht="30" customHeight="1" x14ac:dyDescent="0.45">
      <c r="A1846" s="47" t="s">
        <v>1045</v>
      </c>
      <c r="B1846" s="1018" t="s">
        <v>1213</v>
      </c>
      <c r="C1846" s="1019"/>
      <c r="D1846" s="1020"/>
      <c r="E1846" s="221">
        <f>155-2.21</f>
        <v>152.79</v>
      </c>
      <c r="F1846" s="47" t="s">
        <v>35</v>
      </c>
      <c r="G1846" s="47"/>
      <c r="H1846" s="47"/>
      <c r="I1846" s="47">
        <v>1.01</v>
      </c>
      <c r="J1846" s="47"/>
      <c r="K1846" s="221">
        <f>+E1846*I1846</f>
        <v>154.31789999999998</v>
      </c>
      <c r="L1846" s="47" t="s">
        <v>35</v>
      </c>
      <c r="M1846" s="25"/>
      <c r="N1846" s="186"/>
      <c r="O1846" s="2"/>
      <c r="P1846" s="27"/>
      <c r="Q1846" s="26"/>
      <c r="R1846" s="28"/>
    </row>
    <row r="1847" spans="1:20" ht="30" customHeight="1" x14ac:dyDescent="0.45">
      <c r="A1847" s="47" t="s">
        <v>470</v>
      </c>
      <c r="B1847" s="1018" t="s">
        <v>1214</v>
      </c>
      <c r="C1847" s="1019"/>
      <c r="D1847" s="1020"/>
      <c r="E1847" s="1">
        <v>224000</v>
      </c>
      <c r="F1847" s="47" t="s">
        <v>1175</v>
      </c>
      <c r="G1847" s="544">
        <f>+H1844</f>
        <v>45940</v>
      </c>
      <c r="H1847" s="179" t="s">
        <v>1157</v>
      </c>
      <c r="I1847" s="47">
        <v>1.02</v>
      </c>
      <c r="J1847" s="47"/>
      <c r="K1847" s="221">
        <f>(E1847*2)/G1847*I1847</f>
        <v>9.9468872442316059</v>
      </c>
      <c r="L1847" s="47" t="s">
        <v>35</v>
      </c>
      <c r="M1847" s="25"/>
      <c r="N1847" s="26"/>
      <c r="O1847" s="2"/>
      <c r="P1847" s="27"/>
      <c r="Q1847" s="26"/>
      <c r="R1847" s="28"/>
    </row>
    <row r="1848" spans="1:20" ht="30" customHeight="1" x14ac:dyDescent="0.45">
      <c r="A1848" s="47" t="s">
        <v>358</v>
      </c>
      <c r="B1848" s="1008" t="s">
        <v>1215</v>
      </c>
      <c r="C1848" s="1009"/>
      <c r="D1848" s="1010"/>
      <c r="E1848" s="221">
        <v>3.31</v>
      </c>
      <c r="F1848" s="222" t="s">
        <v>35</v>
      </c>
      <c r="G1848" s="58"/>
      <c r="H1848" s="179"/>
      <c r="I1848" s="47">
        <v>1.01</v>
      </c>
      <c r="J1848" s="47"/>
      <c r="K1848" s="221">
        <f>+E1848*I1848</f>
        <v>3.3431000000000002</v>
      </c>
      <c r="L1848" s="47" t="s">
        <v>35</v>
      </c>
      <c r="M1848" s="25"/>
      <c r="N1848" s="26"/>
      <c r="O1848" s="2"/>
      <c r="P1848" s="27"/>
      <c r="Q1848" s="26"/>
      <c r="R1848" s="28"/>
    </row>
    <row r="1849" spans="1:20" ht="30" customHeight="1" x14ac:dyDescent="0.45">
      <c r="A1849" s="47"/>
      <c r="B1849" s="1018"/>
      <c r="C1849" s="1019"/>
      <c r="D1849" s="1020"/>
      <c r="E1849" s="221"/>
      <c r="F1849" s="47"/>
      <c r="G1849" s="58"/>
      <c r="H1849" s="179"/>
      <c r="I1849" s="47"/>
      <c r="J1849" s="47" t="s">
        <v>38</v>
      </c>
      <c r="K1849" s="221">
        <f>SUM(K1846:K1848)</f>
        <v>167.60788724423159</v>
      </c>
      <c r="L1849" s="47" t="s">
        <v>35</v>
      </c>
      <c r="M1849" s="25"/>
      <c r="N1849" s="186"/>
      <c r="O1849" s="2"/>
      <c r="P1849" s="27"/>
      <c r="Q1849" s="26"/>
      <c r="R1849" s="28"/>
    </row>
    <row r="1850" spans="1:20" ht="30" customHeight="1" x14ac:dyDescent="0.45">
      <c r="A1850" s="47"/>
      <c r="B1850" s="224"/>
      <c r="C1850" s="224"/>
      <c r="D1850" s="224"/>
      <c r="E1850" s="221"/>
      <c r="F1850" s="1011" t="s">
        <v>285</v>
      </c>
      <c r="G1850" s="1223" t="s">
        <v>286</v>
      </c>
      <c r="H1850" s="1224"/>
      <c r="I1850" s="1224"/>
      <c r="J1850" s="1225"/>
      <c r="K1850" s="278">
        <v>1.1000000000000001</v>
      </c>
      <c r="L1850" s="47"/>
      <c r="M1850" s="25"/>
      <c r="N1850" s="186"/>
      <c r="O1850" s="2"/>
      <c r="P1850" s="27"/>
      <c r="Q1850" s="26"/>
      <c r="R1850" s="28"/>
    </row>
    <row r="1851" spans="1:20" ht="30" customHeight="1" x14ac:dyDescent="0.45">
      <c r="A1851" s="47"/>
      <c r="B1851" s="224"/>
      <c r="C1851" s="224"/>
      <c r="D1851" s="224"/>
      <c r="E1851" s="221"/>
      <c r="F1851" s="1012"/>
      <c r="G1851" s="1014" t="s">
        <v>580</v>
      </c>
      <c r="H1851" s="1014"/>
      <c r="I1851" s="1014"/>
      <c r="J1851" s="1014"/>
      <c r="K1851" s="278">
        <v>1.08</v>
      </c>
      <c r="L1851" s="47"/>
      <c r="M1851" s="121"/>
      <c r="O1851" s="2"/>
      <c r="P1851" s="27"/>
      <c r="Q1851" s="26"/>
      <c r="R1851" s="28"/>
    </row>
    <row r="1852" spans="1:20" ht="30" customHeight="1" x14ac:dyDescent="0.45">
      <c r="A1852" s="47"/>
      <c r="B1852" s="1279" t="s">
        <v>1216</v>
      </c>
      <c r="C1852" s="1280"/>
      <c r="D1852" s="1281"/>
      <c r="E1852" s="58"/>
      <c r="F1852" s="58"/>
      <c r="G1852" s="58"/>
      <c r="H1852" s="58"/>
      <c r="I1852" s="58"/>
      <c r="J1852" s="58" t="s">
        <v>39</v>
      </c>
      <c r="K1852" s="216">
        <f>+K1849*K1850/K1851</f>
        <v>170.71173700801367</v>
      </c>
      <c r="L1852" s="47" t="s">
        <v>35</v>
      </c>
      <c r="N1852" s="3"/>
      <c r="O1852" s="2"/>
      <c r="P1852" s="27"/>
      <c r="Q1852" s="26"/>
      <c r="R1852" s="28"/>
    </row>
    <row r="1853" spans="1:20" ht="30" customHeight="1" x14ac:dyDescent="0.45">
      <c r="A1853" s="47"/>
      <c r="B1853" s="47"/>
      <c r="C1853" s="58"/>
      <c r="D1853" s="58"/>
      <c r="E1853" s="58"/>
      <c r="F1853" s="58"/>
      <c r="G1853" s="1314" t="s">
        <v>288</v>
      </c>
      <c r="H1853" s="1315"/>
      <c r="I1853" s="1316"/>
      <c r="J1853" s="213">
        <f>VLOOKUP(B1844,'[1]Mil Cost Premiums for PUCs'!$A$4:$R$278,18,FALSE)</f>
        <v>1.1932356231980656</v>
      </c>
      <c r="K1853" s="216">
        <f>+K1852*J1853</f>
        <v>203.69932589598147</v>
      </c>
      <c r="L1853" s="47" t="s">
        <v>35</v>
      </c>
      <c r="M1853" s="25"/>
      <c r="N1853" s="26"/>
      <c r="O1853" s="2"/>
      <c r="P1853" s="27"/>
      <c r="Q1853" s="26"/>
      <c r="R1853" s="28"/>
    </row>
    <row r="1854" spans="1:20" ht="30" customHeight="1" x14ac:dyDescent="0.45">
      <c r="A1854" s="541"/>
      <c r="B1854" s="541"/>
      <c r="C1854" s="542"/>
      <c r="D1854" s="542"/>
      <c r="E1854" s="542"/>
      <c r="F1854" s="1024" t="s">
        <v>581</v>
      </c>
      <c r="G1854" s="1024"/>
      <c r="H1854" s="1024"/>
      <c r="I1854" s="1024"/>
      <c r="J1854" s="543">
        <v>1.0833999999999999</v>
      </c>
      <c r="K1854" s="363">
        <f>K1853*J1854</f>
        <v>220.6878496757063</v>
      </c>
      <c r="L1854" s="225" t="s">
        <v>35</v>
      </c>
      <c r="M1854" s="25"/>
      <c r="N1854" s="186"/>
      <c r="O1854" s="2"/>
      <c r="P1854" s="27"/>
      <c r="Q1854" s="26"/>
      <c r="R1854" s="28"/>
    </row>
    <row r="1855" spans="1:20" ht="30" customHeight="1" thickBot="1" x14ac:dyDescent="0.5">
      <c r="A1855" s="225"/>
      <c r="B1855" s="225"/>
      <c r="C1855" s="150"/>
      <c r="D1855" s="150"/>
      <c r="E1855" s="150"/>
      <c r="F1855" s="150"/>
      <c r="G1855" s="1025" t="s">
        <v>299</v>
      </c>
      <c r="H1855" s="1026"/>
      <c r="I1855" s="1027"/>
      <c r="J1855" s="226">
        <v>1.1214</v>
      </c>
      <c r="K1855" s="227">
        <f>+K1854*J1855</f>
        <v>247.47935462633703</v>
      </c>
      <c r="L1855" s="225" t="s">
        <v>35</v>
      </c>
      <c r="M1855" s="25"/>
    </row>
    <row r="1856" spans="1:20" ht="30" customHeight="1" thickBot="1" x14ac:dyDescent="0.5">
      <c r="A1856" s="999"/>
      <c r="B1856" s="1000"/>
      <c r="C1856" s="1000"/>
      <c r="D1856" s="1000"/>
      <c r="E1856" s="1000"/>
      <c r="F1856" s="1000"/>
      <c r="G1856" s="1000"/>
      <c r="H1856" s="1000"/>
      <c r="I1856" s="1000"/>
      <c r="J1856" s="1000"/>
      <c r="K1856" s="1000"/>
      <c r="L1856" s="1001"/>
      <c r="M1856" s="25"/>
      <c r="N1856" s="229"/>
      <c r="O1856" s="5"/>
      <c r="P1856" s="18"/>
      <c r="Q1856" s="18"/>
      <c r="R1856" s="18"/>
      <c r="S1856" s="18"/>
      <c r="T1856" s="18"/>
    </row>
    <row r="1857" spans="1:24" ht="30" customHeight="1" x14ac:dyDescent="0.45">
      <c r="A1857" s="9" t="s">
        <v>4</v>
      </c>
      <c r="B1857" s="10">
        <v>2241</v>
      </c>
      <c r="C1857" s="983" t="s">
        <v>1217</v>
      </c>
      <c r="D1857" s="984"/>
      <c r="E1857" s="13" t="s">
        <v>7</v>
      </c>
      <c r="F1857" s="14" t="s">
        <v>35</v>
      </c>
      <c r="G1857" s="11" t="s">
        <v>6</v>
      </c>
      <c r="H1857" s="300">
        <v>46046.307692307601</v>
      </c>
      <c r="I1857" s="13" t="s">
        <v>9</v>
      </c>
      <c r="J1857" s="985" t="s">
        <v>276</v>
      </c>
      <c r="K1857" s="985"/>
      <c r="L1857" s="986"/>
      <c r="M1857" s="25"/>
    </row>
    <row r="1858" spans="1:24" ht="30" customHeight="1" x14ac:dyDescent="0.45">
      <c r="A1858" s="85" t="s">
        <v>277</v>
      </c>
      <c r="B1858" s="987" t="s">
        <v>293</v>
      </c>
      <c r="C1858" s="988"/>
      <c r="D1858" s="989"/>
      <c r="E1858" s="220" t="s">
        <v>13</v>
      </c>
      <c r="F1858" s="220" t="s">
        <v>14</v>
      </c>
      <c r="G1858" s="1211" t="s">
        <v>15</v>
      </c>
      <c r="H1858" s="1212"/>
      <c r="I1858" s="504" t="s">
        <v>1044</v>
      </c>
      <c r="J1858" s="19" t="s">
        <v>278</v>
      </c>
      <c r="K1858" s="992" t="s">
        <v>17</v>
      </c>
      <c r="L1858" s="993"/>
      <c r="M1858" s="84"/>
      <c r="U1858" s="18"/>
      <c r="V1858" s="18"/>
      <c r="W1858" s="18"/>
      <c r="X1858" s="18"/>
    </row>
    <row r="1859" spans="1:24" s="18" customFormat="1" ht="30" customHeight="1" x14ac:dyDescent="0.45">
      <c r="A1859" s="47" t="s">
        <v>1045</v>
      </c>
      <c r="B1859" s="1018" t="s">
        <v>1218</v>
      </c>
      <c r="C1859" s="1019"/>
      <c r="D1859" s="1020"/>
      <c r="E1859" s="221">
        <f>187-3.15</f>
        <v>183.85</v>
      </c>
      <c r="F1859" s="222" t="s">
        <v>35</v>
      </c>
      <c r="G1859" s="222"/>
      <c r="H1859" s="223"/>
      <c r="I1859" s="58"/>
      <c r="J1859" s="47">
        <v>1.1399999999999999</v>
      </c>
      <c r="K1859" s="221">
        <f>+E1859*J1859</f>
        <v>209.58899999999997</v>
      </c>
      <c r="L1859" s="47" t="s">
        <v>35</v>
      </c>
      <c r="M1859" s="25"/>
      <c r="N1859" s="2"/>
      <c r="O1859" s="3"/>
      <c r="P1859" s="2"/>
      <c r="Q1859" s="2"/>
      <c r="R1859" s="2"/>
      <c r="S1859" s="90"/>
      <c r="T1859" s="90"/>
      <c r="U1859" s="2"/>
      <c r="V1859" s="2"/>
      <c r="W1859" s="2"/>
      <c r="X1859" s="2"/>
    </row>
    <row r="1860" spans="1:24" ht="30" customHeight="1" x14ac:dyDescent="0.45">
      <c r="A1860" s="47" t="s">
        <v>358</v>
      </c>
      <c r="B1860" s="1008" t="s">
        <v>1215</v>
      </c>
      <c r="C1860" s="1009"/>
      <c r="D1860" s="1009"/>
      <c r="E1860" s="221">
        <v>4.07</v>
      </c>
      <c r="F1860" s="222" t="s">
        <v>35</v>
      </c>
      <c r="G1860" s="222"/>
      <c r="H1860" s="223"/>
      <c r="I1860" s="58"/>
      <c r="J1860" s="47">
        <v>1.1399999999999999</v>
      </c>
      <c r="K1860" s="221">
        <f>+E1860*J1860</f>
        <v>4.6398000000000001</v>
      </c>
      <c r="L1860" s="47" t="s">
        <v>35</v>
      </c>
      <c r="M1860" s="25"/>
      <c r="S1860" s="41"/>
      <c r="T1860" s="41"/>
    </row>
    <row r="1861" spans="1:24" ht="30" customHeight="1" x14ac:dyDescent="0.45">
      <c r="A1861" s="47" t="s">
        <v>358</v>
      </c>
      <c r="B1861" s="1018" t="s">
        <v>1047</v>
      </c>
      <c r="C1861" s="1019"/>
      <c r="D1861" s="1020"/>
      <c r="E1861" s="216">
        <f>0.15*E1860</f>
        <v>0.61050000000000004</v>
      </c>
      <c r="F1861" s="222" t="s">
        <v>35</v>
      </c>
      <c r="G1861" s="222"/>
      <c r="H1861" s="223"/>
      <c r="I1861" s="506">
        <f>+E1861</f>
        <v>0.61050000000000004</v>
      </c>
      <c r="J1861" s="47">
        <v>1.1299999999999999</v>
      </c>
      <c r="K1861" s="378">
        <f>+I1861*J1861</f>
        <v>0.68986499999999995</v>
      </c>
      <c r="L1861" s="47" t="s">
        <v>35</v>
      </c>
      <c r="M1861" s="25"/>
      <c r="S1861" s="41"/>
      <c r="T1861" s="41"/>
    </row>
    <row r="1862" spans="1:24" ht="30" customHeight="1" x14ac:dyDescent="0.45">
      <c r="A1862" s="47" t="s">
        <v>470</v>
      </c>
      <c r="B1862" s="1018" t="s">
        <v>1214</v>
      </c>
      <c r="C1862" s="1019"/>
      <c r="D1862" s="979"/>
      <c r="E1862" s="1">
        <v>258000</v>
      </c>
      <c r="F1862" s="225" t="s">
        <v>88</v>
      </c>
      <c r="G1862" s="544">
        <v>2</v>
      </c>
      <c r="H1862" s="179" t="s">
        <v>88</v>
      </c>
      <c r="I1862" s="506">
        <f>+E1862*G1862/H1857</f>
        <v>11.206110236851886</v>
      </c>
      <c r="J1862" s="47">
        <v>1.26</v>
      </c>
      <c r="K1862" s="378">
        <f>+I1862*J1862</f>
        <v>14.119698898433377</v>
      </c>
      <c r="L1862" s="47" t="s">
        <v>35</v>
      </c>
      <c r="M1862" s="25"/>
      <c r="P1862" s="27"/>
      <c r="Q1862" s="26"/>
      <c r="R1862" s="28"/>
    </row>
    <row r="1863" spans="1:24" ht="30" customHeight="1" x14ac:dyDescent="0.45">
      <c r="A1863" s="47" t="s">
        <v>1050</v>
      </c>
      <c r="B1863" s="1018" t="s">
        <v>1219</v>
      </c>
      <c r="C1863" s="1019"/>
      <c r="D1863" s="1020"/>
      <c r="E1863" s="221">
        <f>(24+37.25)/2</f>
        <v>30.625</v>
      </c>
      <c r="F1863" s="222" t="s">
        <v>35</v>
      </c>
      <c r="G1863" s="42">
        <f>120*8</f>
        <v>960</v>
      </c>
      <c r="H1863" s="206" t="s">
        <v>479</v>
      </c>
      <c r="I1863" s="506">
        <f>+E1863*G1863/H1857</f>
        <v>0.6384876762857471</v>
      </c>
      <c r="J1863" s="47">
        <v>1.22</v>
      </c>
      <c r="K1863" s="378">
        <f>+I1863*J1863</f>
        <v>0.77895496506861139</v>
      </c>
      <c r="L1863" s="47" t="s">
        <v>35</v>
      </c>
      <c r="M1863" s="25"/>
      <c r="N1863" s="364"/>
      <c r="O1863" s="364"/>
      <c r="P1863" s="27"/>
      <c r="Q1863" s="26"/>
      <c r="R1863" s="28"/>
    </row>
    <row r="1864" spans="1:24" ht="30" customHeight="1" x14ac:dyDescent="0.45">
      <c r="A1864" s="47" t="s">
        <v>1050</v>
      </c>
      <c r="B1864" s="1018" t="s">
        <v>1220</v>
      </c>
      <c r="C1864" s="1019"/>
      <c r="D1864" s="1020"/>
      <c r="E1864" s="221">
        <f>(2020+2850)/2</f>
        <v>2435</v>
      </c>
      <c r="F1864" s="222" t="s">
        <v>88</v>
      </c>
      <c r="G1864" s="42"/>
      <c r="H1864" s="206"/>
      <c r="I1864" s="506">
        <f>8*E1864/H1857</f>
        <v>0.4230523787090596</v>
      </c>
      <c r="J1864" s="47">
        <v>1.22</v>
      </c>
      <c r="K1864" s="378">
        <f>+I1864*J1864</f>
        <v>0.51612390202505265</v>
      </c>
      <c r="L1864" s="47" t="s">
        <v>35</v>
      </c>
      <c r="M1864" s="25"/>
      <c r="N1864" s="364"/>
      <c r="O1864" s="364"/>
      <c r="P1864" s="27"/>
      <c r="Q1864" s="26"/>
      <c r="R1864" s="28"/>
    </row>
    <row r="1865" spans="1:24" ht="30" customHeight="1" x14ac:dyDescent="0.45">
      <c r="A1865" s="47" t="s">
        <v>1055</v>
      </c>
      <c r="B1865" s="1018" t="s">
        <v>1203</v>
      </c>
      <c r="C1865" s="1019"/>
      <c r="D1865" s="1020"/>
      <c r="E1865" s="221">
        <v>72.38</v>
      </c>
      <c r="F1865" s="222" t="s">
        <v>113</v>
      </c>
      <c r="G1865" s="42">
        <f>8*10</f>
        <v>80</v>
      </c>
      <c r="H1865" s="206" t="s">
        <v>1204</v>
      </c>
      <c r="I1865" s="506">
        <f>+E1865*G1865/H1857</f>
        <v>0.12575166805323093</v>
      </c>
      <c r="J1865" s="47">
        <v>1.1200000000000001</v>
      </c>
      <c r="K1865" s="378">
        <f>+I1865*J1865</f>
        <v>0.14084186821961867</v>
      </c>
      <c r="L1865" s="47" t="s">
        <v>35</v>
      </c>
      <c r="M1865" s="25"/>
      <c r="N1865" s="364"/>
      <c r="O1865" s="364"/>
      <c r="P1865" s="27"/>
      <c r="Q1865" s="26"/>
      <c r="R1865" s="28"/>
    </row>
    <row r="1866" spans="1:24" ht="30" customHeight="1" x14ac:dyDescent="0.45">
      <c r="A1866" s="47"/>
      <c r="B1866" s="1092"/>
      <c r="C1866" s="1092"/>
      <c r="D1866" s="1092"/>
      <c r="E1866" s="221"/>
      <c r="F1866" s="47"/>
      <c r="G1866" s="58"/>
      <c r="H1866" s="179"/>
      <c r="I1866" s="47"/>
      <c r="J1866" s="47" t="s">
        <v>38</v>
      </c>
      <c r="K1866" s="221">
        <f>SUM(K1859:K1865)</f>
        <v>230.47428463374661</v>
      </c>
      <c r="L1866" s="47" t="s">
        <v>35</v>
      </c>
      <c r="M1866" s="25"/>
      <c r="N1866" s="364"/>
      <c r="O1866" s="364"/>
      <c r="P1866" s="27"/>
      <c r="Q1866" s="26"/>
      <c r="R1866" s="28"/>
    </row>
    <row r="1867" spans="1:24" ht="30" customHeight="1" x14ac:dyDescent="0.45">
      <c r="A1867" s="47"/>
      <c r="B1867" s="224"/>
      <c r="C1867" s="224"/>
      <c r="D1867" s="224"/>
      <c r="E1867" s="221"/>
      <c r="F1867" s="1011" t="s">
        <v>285</v>
      </c>
      <c r="G1867" s="1013" t="s">
        <v>286</v>
      </c>
      <c r="H1867" s="1013"/>
      <c r="I1867" s="1013"/>
      <c r="J1867" s="1013"/>
      <c r="K1867" s="278">
        <v>1.08</v>
      </c>
      <c r="L1867" s="47"/>
      <c r="M1867" s="25"/>
      <c r="N1867" s="364"/>
      <c r="O1867" s="364"/>
      <c r="P1867" s="27"/>
      <c r="Q1867" s="26"/>
      <c r="R1867" s="28"/>
    </row>
    <row r="1868" spans="1:24" ht="30" customHeight="1" x14ac:dyDescent="0.45">
      <c r="A1868" s="47"/>
      <c r="B1868" s="224"/>
      <c r="C1868" s="224"/>
      <c r="D1868" s="224"/>
      <c r="E1868" s="221"/>
      <c r="F1868" s="1012"/>
      <c r="G1868" s="1014" t="s">
        <v>287</v>
      </c>
      <c r="H1868" s="1014"/>
      <c r="I1868" s="1014"/>
      <c r="J1868" s="1014"/>
      <c r="K1868" s="278">
        <v>1.05</v>
      </c>
      <c r="L1868" s="47"/>
      <c r="N1868" s="364"/>
      <c r="O1868" s="364"/>
      <c r="P1868" s="27"/>
      <c r="Q1868" s="26"/>
      <c r="R1868" s="28"/>
    </row>
    <row r="1869" spans="1:24" ht="30" customHeight="1" x14ac:dyDescent="0.45">
      <c r="A1869" s="47"/>
      <c r="B1869" s="1279"/>
      <c r="C1869" s="1280"/>
      <c r="D1869" s="1280"/>
      <c r="E1869" s="1281"/>
      <c r="F1869" s="58"/>
      <c r="G1869" s="58"/>
      <c r="H1869" s="58"/>
      <c r="I1869" s="58"/>
      <c r="J1869" s="58" t="s">
        <v>39</v>
      </c>
      <c r="K1869" s="216">
        <f>+K1866*K1867/K1868</f>
        <v>237.05926419471081</v>
      </c>
      <c r="L1869" s="47" t="s">
        <v>35</v>
      </c>
      <c r="M1869" s="25"/>
      <c r="N1869" s="26"/>
      <c r="O1869" s="2"/>
      <c r="P1869" s="27"/>
      <c r="Q1869" s="26"/>
      <c r="R1869" s="28"/>
    </row>
    <row r="1870" spans="1:24" ht="30" customHeight="1" thickBot="1" x14ac:dyDescent="0.5">
      <c r="A1870" s="47"/>
      <c r="B1870" s="47"/>
      <c r="C1870" s="58"/>
      <c r="D1870" s="58"/>
      <c r="E1870" s="58"/>
      <c r="F1870" s="58"/>
      <c r="G1870" s="1309" t="s">
        <v>1112</v>
      </c>
      <c r="H1870" s="1309"/>
      <c r="I1870" s="1309"/>
      <c r="J1870" s="213">
        <f>VLOOKUP(B1857,'[1]Mil Cost Premiums for PUCs'!$A$4:$R$278,18,FALSE)</f>
        <v>1.1932356231980656</v>
      </c>
      <c r="K1870" s="216">
        <f>+K1869*J1870</f>
        <v>282.86755884625063</v>
      </c>
      <c r="L1870" s="47" t="s">
        <v>35</v>
      </c>
      <c r="M1870" s="25"/>
      <c r="N1870" s="363"/>
      <c r="O1870" s="363"/>
      <c r="P1870" s="27"/>
      <c r="Q1870" s="26"/>
      <c r="R1870" s="28"/>
    </row>
    <row r="1871" spans="1:24" ht="30" customHeight="1" thickBot="1" x14ac:dyDescent="0.5">
      <c r="A1871" s="999"/>
      <c r="B1871" s="1000"/>
      <c r="C1871" s="1000"/>
      <c r="D1871" s="1000"/>
      <c r="E1871" s="1000"/>
      <c r="F1871" s="1000"/>
      <c r="G1871" s="1000"/>
      <c r="H1871" s="1000"/>
      <c r="I1871" s="1000"/>
      <c r="J1871" s="1000"/>
      <c r="K1871" s="1000"/>
      <c r="L1871" s="1001"/>
      <c r="M1871" s="25"/>
      <c r="N1871" s="363"/>
      <c r="O1871" s="363"/>
      <c r="P1871" s="27"/>
      <c r="Q1871" s="26"/>
      <c r="R1871" s="28"/>
    </row>
    <row r="1872" spans="1:24" ht="30" customHeight="1" x14ac:dyDescent="0.45">
      <c r="A1872" s="9" t="s">
        <v>4</v>
      </c>
      <c r="B1872" s="10">
        <v>2242</v>
      </c>
      <c r="C1872" s="983" t="s">
        <v>1221</v>
      </c>
      <c r="D1872" s="984"/>
      <c r="E1872" s="13" t="s">
        <v>7</v>
      </c>
      <c r="F1872" s="14" t="s">
        <v>35</v>
      </c>
      <c r="G1872" s="11" t="s">
        <v>6</v>
      </c>
      <c r="H1872" s="300">
        <v>1649</v>
      </c>
      <c r="I1872" s="13" t="s">
        <v>9</v>
      </c>
      <c r="J1872" s="985" t="s">
        <v>575</v>
      </c>
      <c r="K1872" s="985"/>
      <c r="L1872" s="986"/>
      <c r="M1872" s="25"/>
      <c r="N1872" s="26"/>
      <c r="O1872" s="2"/>
      <c r="P1872" s="27"/>
      <c r="Q1872" s="26"/>
      <c r="R1872" s="28"/>
    </row>
    <row r="1873" spans="1:18" ht="30" customHeight="1" x14ac:dyDescent="0.45">
      <c r="A1873" s="85" t="s">
        <v>277</v>
      </c>
      <c r="B1873" s="987" t="s">
        <v>293</v>
      </c>
      <c r="C1873" s="988"/>
      <c r="D1873" s="989"/>
      <c r="E1873" s="220" t="s">
        <v>13</v>
      </c>
      <c r="F1873" s="220" t="s">
        <v>14</v>
      </c>
      <c r="G1873" s="990" t="s">
        <v>15</v>
      </c>
      <c r="H1873" s="991"/>
      <c r="I1873" s="19" t="s">
        <v>278</v>
      </c>
      <c r="J1873" s="19"/>
      <c r="K1873" s="992" t="s">
        <v>17</v>
      </c>
      <c r="L1873" s="993"/>
      <c r="M1873" s="25"/>
      <c r="N1873" s="26"/>
      <c r="O1873" s="2"/>
      <c r="P1873" s="27"/>
      <c r="Q1873" s="26"/>
      <c r="R1873" s="28"/>
    </row>
    <row r="1874" spans="1:18" ht="30" customHeight="1" x14ac:dyDescent="0.45">
      <c r="A1874" s="47" t="s">
        <v>1045</v>
      </c>
      <c r="B1874" s="1018" t="s">
        <v>1222</v>
      </c>
      <c r="C1874" s="1019"/>
      <c r="D1874" s="1020"/>
      <c r="E1874" s="221">
        <f>79.5-2.51</f>
        <v>76.989999999999995</v>
      </c>
      <c r="F1874" s="47" t="s">
        <v>35</v>
      </c>
      <c r="G1874" s="47"/>
      <c r="H1874" s="47"/>
      <c r="I1874" s="202">
        <v>1.03</v>
      </c>
      <c r="J1874" s="47"/>
      <c r="K1874" s="221">
        <f>+E1874*I1874</f>
        <v>79.299700000000001</v>
      </c>
      <c r="L1874" s="47" t="s">
        <v>35</v>
      </c>
      <c r="M1874" s="25"/>
      <c r="N1874" s="26"/>
      <c r="O1874" s="2"/>
      <c r="P1874" s="27"/>
      <c r="Q1874" s="26"/>
      <c r="R1874" s="28"/>
    </row>
    <row r="1875" spans="1:18" ht="30" customHeight="1" x14ac:dyDescent="0.45">
      <c r="A1875" s="47" t="s">
        <v>358</v>
      </c>
      <c r="B1875" s="1008" t="s">
        <v>1207</v>
      </c>
      <c r="C1875" s="1009"/>
      <c r="D1875" s="1009"/>
      <c r="E1875" s="221">
        <v>4.1500000000000004</v>
      </c>
      <c r="F1875" s="222" t="s">
        <v>35</v>
      </c>
      <c r="G1875" s="58"/>
      <c r="H1875" s="179"/>
      <c r="I1875" s="202">
        <v>1.03</v>
      </c>
      <c r="J1875" s="47"/>
      <c r="K1875" s="221">
        <f>+E1875*I1875</f>
        <v>4.2745000000000006</v>
      </c>
      <c r="L1875" s="47" t="s">
        <v>35</v>
      </c>
      <c r="M1875" s="25"/>
      <c r="N1875" s="26"/>
      <c r="O1875" s="2"/>
      <c r="P1875" s="27"/>
      <c r="Q1875" s="26"/>
      <c r="R1875" s="28"/>
    </row>
    <row r="1876" spans="1:18" ht="30" customHeight="1" x14ac:dyDescent="0.45">
      <c r="A1876" s="47"/>
      <c r="B1876" s="1092"/>
      <c r="C1876" s="1092"/>
      <c r="D1876" s="1092"/>
      <c r="E1876" s="221"/>
      <c r="F1876" s="47"/>
      <c r="G1876" s="58"/>
      <c r="H1876" s="179"/>
      <c r="I1876" s="47"/>
      <c r="J1876" s="47" t="s">
        <v>38</v>
      </c>
      <c r="K1876" s="221">
        <f>SUM(K1874:K1875)</f>
        <v>83.574200000000005</v>
      </c>
      <c r="L1876" s="47" t="s">
        <v>35</v>
      </c>
      <c r="M1876" s="25"/>
      <c r="N1876" s="26"/>
      <c r="O1876" s="2"/>
      <c r="P1876" s="27"/>
      <c r="Q1876" s="26"/>
      <c r="R1876" s="28"/>
    </row>
    <row r="1877" spans="1:18" ht="30" customHeight="1" x14ac:dyDescent="0.45">
      <c r="A1877" s="47"/>
      <c r="B1877" s="224"/>
      <c r="C1877" s="224"/>
      <c r="D1877" s="224"/>
      <c r="E1877" s="221"/>
      <c r="F1877" s="1011" t="s">
        <v>285</v>
      </c>
      <c r="G1877" s="1013" t="s">
        <v>286</v>
      </c>
      <c r="H1877" s="1013"/>
      <c r="I1877" s="1013"/>
      <c r="J1877" s="1013"/>
      <c r="K1877" s="278">
        <v>1.07</v>
      </c>
      <c r="L1877" s="47"/>
      <c r="M1877" s="25"/>
      <c r="N1877" s="26"/>
      <c r="O1877" s="2"/>
      <c r="P1877" s="27"/>
      <c r="Q1877" s="26"/>
      <c r="R1877" s="28"/>
    </row>
    <row r="1878" spans="1:18" ht="30" customHeight="1" x14ac:dyDescent="0.45">
      <c r="A1878" s="47"/>
      <c r="B1878" s="224"/>
      <c r="C1878" s="224"/>
      <c r="D1878" s="224"/>
      <c r="E1878" s="221"/>
      <c r="F1878" s="1012"/>
      <c r="G1878" s="1014" t="s">
        <v>580</v>
      </c>
      <c r="H1878" s="1014"/>
      <c r="I1878" s="1014"/>
      <c r="J1878" s="1014"/>
      <c r="K1878" s="278">
        <v>1.08</v>
      </c>
      <c r="L1878" s="47"/>
      <c r="M1878" s="25"/>
      <c r="N1878" s="26"/>
      <c r="O1878" s="2"/>
      <c r="P1878" s="27"/>
      <c r="Q1878" s="26"/>
      <c r="R1878" s="28"/>
    </row>
    <row r="1879" spans="1:18" ht="30" customHeight="1" x14ac:dyDescent="0.45">
      <c r="A1879" s="47"/>
      <c r="B1879" s="47"/>
      <c r="C1879" s="58"/>
      <c r="D1879" s="58"/>
      <c r="E1879" s="58"/>
      <c r="F1879" s="58"/>
      <c r="G1879" s="58"/>
      <c r="H1879" s="58"/>
      <c r="I1879" s="58"/>
      <c r="J1879" s="47" t="s">
        <v>39</v>
      </c>
      <c r="K1879" s="216">
        <f>+K1876*K1877/K1878</f>
        <v>82.800364814814813</v>
      </c>
      <c r="L1879" s="47" t="s">
        <v>35</v>
      </c>
      <c r="M1879" s="25"/>
      <c r="N1879" s="26"/>
      <c r="O1879" s="2"/>
      <c r="P1879" s="27"/>
      <c r="Q1879" s="26"/>
      <c r="R1879" s="28"/>
    </row>
    <row r="1880" spans="1:18" ht="30" customHeight="1" x14ac:dyDescent="0.45">
      <c r="A1880" s="105"/>
      <c r="B1880" s="1018" t="s">
        <v>1223</v>
      </c>
      <c r="C1880" s="1019"/>
      <c r="D1880" s="1020"/>
      <c r="E1880" s="58"/>
      <c r="F1880" s="58"/>
      <c r="G1880" s="1021" t="s">
        <v>288</v>
      </c>
      <c r="H1880" s="1022"/>
      <c r="I1880" s="1023"/>
      <c r="J1880" s="213">
        <f>VLOOKUP(B1872,'[1]Mil Cost Premiums for PUCs'!$A$4:$R$278,18,FALSE)</f>
        <v>1.1199953840399997</v>
      </c>
      <c r="K1880" s="216">
        <f>+K1879*J1880</f>
        <v>92.736026389420587</v>
      </c>
      <c r="L1880" s="47" t="s">
        <v>35</v>
      </c>
      <c r="M1880" s="25"/>
      <c r="N1880" s="26"/>
      <c r="O1880" s="2"/>
      <c r="P1880" s="27"/>
      <c r="Q1880" s="26"/>
      <c r="R1880" s="28"/>
    </row>
    <row r="1881" spans="1:18" ht="30" customHeight="1" x14ac:dyDescent="0.45">
      <c r="A1881" s="541"/>
      <c r="B1881" s="545"/>
      <c r="C1881" s="546"/>
      <c r="D1881" s="546"/>
      <c r="E1881" s="542"/>
      <c r="F1881" s="1024" t="s">
        <v>581</v>
      </c>
      <c r="G1881" s="1024"/>
      <c r="H1881" s="1024"/>
      <c r="I1881" s="1024"/>
      <c r="J1881" s="543">
        <v>1.0833999999999999</v>
      </c>
      <c r="K1881" s="363">
        <f>K1880*J1881</f>
        <v>100.47021099029826</v>
      </c>
      <c r="L1881" s="225" t="s">
        <v>35</v>
      </c>
      <c r="M1881" s="25"/>
      <c r="N1881" s="26"/>
      <c r="O1881" s="2"/>
      <c r="P1881" s="27"/>
      <c r="Q1881" s="26"/>
      <c r="R1881" s="28"/>
    </row>
    <row r="1882" spans="1:18" ht="30" customHeight="1" thickBot="1" x14ac:dyDescent="0.5">
      <c r="A1882" s="225"/>
      <c r="B1882" s="225"/>
      <c r="C1882" s="150"/>
      <c r="D1882" s="150"/>
      <c r="E1882" s="150"/>
      <c r="F1882" s="150"/>
      <c r="G1882" s="1025" t="s">
        <v>299</v>
      </c>
      <c r="H1882" s="1026"/>
      <c r="I1882" s="1027"/>
      <c r="J1882" s="226">
        <v>1.1214</v>
      </c>
      <c r="K1882" s="227">
        <f>+K1881*J1882</f>
        <v>112.66729460452046</v>
      </c>
      <c r="L1882" s="225" t="s">
        <v>35</v>
      </c>
      <c r="M1882" s="25"/>
    </row>
    <row r="1883" spans="1:18" ht="30" customHeight="1" thickBot="1" x14ac:dyDescent="0.5">
      <c r="A1883" s="999"/>
      <c r="B1883" s="1000"/>
      <c r="C1883" s="1000"/>
      <c r="D1883" s="1000"/>
      <c r="E1883" s="1000"/>
      <c r="F1883" s="1000"/>
      <c r="G1883" s="1000"/>
      <c r="H1883" s="1000"/>
      <c r="I1883" s="1000"/>
      <c r="J1883" s="1000"/>
      <c r="K1883" s="1000"/>
      <c r="L1883" s="1001"/>
      <c r="N1883" s="26"/>
      <c r="O1883" s="2"/>
      <c r="P1883" s="27"/>
      <c r="Q1883" s="26"/>
      <c r="R1883" s="28"/>
    </row>
    <row r="1884" spans="1:18" ht="30" customHeight="1" x14ac:dyDescent="0.45">
      <c r="A1884" s="9" t="s">
        <v>4</v>
      </c>
      <c r="B1884" s="10">
        <v>2251</v>
      </c>
      <c r="C1884" s="983" t="s">
        <v>1224</v>
      </c>
      <c r="D1884" s="984"/>
      <c r="E1884" s="13" t="s">
        <v>7</v>
      </c>
      <c r="F1884" s="14" t="s">
        <v>35</v>
      </c>
      <c r="G1884" s="11" t="s">
        <v>6</v>
      </c>
      <c r="H1884" s="300">
        <v>37269.270588235202</v>
      </c>
      <c r="I1884" s="13" t="s">
        <v>9</v>
      </c>
      <c r="J1884" s="985" t="s">
        <v>276</v>
      </c>
      <c r="K1884" s="985"/>
      <c r="L1884" s="986"/>
      <c r="M1884" s="25"/>
      <c r="N1884" s="26"/>
      <c r="O1884" s="2"/>
      <c r="P1884" s="27"/>
      <c r="Q1884" s="26"/>
      <c r="R1884" s="28"/>
    </row>
    <row r="1885" spans="1:18" ht="30" customHeight="1" x14ac:dyDescent="0.45">
      <c r="A1885" s="85" t="s">
        <v>277</v>
      </c>
      <c r="B1885" s="987" t="s">
        <v>293</v>
      </c>
      <c r="C1885" s="988"/>
      <c r="D1885" s="989"/>
      <c r="E1885" s="220" t="s">
        <v>13</v>
      </c>
      <c r="F1885" s="220" t="s">
        <v>14</v>
      </c>
      <c r="G1885" s="990" t="s">
        <v>15</v>
      </c>
      <c r="H1885" s="991"/>
      <c r="I1885" s="504" t="s">
        <v>1044</v>
      </c>
      <c r="J1885" s="19" t="s">
        <v>278</v>
      </c>
      <c r="K1885" s="992" t="s">
        <v>17</v>
      </c>
      <c r="L1885" s="993"/>
      <c r="M1885" s="25"/>
      <c r="N1885" s="279"/>
      <c r="O1885" s="2"/>
      <c r="P1885" s="27"/>
      <c r="Q1885" s="26"/>
      <c r="R1885" s="28"/>
    </row>
    <row r="1886" spans="1:18" ht="30" customHeight="1" x14ac:dyDescent="0.45">
      <c r="A1886" s="47" t="s">
        <v>1045</v>
      </c>
      <c r="B1886" s="1142" t="s">
        <v>1168</v>
      </c>
      <c r="C1886" s="1117"/>
      <c r="D1886" s="1118"/>
      <c r="E1886" s="221">
        <f>205-3.15</f>
        <v>201.85</v>
      </c>
      <c r="F1886" s="47" t="s">
        <v>35</v>
      </c>
      <c r="G1886" s="348"/>
      <c r="H1886" s="349"/>
      <c r="I1886" s="505">
        <f>+E1886</f>
        <v>201.85</v>
      </c>
      <c r="J1886" s="47">
        <v>1.1299999999999999</v>
      </c>
      <c r="K1886" s="378">
        <f t="shared" ref="K1886:K1893" si="48">+I1886*J1886</f>
        <v>228.09049999999996</v>
      </c>
      <c r="L1886" s="47" t="s">
        <v>35</v>
      </c>
      <c r="M1886" s="25"/>
      <c r="N1886" s="279"/>
      <c r="O1886" s="2"/>
      <c r="P1886" s="27"/>
      <c r="Q1886" s="26"/>
      <c r="R1886" s="28"/>
    </row>
    <row r="1887" spans="1:18" ht="48.75" customHeight="1" x14ac:dyDescent="0.45">
      <c r="A1887" s="47" t="s">
        <v>358</v>
      </c>
      <c r="B1887" s="1092" t="s">
        <v>1225</v>
      </c>
      <c r="C1887" s="1092"/>
      <c r="D1887" s="1092"/>
      <c r="E1887" s="216">
        <v>4.2300000000000004</v>
      </c>
      <c r="F1887" s="47" t="s">
        <v>35</v>
      </c>
      <c r="G1887" s="42"/>
      <c r="H1887" s="206"/>
      <c r="I1887" s="506">
        <f>+E1887</f>
        <v>4.2300000000000004</v>
      </c>
      <c r="J1887" s="47">
        <v>1.1299999999999999</v>
      </c>
      <c r="K1887" s="378">
        <f t="shared" si="48"/>
        <v>4.7798999999999996</v>
      </c>
      <c r="L1887" s="47" t="s">
        <v>35</v>
      </c>
      <c r="M1887" s="25"/>
      <c r="N1887" s="26"/>
      <c r="O1887" s="2"/>
      <c r="P1887" s="27"/>
      <c r="Q1887" s="26"/>
      <c r="R1887" s="28"/>
    </row>
    <row r="1888" spans="1:18" ht="30" customHeight="1" x14ac:dyDescent="0.45">
      <c r="A1888" s="47" t="s">
        <v>358</v>
      </c>
      <c r="B1888" s="1018" t="s">
        <v>1047</v>
      </c>
      <c r="C1888" s="1019"/>
      <c r="D1888" s="1020"/>
      <c r="E1888" s="216">
        <f>0.15*E1887</f>
        <v>0.63450000000000006</v>
      </c>
      <c r="F1888" s="222" t="s">
        <v>35</v>
      </c>
      <c r="G1888" s="42"/>
      <c r="H1888" s="206"/>
      <c r="I1888" s="506">
        <f>+E1888</f>
        <v>0.63450000000000006</v>
      </c>
      <c r="J1888" s="47">
        <v>1.1299999999999999</v>
      </c>
      <c r="K1888" s="378">
        <f t="shared" si="48"/>
        <v>0.71698499999999998</v>
      </c>
      <c r="L1888" s="47" t="s">
        <v>35</v>
      </c>
      <c r="M1888" s="25"/>
      <c r="N1888" s="26"/>
      <c r="O1888" s="2"/>
      <c r="P1888" s="27"/>
      <c r="Q1888" s="26"/>
      <c r="R1888" s="28"/>
    </row>
    <row r="1889" spans="1:18" ht="30" customHeight="1" x14ac:dyDescent="0.45">
      <c r="A1889" s="47" t="s">
        <v>358</v>
      </c>
      <c r="B1889" s="1092" t="s">
        <v>1048</v>
      </c>
      <c r="C1889" s="1092"/>
      <c r="D1889" s="1092"/>
      <c r="E1889" s="216">
        <f xml:space="preserve"> 0.72+((1.42+2.11)/2)</f>
        <v>2.4849999999999999</v>
      </c>
      <c r="F1889" s="47" t="s">
        <v>35</v>
      </c>
      <c r="G1889" s="42"/>
      <c r="H1889" s="206"/>
      <c r="I1889" s="506">
        <f>+E1889</f>
        <v>2.4849999999999999</v>
      </c>
      <c r="J1889" s="47">
        <v>1.1299999999999999</v>
      </c>
      <c r="K1889" s="378">
        <f t="shared" si="48"/>
        <v>2.8080499999999997</v>
      </c>
      <c r="L1889" s="47" t="s">
        <v>35</v>
      </c>
      <c r="M1889" s="25"/>
      <c r="N1889" s="26"/>
      <c r="O1889" s="2"/>
      <c r="P1889" s="27"/>
      <c r="Q1889" s="26"/>
      <c r="R1889" s="28"/>
    </row>
    <row r="1890" spans="1:18" ht="30" customHeight="1" x14ac:dyDescent="0.45">
      <c r="A1890" s="47" t="s">
        <v>470</v>
      </c>
      <c r="B1890" s="1018" t="s">
        <v>1226</v>
      </c>
      <c r="C1890" s="1019"/>
      <c r="D1890" s="1020"/>
      <c r="E1890" s="221">
        <v>204000</v>
      </c>
      <c r="F1890" s="222" t="s">
        <v>88</v>
      </c>
      <c r="G1890" s="42"/>
      <c r="H1890" s="206"/>
      <c r="I1890" s="506">
        <f>+E1890*2/H1884</f>
        <v>10.947356724732719</v>
      </c>
      <c r="J1890" s="47">
        <v>1.26</v>
      </c>
      <c r="K1890" s="378">
        <f t="shared" si="48"/>
        <v>13.793669473163227</v>
      </c>
      <c r="L1890" s="47" t="s">
        <v>35</v>
      </c>
      <c r="M1890" s="25"/>
      <c r="N1890" s="3"/>
      <c r="O1890" s="2"/>
      <c r="P1890" s="27"/>
      <c r="Q1890" s="26"/>
      <c r="R1890" s="28"/>
    </row>
    <row r="1891" spans="1:18" ht="30" customHeight="1" x14ac:dyDescent="0.45">
      <c r="A1891" s="47" t="s">
        <v>1050</v>
      </c>
      <c r="B1891" s="1018" t="s">
        <v>1227</v>
      </c>
      <c r="C1891" s="1019"/>
      <c r="D1891" s="1020"/>
      <c r="E1891" s="221">
        <f>(24+37.25)/2</f>
        <v>30.625</v>
      </c>
      <c r="F1891" s="222" t="s">
        <v>35</v>
      </c>
      <c r="G1891" s="42">
        <f>120*6</f>
        <v>720</v>
      </c>
      <c r="H1891" s="206" t="s">
        <v>479</v>
      </c>
      <c r="I1891" s="506">
        <f>+E1891*G1891/H1884</f>
        <v>0.59164023475577565</v>
      </c>
      <c r="J1891" s="47">
        <v>1.22</v>
      </c>
      <c r="K1891" s="378">
        <f t="shared" si="48"/>
        <v>0.72180108640204632</v>
      </c>
      <c r="L1891" s="47" t="s">
        <v>35</v>
      </c>
      <c r="M1891" s="25"/>
      <c r="N1891" s="26"/>
      <c r="O1891" s="2"/>
      <c r="P1891" s="27"/>
      <c r="Q1891" s="26"/>
      <c r="R1891" s="28"/>
    </row>
    <row r="1892" spans="1:18" ht="30" customHeight="1" x14ac:dyDescent="0.45">
      <c r="A1892" s="47" t="s">
        <v>1050</v>
      </c>
      <c r="B1892" s="1018" t="s">
        <v>1228</v>
      </c>
      <c r="C1892" s="1019"/>
      <c r="D1892" s="1020"/>
      <c r="E1892" s="221">
        <f>(2020+2850)/2</f>
        <v>2435</v>
      </c>
      <c r="F1892" s="222" t="s">
        <v>88</v>
      </c>
      <c r="G1892" s="42"/>
      <c r="H1892" s="206"/>
      <c r="I1892" s="506">
        <f>6*E1892/H1884</f>
        <v>0.39201196506947311</v>
      </c>
      <c r="J1892" s="47">
        <v>1.22</v>
      </c>
      <c r="K1892" s="378">
        <f t="shared" si="48"/>
        <v>0.47825459738475717</v>
      </c>
      <c r="L1892" s="47" t="s">
        <v>35</v>
      </c>
      <c r="M1892" s="25"/>
      <c r="O1892" s="27"/>
      <c r="P1892" s="26"/>
      <c r="Q1892" s="28"/>
    </row>
    <row r="1893" spans="1:18" ht="30" customHeight="1" x14ac:dyDescent="0.45">
      <c r="A1893" s="47" t="s">
        <v>1055</v>
      </c>
      <c r="B1893" s="1018" t="s">
        <v>1203</v>
      </c>
      <c r="C1893" s="1019"/>
      <c r="D1893" s="1020"/>
      <c r="E1893" s="221">
        <v>72.38</v>
      </c>
      <c r="F1893" s="222" t="s">
        <v>113</v>
      </c>
      <c r="G1893" s="42">
        <f>6*10</f>
        <v>60</v>
      </c>
      <c r="H1893" s="206" t="s">
        <v>1204</v>
      </c>
      <c r="I1893" s="506">
        <f>+E1893*G1893/H1884</f>
        <v>0.11652495290237561</v>
      </c>
      <c r="J1893" s="47">
        <v>1.1200000000000001</v>
      </c>
      <c r="K1893" s="378">
        <f t="shared" si="48"/>
        <v>0.1305079472506607</v>
      </c>
      <c r="L1893" s="47" t="s">
        <v>35</v>
      </c>
      <c r="M1893" s="25"/>
      <c r="O1893" s="27"/>
      <c r="P1893" s="26"/>
      <c r="Q1893" s="28"/>
    </row>
    <row r="1894" spans="1:18" ht="30" customHeight="1" x14ac:dyDescent="0.45">
      <c r="A1894" s="225"/>
      <c r="B1894" s="1131"/>
      <c r="C1894" s="1131"/>
      <c r="D1894" s="1131"/>
      <c r="E1894" s="221"/>
      <c r="F1894" s="47"/>
      <c r="G1894" s="58"/>
      <c r="H1894" s="179"/>
      <c r="I1894" s="47"/>
      <c r="J1894" s="47" t="s">
        <v>38</v>
      </c>
      <c r="K1894" s="221">
        <f>SUM(K1886:K1893)</f>
        <v>251.51966810420066</v>
      </c>
      <c r="L1894" s="47" t="s">
        <v>35</v>
      </c>
      <c r="M1894" s="25"/>
      <c r="O1894" s="27"/>
      <c r="P1894" s="26"/>
      <c r="Q1894" s="28"/>
    </row>
    <row r="1895" spans="1:18" ht="30" customHeight="1" x14ac:dyDescent="0.45">
      <c r="A1895" s="531"/>
      <c r="B1895" s="547"/>
      <c r="C1895" s="547"/>
      <c r="D1895" s="547"/>
      <c r="E1895" s="352"/>
      <c r="F1895" s="1011" t="s">
        <v>285</v>
      </c>
      <c r="G1895" s="1013" t="s">
        <v>286</v>
      </c>
      <c r="H1895" s="1013"/>
      <c r="I1895" s="1013"/>
      <c r="J1895" s="1013"/>
      <c r="K1895" s="278">
        <v>1.04</v>
      </c>
      <c r="L1895" s="47"/>
      <c r="M1895" s="25"/>
      <c r="N1895" s="26"/>
      <c r="O1895" s="2"/>
      <c r="P1895" s="27"/>
      <c r="Q1895" s="26"/>
      <c r="R1895" s="28"/>
    </row>
    <row r="1896" spans="1:18" ht="30" customHeight="1" x14ac:dyDescent="0.45">
      <c r="A1896" s="531"/>
      <c r="B1896" s="547"/>
      <c r="C1896" s="547"/>
      <c r="D1896" s="547"/>
      <c r="E1896" s="352"/>
      <c r="F1896" s="1012"/>
      <c r="G1896" s="1014" t="s">
        <v>287</v>
      </c>
      <c r="H1896" s="1014"/>
      <c r="I1896" s="1014"/>
      <c r="J1896" s="1014"/>
      <c r="K1896" s="278">
        <v>1.05</v>
      </c>
      <c r="L1896" s="47"/>
      <c r="M1896" s="25"/>
      <c r="N1896" s="26"/>
      <c r="O1896" s="2"/>
      <c r="P1896" s="27"/>
      <c r="Q1896" s="26"/>
      <c r="R1896" s="28"/>
    </row>
    <row r="1897" spans="1:18" ht="30" customHeight="1" x14ac:dyDescent="0.45">
      <c r="A1897" s="531"/>
      <c r="B1897" s="548"/>
      <c r="C1897" s="548"/>
      <c r="D1897" s="548"/>
      <c r="E1897" s="549"/>
      <c r="F1897" s="58"/>
      <c r="G1897" s="58"/>
      <c r="H1897" s="58"/>
      <c r="I1897" s="58"/>
      <c r="J1897" s="47" t="s">
        <v>39</v>
      </c>
      <c r="K1897" s="216">
        <f>+K1894*K1895/K1896</f>
        <v>249.12424269368449</v>
      </c>
      <c r="L1897" s="47" t="s">
        <v>35</v>
      </c>
      <c r="M1897" s="25"/>
      <c r="N1897" s="26"/>
      <c r="O1897" s="2"/>
      <c r="P1897" s="27"/>
      <c r="Q1897" s="26"/>
      <c r="R1897" s="28"/>
    </row>
    <row r="1898" spans="1:18" ht="30" customHeight="1" thickBot="1" x14ac:dyDescent="0.5">
      <c r="A1898" s="541"/>
      <c r="B1898" s="550"/>
      <c r="C1898" s="550"/>
      <c r="D1898" s="550"/>
      <c r="E1898" s="551"/>
      <c r="F1898" s="150"/>
      <c r="G1898" s="1309" t="s">
        <v>1112</v>
      </c>
      <c r="H1898" s="1309"/>
      <c r="I1898" s="1309"/>
      <c r="J1898" s="226">
        <f>VLOOKUP(B1884,'[1]Mil Cost Premiums for PUCs'!$A$4:$R$278,18,FALSE)</f>
        <v>1.1932356231980656</v>
      </c>
      <c r="K1898" s="227">
        <f>+K1897*J1898</f>
        <v>297.26392098434479</v>
      </c>
      <c r="L1898" s="225" t="s">
        <v>35</v>
      </c>
      <c r="N1898" s="26"/>
      <c r="O1898" s="2"/>
      <c r="P1898" s="27"/>
      <c r="Q1898" s="26"/>
      <c r="R1898" s="28"/>
    </row>
    <row r="1899" spans="1:18" ht="30" customHeight="1" thickBot="1" x14ac:dyDescent="0.5">
      <c r="A1899" s="999"/>
      <c r="B1899" s="1000"/>
      <c r="C1899" s="1000"/>
      <c r="D1899" s="1000"/>
      <c r="E1899" s="1000"/>
      <c r="F1899" s="1000"/>
      <c r="G1899" s="1000"/>
      <c r="H1899" s="1000"/>
      <c r="I1899" s="1000"/>
      <c r="J1899" s="1000"/>
      <c r="K1899" s="1000"/>
      <c r="L1899" s="1001"/>
      <c r="M1899" s="25"/>
      <c r="N1899" s="26"/>
      <c r="O1899" s="2"/>
      <c r="P1899" s="27"/>
      <c r="Q1899" s="26"/>
      <c r="R1899" s="28"/>
    </row>
    <row r="1900" spans="1:18" ht="30" customHeight="1" x14ac:dyDescent="0.45">
      <c r="A1900" s="9" t="s">
        <v>4</v>
      </c>
      <c r="B1900" s="10">
        <v>2252</v>
      </c>
      <c r="C1900" s="983" t="s">
        <v>1229</v>
      </c>
      <c r="D1900" s="984"/>
      <c r="E1900" s="13" t="s">
        <v>7</v>
      </c>
      <c r="F1900" s="14" t="s">
        <v>35</v>
      </c>
      <c r="G1900" s="11" t="s">
        <v>6</v>
      </c>
      <c r="H1900" s="300">
        <v>44872</v>
      </c>
      <c r="I1900" s="13" t="s">
        <v>9</v>
      </c>
      <c r="J1900" s="985" t="s">
        <v>575</v>
      </c>
      <c r="K1900" s="985"/>
      <c r="L1900" s="986"/>
      <c r="M1900" s="121"/>
      <c r="N1900" s="26"/>
      <c r="O1900" s="2"/>
      <c r="P1900" s="27"/>
      <c r="Q1900" s="26"/>
      <c r="R1900" s="28"/>
    </row>
    <row r="1901" spans="1:18" ht="30" customHeight="1" x14ac:dyDescent="0.45">
      <c r="A1901" s="85" t="s">
        <v>277</v>
      </c>
      <c r="B1901" s="987" t="s">
        <v>293</v>
      </c>
      <c r="C1901" s="988"/>
      <c r="D1901" s="989"/>
      <c r="E1901" s="220" t="s">
        <v>13</v>
      </c>
      <c r="F1901" s="220" t="s">
        <v>14</v>
      </c>
      <c r="G1901" s="990" t="s">
        <v>15</v>
      </c>
      <c r="H1901" s="991"/>
      <c r="I1901" s="19" t="s">
        <v>278</v>
      </c>
      <c r="J1901" s="19"/>
      <c r="K1901" s="992" t="s">
        <v>17</v>
      </c>
      <c r="L1901" s="993"/>
      <c r="M1901" s="25"/>
      <c r="N1901" s="26"/>
      <c r="O1901" s="2"/>
      <c r="P1901" s="27"/>
      <c r="Q1901" s="26"/>
      <c r="R1901" s="28"/>
    </row>
    <row r="1902" spans="1:18" ht="30" customHeight="1" x14ac:dyDescent="0.45">
      <c r="A1902" s="47" t="s">
        <v>1045</v>
      </c>
      <c r="B1902" s="1018" t="s">
        <v>1222</v>
      </c>
      <c r="C1902" s="1019"/>
      <c r="D1902" s="1020"/>
      <c r="E1902" s="221">
        <f>79.5-2.51</f>
        <v>76.989999999999995</v>
      </c>
      <c r="F1902" s="47" t="s">
        <v>35</v>
      </c>
      <c r="G1902" s="47"/>
      <c r="H1902" s="47"/>
      <c r="I1902" s="47">
        <v>1.01</v>
      </c>
      <c r="J1902" s="47"/>
      <c r="K1902" s="221">
        <f>+E1902*I1902</f>
        <v>77.759900000000002</v>
      </c>
      <c r="L1902" s="47" t="s">
        <v>35</v>
      </c>
      <c r="M1902" s="25"/>
      <c r="N1902" s="26"/>
      <c r="O1902" s="2"/>
      <c r="P1902" s="27"/>
      <c r="Q1902" s="26"/>
      <c r="R1902" s="28"/>
    </row>
    <row r="1903" spans="1:18" ht="30" customHeight="1" x14ac:dyDescent="0.45">
      <c r="A1903" s="47" t="s">
        <v>358</v>
      </c>
      <c r="B1903" s="1008" t="s">
        <v>1230</v>
      </c>
      <c r="C1903" s="1009"/>
      <c r="D1903" s="1009"/>
      <c r="E1903" s="221">
        <v>2.66</v>
      </c>
      <c r="F1903" s="222" t="s">
        <v>35</v>
      </c>
      <c r="G1903" s="58"/>
      <c r="H1903" s="179"/>
      <c r="I1903" s="47">
        <v>1.01</v>
      </c>
      <c r="J1903" s="47"/>
      <c r="K1903" s="221">
        <f>+E1903*I1903</f>
        <v>2.6866000000000003</v>
      </c>
      <c r="L1903" s="47" t="s">
        <v>35</v>
      </c>
      <c r="M1903" s="25"/>
      <c r="N1903" s="26"/>
      <c r="O1903" s="2"/>
      <c r="P1903" s="27"/>
      <c r="Q1903" s="26"/>
      <c r="R1903" s="28"/>
    </row>
    <row r="1904" spans="1:18" ht="30" customHeight="1" x14ac:dyDescent="0.45">
      <c r="A1904" s="47" t="s">
        <v>358</v>
      </c>
      <c r="B1904" s="1018" t="s">
        <v>1158</v>
      </c>
      <c r="C1904" s="1019"/>
      <c r="D1904" s="1020"/>
      <c r="E1904" s="221">
        <f>+E1903*0.15</f>
        <v>0.39900000000000002</v>
      </c>
      <c r="F1904" s="222" t="s">
        <v>35</v>
      </c>
      <c r="G1904" s="79"/>
      <c r="H1904" s="216"/>
      <c r="I1904" s="47">
        <v>1.01</v>
      </c>
      <c r="J1904" s="47"/>
      <c r="K1904" s="216">
        <f>E1904*I1904</f>
        <v>0.40299000000000001</v>
      </c>
      <c r="L1904" s="47" t="s">
        <v>35</v>
      </c>
      <c r="M1904" s="25"/>
      <c r="N1904" s="26"/>
      <c r="O1904" s="2"/>
      <c r="P1904" s="27"/>
      <c r="Q1904" s="26"/>
      <c r="R1904" s="28"/>
    </row>
    <row r="1905" spans="1:18" ht="30" customHeight="1" x14ac:dyDescent="0.45">
      <c r="A1905" s="47" t="s">
        <v>358</v>
      </c>
      <c r="B1905" s="1018" t="s">
        <v>1166</v>
      </c>
      <c r="C1905" s="1019"/>
      <c r="D1905" s="1020"/>
      <c r="E1905" s="216">
        <f xml:space="preserve"> 0.58+((1.15+1.71)/2)</f>
        <v>2.0099999999999998</v>
      </c>
      <c r="F1905" s="222" t="s">
        <v>35</v>
      </c>
      <c r="G1905" s="79"/>
      <c r="H1905" s="216"/>
      <c r="I1905" s="47">
        <v>1.01</v>
      </c>
      <c r="J1905" s="47"/>
      <c r="K1905" s="216">
        <f>E1905*I1905</f>
        <v>2.0301</v>
      </c>
      <c r="L1905" s="47" t="s">
        <v>35</v>
      </c>
      <c r="M1905" s="84"/>
      <c r="N1905" s="26"/>
      <c r="O1905" s="2"/>
      <c r="P1905" s="27"/>
      <c r="Q1905" s="26"/>
      <c r="R1905" s="28"/>
    </row>
    <row r="1906" spans="1:18" ht="30" customHeight="1" x14ac:dyDescent="0.45">
      <c r="A1906" s="47"/>
      <c r="B1906" s="1092"/>
      <c r="C1906" s="1092"/>
      <c r="D1906" s="1092"/>
      <c r="E1906" s="221"/>
      <c r="F1906" s="47"/>
      <c r="G1906" s="58"/>
      <c r="H1906" s="179"/>
      <c r="I1906" s="47"/>
      <c r="J1906" s="47" t="s">
        <v>38</v>
      </c>
      <c r="K1906" s="221">
        <f>SUM(K1902:K1905)</f>
        <v>82.879590000000007</v>
      </c>
      <c r="L1906" s="47" t="s">
        <v>35</v>
      </c>
      <c r="M1906" s="25"/>
      <c r="N1906" s="26"/>
      <c r="O1906" s="2"/>
      <c r="P1906" s="27"/>
      <c r="Q1906" s="26"/>
      <c r="R1906" s="28"/>
    </row>
    <row r="1907" spans="1:18" ht="30" customHeight="1" x14ac:dyDescent="0.45">
      <c r="A1907" s="47"/>
      <c r="B1907" s="224"/>
      <c r="C1907" s="224"/>
      <c r="D1907" s="224"/>
      <c r="E1907" s="221"/>
      <c r="F1907" s="1011" t="s">
        <v>285</v>
      </c>
      <c r="G1907" s="1013" t="s">
        <v>286</v>
      </c>
      <c r="H1907" s="1013"/>
      <c r="I1907" s="1013"/>
      <c r="J1907" s="1013"/>
      <c r="K1907" s="278">
        <v>1.07</v>
      </c>
      <c r="L1907" s="47"/>
      <c r="M1907" s="25"/>
      <c r="N1907" s="26"/>
      <c r="O1907" s="2"/>
      <c r="P1907" s="27"/>
      <c r="Q1907" s="26"/>
      <c r="R1907" s="28"/>
    </row>
    <row r="1908" spans="1:18" ht="30" customHeight="1" x14ac:dyDescent="0.45">
      <c r="A1908" s="47"/>
      <c r="B1908" s="224"/>
      <c r="C1908" s="224"/>
      <c r="D1908" s="224"/>
      <c r="E1908" s="221"/>
      <c r="F1908" s="1012"/>
      <c r="G1908" s="1014" t="s">
        <v>580</v>
      </c>
      <c r="H1908" s="1014"/>
      <c r="I1908" s="1014"/>
      <c r="J1908" s="1014"/>
      <c r="K1908" s="278">
        <v>1.08</v>
      </c>
      <c r="L1908" s="47"/>
      <c r="M1908" s="25"/>
      <c r="N1908" s="26"/>
      <c r="O1908" s="2"/>
      <c r="P1908" s="27"/>
      <c r="Q1908" s="26"/>
      <c r="R1908" s="28"/>
    </row>
    <row r="1909" spans="1:18" ht="30" customHeight="1" x14ac:dyDescent="0.45">
      <c r="A1909" s="47"/>
      <c r="B1909" s="47"/>
      <c r="C1909" s="58"/>
      <c r="D1909" s="58"/>
      <c r="E1909" s="58"/>
      <c r="F1909" s="524"/>
      <c r="G1909" s="58"/>
      <c r="H1909" s="58"/>
      <c r="I1909" s="58"/>
      <c r="J1909" s="58" t="s">
        <v>39</v>
      </c>
      <c r="K1909" s="216">
        <f>+K1906*K1907/K1908</f>
        <v>82.112186388888901</v>
      </c>
      <c r="L1909" s="47" t="s">
        <v>35</v>
      </c>
      <c r="M1909" s="25"/>
      <c r="N1909" s="26"/>
      <c r="O1909" s="2"/>
      <c r="P1909" s="27"/>
      <c r="Q1909" s="26"/>
      <c r="R1909" s="28"/>
    </row>
    <row r="1910" spans="1:18" ht="30" customHeight="1" x14ac:dyDescent="0.45">
      <c r="A1910" s="47"/>
      <c r="B1910" s="58"/>
      <c r="C1910" s="58"/>
      <c r="D1910" s="58"/>
      <c r="E1910" s="58"/>
      <c r="F1910" s="524"/>
      <c r="G1910" s="1021" t="s">
        <v>288</v>
      </c>
      <c r="H1910" s="1022"/>
      <c r="I1910" s="1023"/>
      <c r="J1910" s="213">
        <f>VLOOKUP(B1900,'[1]Mil Cost Premiums for PUCs'!$A$4:$R$278,18,FALSE)</f>
        <v>1.1932356231980656</v>
      </c>
      <c r="K1910" s="216">
        <f>+K1909*J1910</f>
        <v>97.979185897901573</v>
      </c>
      <c r="L1910" s="47" t="s">
        <v>35</v>
      </c>
      <c r="M1910" s="25"/>
      <c r="O1910" s="27"/>
      <c r="P1910" s="26"/>
    </row>
    <row r="1911" spans="1:18" ht="30" customHeight="1" x14ac:dyDescent="0.45">
      <c r="A1911" s="47"/>
      <c r="B1911" s="47"/>
      <c r="C1911" s="58"/>
      <c r="D1911" s="58"/>
      <c r="E1911" s="58"/>
      <c r="F1911" s="1313" t="s">
        <v>581</v>
      </c>
      <c r="G1911" s="1024"/>
      <c r="H1911" s="1024"/>
      <c r="I1911" s="1024"/>
      <c r="J1911" s="543">
        <v>1.0833999999999999</v>
      </c>
      <c r="K1911" s="363">
        <f>K1910*J1911</f>
        <v>106.15065000178656</v>
      </c>
      <c r="L1911" s="225" t="s">
        <v>35</v>
      </c>
      <c r="M1911" s="25"/>
      <c r="O1911" s="27"/>
      <c r="P1911" s="26"/>
    </row>
    <row r="1912" spans="1:18" ht="30" customHeight="1" thickBot="1" x14ac:dyDescent="0.5">
      <c r="A1912" s="225"/>
      <c r="B1912" s="225"/>
      <c r="C1912" s="150"/>
      <c r="D1912" s="150"/>
      <c r="E1912" s="150"/>
      <c r="F1912" s="150"/>
      <c r="G1912" s="1025" t="s">
        <v>299</v>
      </c>
      <c r="H1912" s="1026"/>
      <c r="I1912" s="1027"/>
      <c r="J1912" s="226">
        <v>1.1214</v>
      </c>
      <c r="K1912" s="227">
        <f>+K1911*J1912</f>
        <v>119.03733891200345</v>
      </c>
      <c r="L1912" s="225" t="s">
        <v>35</v>
      </c>
      <c r="M1912" s="25"/>
    </row>
    <row r="1913" spans="1:18" ht="30" customHeight="1" thickBot="1" x14ac:dyDescent="0.5">
      <c r="A1913" s="999"/>
      <c r="B1913" s="1000"/>
      <c r="C1913" s="1000"/>
      <c r="D1913" s="1000"/>
      <c r="E1913" s="1000"/>
      <c r="F1913" s="1000"/>
      <c r="G1913" s="1000"/>
      <c r="H1913" s="1000"/>
      <c r="I1913" s="1000"/>
      <c r="J1913" s="1000"/>
      <c r="K1913" s="1000"/>
      <c r="L1913" s="1001"/>
      <c r="O1913" s="27"/>
      <c r="P1913" s="26"/>
    </row>
    <row r="1914" spans="1:18" ht="30" customHeight="1" x14ac:dyDescent="0.45">
      <c r="A1914" s="9" t="s">
        <v>4</v>
      </c>
      <c r="B1914" s="10">
        <v>2261</v>
      </c>
      <c r="C1914" s="983" t="s">
        <v>1231</v>
      </c>
      <c r="D1914" s="984"/>
      <c r="E1914" s="13" t="s">
        <v>7</v>
      </c>
      <c r="F1914" s="14" t="s">
        <v>35</v>
      </c>
      <c r="G1914" s="11" t="s">
        <v>6</v>
      </c>
      <c r="H1914" s="300">
        <v>7689.2428377230199</v>
      </c>
      <c r="I1914" s="13" t="s">
        <v>9</v>
      </c>
      <c r="J1914" s="985" t="s">
        <v>276</v>
      </c>
      <c r="K1914" s="985"/>
      <c r="L1914" s="986"/>
      <c r="M1914" s="25"/>
      <c r="N1914" s="26"/>
      <c r="O1914" s="2"/>
      <c r="P1914" s="27"/>
      <c r="Q1914" s="26"/>
      <c r="R1914" s="28"/>
    </row>
    <row r="1915" spans="1:18" ht="30" customHeight="1" x14ac:dyDescent="0.45">
      <c r="A1915" s="85" t="s">
        <v>277</v>
      </c>
      <c r="B1915" s="987" t="s">
        <v>293</v>
      </c>
      <c r="C1915" s="988"/>
      <c r="D1915" s="989"/>
      <c r="E1915" s="220" t="s">
        <v>13</v>
      </c>
      <c r="F1915" s="220" t="s">
        <v>14</v>
      </c>
      <c r="G1915" s="990" t="s">
        <v>15</v>
      </c>
      <c r="H1915" s="991"/>
      <c r="I1915" s="504" t="s">
        <v>1044</v>
      </c>
      <c r="J1915" s="19" t="s">
        <v>278</v>
      </c>
      <c r="K1915" s="992" t="s">
        <v>17</v>
      </c>
      <c r="L1915" s="993"/>
      <c r="M1915" s="25"/>
      <c r="O1915" s="27"/>
      <c r="P1915" s="26"/>
    </row>
    <row r="1916" spans="1:18" ht="30" customHeight="1" x14ac:dyDescent="0.45">
      <c r="A1916" s="47" t="s">
        <v>1045</v>
      </c>
      <c r="B1916" s="1142" t="s">
        <v>1168</v>
      </c>
      <c r="C1916" s="1117"/>
      <c r="D1916" s="1118"/>
      <c r="E1916" s="221">
        <f>205-3.15</f>
        <v>201.85</v>
      </c>
      <c r="F1916" s="47" t="s">
        <v>35</v>
      </c>
      <c r="G1916" s="348"/>
      <c r="H1916" s="349"/>
      <c r="I1916" s="505">
        <f>+E1916</f>
        <v>201.85</v>
      </c>
      <c r="J1916" s="47">
        <v>1.1299999999999999</v>
      </c>
      <c r="K1916" s="378">
        <f t="shared" ref="K1916:K1923" si="49">+I1916*J1916</f>
        <v>228.09049999999996</v>
      </c>
      <c r="L1916" s="47" t="s">
        <v>35</v>
      </c>
      <c r="O1916" s="27"/>
      <c r="P1916" s="26"/>
      <c r="Q1916" s="28"/>
    </row>
    <row r="1917" spans="1:18" ht="50.25" customHeight="1" x14ac:dyDescent="0.45">
      <c r="A1917" s="47" t="s">
        <v>358</v>
      </c>
      <c r="B1917" s="1092" t="s">
        <v>365</v>
      </c>
      <c r="C1917" s="1092"/>
      <c r="D1917" s="1092"/>
      <c r="E1917" s="216">
        <v>5.38</v>
      </c>
      <c r="F1917" s="47" t="s">
        <v>35</v>
      </c>
      <c r="G1917" s="42"/>
      <c r="H1917" s="206"/>
      <c r="I1917" s="506">
        <f>+E1917</f>
        <v>5.38</v>
      </c>
      <c r="J1917" s="47">
        <v>1.1299999999999999</v>
      </c>
      <c r="K1917" s="378">
        <f t="shared" si="49"/>
        <v>6.0793999999999997</v>
      </c>
      <c r="L1917" s="47" t="s">
        <v>35</v>
      </c>
      <c r="M1917" s="25"/>
      <c r="O1917" s="27"/>
      <c r="P1917" s="26"/>
    </row>
    <row r="1918" spans="1:18" ht="30" customHeight="1" x14ac:dyDescent="0.45">
      <c r="A1918" s="47" t="s">
        <v>358</v>
      </c>
      <c r="B1918" s="1018" t="s">
        <v>1047</v>
      </c>
      <c r="C1918" s="1019"/>
      <c r="D1918" s="1020"/>
      <c r="E1918" s="216">
        <f>0.15*E1917</f>
        <v>0.80699999999999994</v>
      </c>
      <c r="F1918" s="222" t="s">
        <v>35</v>
      </c>
      <c r="G1918" s="42"/>
      <c r="H1918" s="206"/>
      <c r="I1918" s="506">
        <f>+E1918</f>
        <v>0.80699999999999994</v>
      </c>
      <c r="J1918" s="47">
        <v>1.1299999999999999</v>
      </c>
      <c r="K1918" s="378">
        <f t="shared" si="49"/>
        <v>0.91190999999999989</v>
      </c>
      <c r="L1918" s="47" t="s">
        <v>35</v>
      </c>
      <c r="M1918" s="25"/>
      <c r="O1918" s="27"/>
      <c r="P1918" s="26"/>
    </row>
    <row r="1919" spans="1:18" ht="30" customHeight="1" x14ac:dyDescent="0.45">
      <c r="A1919" s="47" t="s">
        <v>358</v>
      </c>
      <c r="B1919" s="1092" t="s">
        <v>1048</v>
      </c>
      <c r="C1919" s="1092"/>
      <c r="D1919" s="1092"/>
      <c r="E1919" s="216">
        <f xml:space="preserve"> 0.72+((1.42+2.11)/2)</f>
        <v>2.4849999999999999</v>
      </c>
      <c r="F1919" s="47" t="s">
        <v>35</v>
      </c>
      <c r="G1919" s="42"/>
      <c r="H1919" s="206"/>
      <c r="I1919" s="506">
        <f>+E1919</f>
        <v>2.4849999999999999</v>
      </c>
      <c r="J1919" s="47">
        <v>1.1299999999999999</v>
      </c>
      <c r="K1919" s="378">
        <f t="shared" si="49"/>
        <v>2.8080499999999997</v>
      </c>
      <c r="L1919" s="47" t="s">
        <v>35</v>
      </c>
      <c r="M1919" s="25"/>
      <c r="N1919" s="26"/>
      <c r="O1919" s="2"/>
      <c r="P1919" s="27"/>
      <c r="Q1919" s="26"/>
      <c r="R1919" s="28"/>
    </row>
    <row r="1920" spans="1:18" ht="30" customHeight="1" x14ac:dyDescent="0.45">
      <c r="A1920" s="47" t="s">
        <v>470</v>
      </c>
      <c r="B1920" s="1018" t="s">
        <v>1209</v>
      </c>
      <c r="C1920" s="1019"/>
      <c r="D1920" s="1020"/>
      <c r="E1920" s="221">
        <v>204000</v>
      </c>
      <c r="F1920" s="222" t="s">
        <v>88</v>
      </c>
      <c r="G1920" s="42"/>
      <c r="H1920" s="206"/>
      <c r="I1920" s="506">
        <f>+E1920/H1914</f>
        <v>26.530570604323582</v>
      </c>
      <c r="J1920" s="47">
        <v>1.26</v>
      </c>
      <c r="K1920" s="378">
        <f t="shared" si="49"/>
        <v>33.428518961447715</v>
      </c>
      <c r="L1920" s="47" t="s">
        <v>35</v>
      </c>
      <c r="M1920" s="25"/>
      <c r="N1920" s="26"/>
      <c r="O1920" s="2"/>
      <c r="P1920" s="27"/>
      <c r="Q1920" s="26"/>
      <c r="R1920" s="28"/>
    </row>
    <row r="1921" spans="1:18" ht="30" customHeight="1" x14ac:dyDescent="0.45">
      <c r="A1921" s="47" t="s">
        <v>1050</v>
      </c>
      <c r="B1921" s="1018" t="s">
        <v>1210</v>
      </c>
      <c r="C1921" s="1019"/>
      <c r="D1921" s="1020"/>
      <c r="E1921" s="221">
        <f>(24+37.25)/2</f>
        <v>30.625</v>
      </c>
      <c r="F1921" s="222" t="s">
        <v>35</v>
      </c>
      <c r="G1921" s="42">
        <f>120*4</f>
        <v>480</v>
      </c>
      <c r="H1921" s="206" t="s">
        <v>479</v>
      </c>
      <c r="I1921" s="506">
        <f>+E1921*G1921/H1914</f>
        <v>1.9117617053115523</v>
      </c>
      <c r="J1921" s="47">
        <v>1.22</v>
      </c>
      <c r="K1921" s="378">
        <f t="shared" si="49"/>
        <v>2.3323492804800936</v>
      </c>
      <c r="L1921" s="47" t="s">
        <v>35</v>
      </c>
      <c r="M1921" s="25"/>
      <c r="N1921" s="26"/>
      <c r="O1921" s="2"/>
      <c r="P1921" s="27"/>
      <c r="Q1921" s="26"/>
      <c r="R1921" s="28"/>
    </row>
    <row r="1922" spans="1:18" ht="30" customHeight="1" x14ac:dyDescent="0.45">
      <c r="A1922" s="47" t="s">
        <v>1050</v>
      </c>
      <c r="B1922" s="1018" t="s">
        <v>1211</v>
      </c>
      <c r="C1922" s="1019"/>
      <c r="D1922" s="1020"/>
      <c r="E1922" s="221">
        <f>(2020+2850)/2</f>
        <v>2435</v>
      </c>
      <c r="F1922" s="222" t="s">
        <v>88</v>
      </c>
      <c r="G1922" s="42"/>
      <c r="H1922" s="206"/>
      <c r="I1922" s="506">
        <f>4*E1922/H1914</f>
        <v>1.2667046945397633</v>
      </c>
      <c r="J1922" s="47">
        <v>1.22</v>
      </c>
      <c r="K1922" s="378">
        <f t="shared" si="49"/>
        <v>1.5453797273385113</v>
      </c>
      <c r="L1922" s="47" t="s">
        <v>35</v>
      </c>
      <c r="M1922" s="25"/>
      <c r="N1922" s="26"/>
      <c r="O1922" s="2"/>
      <c r="P1922" s="27"/>
      <c r="Q1922" s="26"/>
      <c r="R1922" s="28"/>
    </row>
    <row r="1923" spans="1:18" ht="30" customHeight="1" x14ac:dyDescent="0.45">
      <c r="A1923" s="47" t="s">
        <v>1055</v>
      </c>
      <c r="B1923" s="1018" t="s">
        <v>1203</v>
      </c>
      <c r="C1923" s="1019"/>
      <c r="D1923" s="1020"/>
      <c r="E1923" s="221">
        <v>72.38</v>
      </c>
      <c r="F1923" s="222" t="s">
        <v>113</v>
      </c>
      <c r="G1923" s="42">
        <f>4*10</f>
        <v>40</v>
      </c>
      <c r="H1923" s="206" t="s">
        <v>1204</v>
      </c>
      <c r="I1923" s="506">
        <f>+E1923*G1923/H1914</f>
        <v>0.37652601967469429</v>
      </c>
      <c r="J1923" s="47">
        <v>1.1200000000000001</v>
      </c>
      <c r="K1923" s="378">
        <f t="shared" si="49"/>
        <v>0.42170914203565762</v>
      </c>
      <c r="L1923" s="47" t="s">
        <v>35</v>
      </c>
      <c r="M1923" s="25"/>
      <c r="N1923" s="26"/>
      <c r="O1923" s="2"/>
      <c r="P1923" s="27"/>
      <c r="Q1923" s="26"/>
      <c r="R1923" s="28"/>
    </row>
    <row r="1924" spans="1:18" ht="30" customHeight="1" x14ac:dyDescent="0.45">
      <c r="A1924" s="47"/>
      <c r="B1924" s="1092"/>
      <c r="C1924" s="1092"/>
      <c r="D1924" s="1092"/>
      <c r="E1924" s="221"/>
      <c r="F1924" s="47"/>
      <c r="G1924" s="58"/>
      <c r="H1924" s="179"/>
      <c r="I1924" s="47"/>
      <c r="J1924" s="47" t="s">
        <v>38</v>
      </c>
      <c r="K1924" s="221">
        <f>SUM(K1916:K1923)</f>
        <v>275.61781711130197</v>
      </c>
      <c r="L1924" s="47" t="s">
        <v>35</v>
      </c>
      <c r="M1924" s="25"/>
      <c r="N1924" s="26"/>
      <c r="O1924" s="2"/>
      <c r="P1924" s="27"/>
      <c r="Q1924" s="26"/>
      <c r="R1924" s="28"/>
    </row>
    <row r="1925" spans="1:18" ht="30" customHeight="1" x14ac:dyDescent="0.45">
      <c r="A1925" s="47"/>
      <c r="B1925" s="224"/>
      <c r="C1925" s="224"/>
      <c r="D1925" s="224"/>
      <c r="E1925" s="221"/>
      <c r="F1925" s="1011" t="s">
        <v>285</v>
      </c>
      <c r="G1925" s="1013" t="s">
        <v>286</v>
      </c>
      <c r="H1925" s="1013"/>
      <c r="I1925" s="1013"/>
      <c r="J1925" s="1013"/>
      <c r="K1925" s="278">
        <v>1.04</v>
      </c>
      <c r="L1925" s="47"/>
      <c r="M1925" s="25"/>
      <c r="N1925" s="26"/>
      <c r="O1925" s="2"/>
      <c r="P1925" s="27"/>
      <c r="Q1925" s="26"/>
      <c r="R1925" s="28"/>
    </row>
    <row r="1926" spans="1:18" ht="30" customHeight="1" x14ac:dyDescent="0.45">
      <c r="A1926" s="47"/>
      <c r="B1926" s="224"/>
      <c r="C1926" s="224"/>
      <c r="D1926" s="224"/>
      <c r="E1926" s="221"/>
      <c r="F1926" s="1012"/>
      <c r="G1926" s="1014" t="s">
        <v>287</v>
      </c>
      <c r="H1926" s="1014"/>
      <c r="I1926" s="1014"/>
      <c r="J1926" s="1014"/>
      <c r="K1926" s="278">
        <v>1.05</v>
      </c>
      <c r="L1926" s="47"/>
      <c r="M1926" s="25"/>
      <c r="N1926" s="26"/>
      <c r="O1926" s="2"/>
      <c r="P1926" s="27"/>
      <c r="Q1926" s="26"/>
      <c r="R1926" s="28"/>
    </row>
    <row r="1927" spans="1:18" ht="30" customHeight="1" x14ac:dyDescent="0.45">
      <c r="A1927" s="47"/>
      <c r="B1927" s="1282"/>
      <c r="C1927" s="1282"/>
      <c r="D1927" s="1282"/>
      <c r="E1927" s="58"/>
      <c r="F1927" s="58"/>
      <c r="G1927" s="58"/>
      <c r="H1927" s="58"/>
      <c r="I1927" s="58"/>
      <c r="J1927" s="58" t="s">
        <v>39</v>
      </c>
      <c r="K1927" s="216">
        <f>+K1924*K1925/K1926</f>
        <v>272.99288551976576</v>
      </c>
      <c r="L1927" s="47" t="s">
        <v>35</v>
      </c>
      <c r="M1927" s="25"/>
      <c r="N1927" s="26"/>
      <c r="O1927" s="2"/>
      <c r="P1927" s="27"/>
      <c r="Q1927" s="26"/>
      <c r="R1927" s="28"/>
    </row>
    <row r="1928" spans="1:18" ht="30" customHeight="1" thickBot="1" x14ac:dyDescent="0.5">
      <c r="A1928" s="47"/>
      <c r="B1928" s="1310"/>
      <c r="C1928" s="1311"/>
      <c r="D1928" s="1312"/>
      <c r="E1928" s="58"/>
      <c r="F1928" s="58"/>
      <c r="G1928" s="1309" t="s">
        <v>1112</v>
      </c>
      <c r="H1928" s="1309"/>
      <c r="I1928" s="1309"/>
      <c r="J1928" s="213">
        <f>VLOOKUP(B1914,'[1]Mil Cost Premiums for PUCs'!$A$4:$R$278,18,FALSE)</f>
        <v>1.1932356231980656</v>
      </c>
      <c r="K1928" s="216">
        <f>+K1927*J1928</f>
        <v>325.7448358818159</v>
      </c>
      <c r="L1928" s="47" t="s">
        <v>35</v>
      </c>
      <c r="N1928" s="26"/>
      <c r="O1928" s="2"/>
      <c r="P1928" s="27"/>
      <c r="Q1928" s="26"/>
      <c r="R1928" s="28"/>
    </row>
    <row r="1929" spans="1:18" ht="30" customHeight="1" thickBot="1" x14ac:dyDescent="0.5">
      <c r="A1929" s="999"/>
      <c r="B1929" s="1000"/>
      <c r="C1929" s="1000"/>
      <c r="D1929" s="1000"/>
      <c r="E1929" s="1000"/>
      <c r="F1929" s="1000"/>
      <c r="G1929" s="1000"/>
      <c r="H1929" s="1000"/>
      <c r="I1929" s="1000"/>
      <c r="J1929" s="1000"/>
      <c r="K1929" s="1000"/>
      <c r="L1929" s="1001"/>
      <c r="M1929" s="25"/>
      <c r="N1929" s="26"/>
      <c r="O1929" s="2"/>
      <c r="P1929" s="27"/>
      <c r="Q1929" s="26"/>
      <c r="R1929" s="28"/>
    </row>
    <row r="1930" spans="1:18" ht="30" customHeight="1" x14ac:dyDescent="0.45">
      <c r="A1930" s="9" t="s">
        <v>4</v>
      </c>
      <c r="B1930" s="10">
        <v>2262</v>
      </c>
      <c r="C1930" s="983" t="s">
        <v>1232</v>
      </c>
      <c r="D1930" s="984"/>
      <c r="E1930" s="13" t="s">
        <v>7</v>
      </c>
      <c r="F1930" s="14" t="s">
        <v>35</v>
      </c>
      <c r="G1930" s="11" t="s">
        <v>6</v>
      </c>
      <c r="H1930" s="300">
        <v>3112</v>
      </c>
      <c r="I1930" s="13" t="s">
        <v>9</v>
      </c>
      <c r="J1930" s="985" t="s">
        <v>575</v>
      </c>
      <c r="K1930" s="985"/>
      <c r="L1930" s="986"/>
      <c r="M1930" s="25"/>
      <c r="N1930" s="26"/>
      <c r="O1930" s="2"/>
      <c r="P1930" s="27"/>
      <c r="Q1930" s="26"/>
      <c r="R1930" s="28"/>
    </row>
    <row r="1931" spans="1:18" ht="30" customHeight="1" x14ac:dyDescent="0.45">
      <c r="A1931" s="85" t="s">
        <v>277</v>
      </c>
      <c r="B1931" s="987" t="s">
        <v>293</v>
      </c>
      <c r="C1931" s="988"/>
      <c r="D1931" s="989"/>
      <c r="E1931" s="220" t="s">
        <v>13</v>
      </c>
      <c r="F1931" s="220" t="s">
        <v>14</v>
      </c>
      <c r="G1931" s="990" t="s">
        <v>15</v>
      </c>
      <c r="H1931" s="991"/>
      <c r="I1931" s="19" t="s">
        <v>278</v>
      </c>
      <c r="J1931" s="19"/>
      <c r="K1931" s="992" t="s">
        <v>17</v>
      </c>
      <c r="L1931" s="993"/>
      <c r="M1931" s="25"/>
      <c r="N1931" s="26"/>
      <c r="O1931" s="2"/>
      <c r="P1931" s="27"/>
      <c r="Q1931" s="26"/>
      <c r="R1931" s="28"/>
    </row>
    <row r="1932" spans="1:18" ht="30" customHeight="1" x14ac:dyDescent="0.45">
      <c r="A1932" s="47" t="s">
        <v>1045</v>
      </c>
      <c r="B1932" s="1018" t="s">
        <v>1233</v>
      </c>
      <c r="C1932" s="1019"/>
      <c r="D1932" s="1020"/>
      <c r="E1932" s="221">
        <f>164-2.51</f>
        <v>161.49</v>
      </c>
      <c r="F1932" s="47" t="s">
        <v>35</v>
      </c>
      <c r="G1932" s="47"/>
      <c r="H1932" s="47"/>
      <c r="I1932" s="47">
        <v>1.01</v>
      </c>
      <c r="J1932" s="47"/>
      <c r="K1932" s="221">
        <f>+E1932*I1932</f>
        <v>163.10490000000001</v>
      </c>
      <c r="L1932" s="47" t="s">
        <v>35</v>
      </c>
      <c r="M1932" s="25"/>
      <c r="N1932" s="26"/>
      <c r="O1932" s="2"/>
      <c r="P1932" s="27"/>
      <c r="Q1932" s="26"/>
      <c r="R1932" s="28"/>
    </row>
    <row r="1933" spans="1:18" ht="30" customHeight="1" x14ac:dyDescent="0.45">
      <c r="A1933" s="47" t="s">
        <v>358</v>
      </c>
      <c r="B1933" s="1008" t="s">
        <v>1207</v>
      </c>
      <c r="C1933" s="1009"/>
      <c r="D1933" s="1009"/>
      <c r="E1933" s="221">
        <v>3.95</v>
      </c>
      <c r="F1933" s="222" t="s">
        <v>35</v>
      </c>
      <c r="G1933" s="58"/>
      <c r="H1933" s="179"/>
      <c r="I1933" s="47">
        <v>1.01</v>
      </c>
      <c r="J1933" s="47"/>
      <c r="K1933" s="221">
        <f>+E1933*I1933</f>
        <v>3.9895</v>
      </c>
      <c r="L1933" s="47" t="s">
        <v>35</v>
      </c>
      <c r="M1933" s="25"/>
      <c r="N1933" s="26"/>
      <c r="O1933" s="2"/>
      <c r="P1933" s="27"/>
      <c r="Q1933" s="26"/>
      <c r="R1933" s="28"/>
    </row>
    <row r="1934" spans="1:18" ht="30" customHeight="1" x14ac:dyDescent="0.45">
      <c r="A1934" s="47" t="s">
        <v>358</v>
      </c>
      <c r="B1934" s="1018" t="s">
        <v>1158</v>
      </c>
      <c r="C1934" s="1019"/>
      <c r="D1934" s="1020"/>
      <c r="E1934" s="221">
        <f>+E1933*0.15</f>
        <v>0.59250000000000003</v>
      </c>
      <c r="F1934" s="222" t="s">
        <v>35</v>
      </c>
      <c r="G1934" s="79"/>
      <c r="H1934" s="216">
        <f>E1934</f>
        <v>0.59250000000000003</v>
      </c>
      <c r="I1934" s="47">
        <v>1.01</v>
      </c>
      <c r="J1934" s="47"/>
      <c r="K1934" s="216">
        <f>+H1934*I1934</f>
        <v>0.59842499999999998</v>
      </c>
      <c r="L1934" s="47" t="s">
        <v>35</v>
      </c>
      <c r="M1934" s="25"/>
      <c r="N1934" s="26"/>
      <c r="O1934" s="2"/>
      <c r="P1934" s="27"/>
      <c r="Q1934" s="26"/>
      <c r="R1934" s="28"/>
    </row>
    <row r="1935" spans="1:18" ht="30" customHeight="1" x14ac:dyDescent="0.45">
      <c r="A1935" s="47" t="s">
        <v>358</v>
      </c>
      <c r="B1935" s="1018" t="s">
        <v>1166</v>
      </c>
      <c r="C1935" s="1019"/>
      <c r="D1935" s="1020"/>
      <c r="E1935" s="216">
        <f xml:space="preserve"> 0.58+((1.15+1.71)/2)</f>
        <v>2.0099999999999998</v>
      </c>
      <c r="F1935" s="222" t="s">
        <v>35</v>
      </c>
      <c r="G1935" s="79"/>
      <c r="H1935" s="216">
        <f>E1935</f>
        <v>2.0099999999999998</v>
      </c>
      <c r="I1935" s="47">
        <v>1.01</v>
      </c>
      <c r="J1935" s="47"/>
      <c r="K1935" s="216">
        <f>+H1935*I1935</f>
        <v>2.0301</v>
      </c>
      <c r="L1935" s="47" t="s">
        <v>35</v>
      </c>
      <c r="M1935" s="25"/>
      <c r="N1935" s="26"/>
      <c r="O1935" s="2"/>
      <c r="P1935" s="27"/>
      <c r="Q1935" s="26"/>
      <c r="R1935" s="28"/>
    </row>
    <row r="1936" spans="1:18" ht="30" customHeight="1" x14ac:dyDescent="0.45">
      <c r="A1936" s="47"/>
      <c r="B1936" s="1092"/>
      <c r="C1936" s="1092"/>
      <c r="D1936" s="1092"/>
      <c r="E1936" s="221"/>
      <c r="F1936" s="47"/>
      <c r="G1936" s="58"/>
      <c r="H1936" s="179"/>
      <c r="I1936" s="47"/>
      <c r="J1936" s="47" t="s">
        <v>38</v>
      </c>
      <c r="K1936" s="221">
        <f>SUM(K1932:K1933)</f>
        <v>167.09440000000001</v>
      </c>
      <c r="L1936" s="47" t="s">
        <v>35</v>
      </c>
      <c r="M1936" s="25"/>
      <c r="N1936" s="26"/>
      <c r="O1936" s="2"/>
      <c r="P1936" s="27"/>
      <c r="Q1936" s="26"/>
      <c r="R1936" s="28"/>
    </row>
    <row r="1937" spans="1:18" ht="30" customHeight="1" x14ac:dyDescent="0.45">
      <c r="A1937" s="47"/>
      <c r="B1937" s="224"/>
      <c r="C1937" s="224"/>
      <c r="D1937" s="224"/>
      <c r="E1937" s="221"/>
      <c r="F1937" s="1011" t="s">
        <v>285</v>
      </c>
      <c r="G1937" s="1013" t="s">
        <v>286</v>
      </c>
      <c r="H1937" s="1013"/>
      <c r="I1937" s="1013"/>
      <c r="J1937" s="1013"/>
      <c r="K1937" s="278">
        <v>1.08</v>
      </c>
      <c r="L1937" s="47"/>
      <c r="M1937" s="25"/>
      <c r="N1937" s="26"/>
      <c r="O1937" s="2"/>
      <c r="P1937" s="27"/>
      <c r="Q1937" s="26"/>
      <c r="R1937" s="28"/>
    </row>
    <row r="1938" spans="1:18" ht="30" customHeight="1" x14ac:dyDescent="0.45">
      <c r="A1938" s="47"/>
      <c r="B1938" s="224"/>
      <c r="C1938" s="224"/>
      <c r="D1938" s="224"/>
      <c r="E1938" s="221"/>
      <c r="F1938" s="1012"/>
      <c r="G1938" s="1014" t="s">
        <v>580</v>
      </c>
      <c r="H1938" s="1014"/>
      <c r="I1938" s="1014"/>
      <c r="J1938" s="1014"/>
      <c r="K1938" s="278">
        <v>1.08</v>
      </c>
      <c r="L1938" s="47"/>
      <c r="M1938" s="25"/>
      <c r="N1938" s="26"/>
      <c r="O1938" s="2"/>
      <c r="P1938" s="27"/>
      <c r="Q1938" s="26"/>
      <c r="R1938" s="28"/>
    </row>
    <row r="1939" spans="1:18" ht="30" customHeight="1" x14ac:dyDescent="0.45">
      <c r="A1939" s="47"/>
      <c r="B1939" s="47"/>
      <c r="C1939" s="58"/>
      <c r="D1939" s="58"/>
      <c r="E1939" s="58"/>
      <c r="F1939" s="58"/>
      <c r="G1939" s="58"/>
      <c r="H1939" s="58"/>
      <c r="I1939" s="58"/>
      <c r="J1939" s="58" t="s">
        <v>39</v>
      </c>
      <c r="K1939" s="216">
        <f>+K1936*K1937/K1938</f>
        <v>167.09440000000001</v>
      </c>
      <c r="L1939" s="47" t="s">
        <v>35</v>
      </c>
      <c r="M1939" s="25"/>
      <c r="N1939" s="26"/>
      <c r="O1939" s="2"/>
      <c r="P1939" s="27"/>
      <c r="Q1939" s="26"/>
      <c r="R1939" s="28"/>
    </row>
    <row r="1940" spans="1:18" ht="30" customHeight="1" x14ac:dyDescent="0.45">
      <c r="A1940" s="47"/>
      <c r="B1940" s="47"/>
      <c r="C1940" s="58"/>
      <c r="D1940" s="58"/>
      <c r="E1940" s="58"/>
      <c r="F1940" s="58"/>
      <c r="G1940" s="1021" t="s">
        <v>288</v>
      </c>
      <c r="H1940" s="1022"/>
      <c r="I1940" s="1023"/>
      <c r="J1940" s="213">
        <f>VLOOKUP(B1930,'[1]Mil Cost Premiums for PUCs'!$A$4:$R$278,18,FALSE)</f>
        <v>1.0905505199999999</v>
      </c>
      <c r="K1940" s="216">
        <f>+K1939*J1940</f>
        <v>182.224884809088</v>
      </c>
      <c r="L1940" s="47" t="s">
        <v>35</v>
      </c>
      <c r="M1940" s="25"/>
      <c r="N1940" s="26"/>
      <c r="O1940" s="2"/>
      <c r="P1940" s="27"/>
      <c r="Q1940" s="26"/>
      <c r="R1940" s="28"/>
    </row>
    <row r="1941" spans="1:18" ht="30" customHeight="1" x14ac:dyDescent="0.45">
      <c r="A1941" s="531"/>
      <c r="B1941" s="531"/>
      <c r="C1941" s="538"/>
      <c r="D1941" s="538"/>
      <c r="E1941" s="552"/>
      <c r="F1941" s="1024" t="s">
        <v>581</v>
      </c>
      <c r="G1941" s="1024"/>
      <c r="H1941" s="1024"/>
      <c r="I1941" s="1024"/>
      <c r="J1941" s="543">
        <v>1.0833999999999999</v>
      </c>
      <c r="K1941" s="363">
        <f>K1940*J1941</f>
        <v>197.42244020216592</v>
      </c>
      <c r="L1941" s="225" t="s">
        <v>35</v>
      </c>
      <c r="M1941" s="156"/>
      <c r="N1941" s="26"/>
      <c r="O1941" s="2"/>
      <c r="P1941" s="27"/>
      <c r="Q1941" s="26"/>
      <c r="R1941" s="28"/>
    </row>
    <row r="1942" spans="1:18" ht="30" customHeight="1" thickBot="1" x14ac:dyDescent="0.5">
      <c r="A1942" s="225"/>
      <c r="B1942" s="225"/>
      <c r="C1942" s="150"/>
      <c r="D1942" s="150"/>
      <c r="E1942" s="150"/>
      <c r="F1942" s="150"/>
      <c r="G1942" s="1025" t="s">
        <v>299</v>
      </c>
      <c r="H1942" s="1026"/>
      <c r="I1942" s="1027"/>
      <c r="J1942" s="226">
        <v>1.1214</v>
      </c>
      <c r="K1942" s="227">
        <f>+K1941*J1942</f>
        <v>221.38952444270885</v>
      </c>
      <c r="L1942" s="225" t="s">
        <v>35</v>
      </c>
      <c r="M1942" s="25"/>
    </row>
    <row r="1943" spans="1:18" ht="30" customHeight="1" thickBot="1" x14ac:dyDescent="0.5">
      <c r="A1943" s="999"/>
      <c r="B1943" s="1000"/>
      <c r="C1943" s="1000"/>
      <c r="D1943" s="1000"/>
      <c r="E1943" s="1000"/>
      <c r="F1943" s="1000"/>
      <c r="G1943" s="1000"/>
      <c r="H1943" s="1000"/>
      <c r="I1943" s="1000"/>
      <c r="J1943" s="1000"/>
      <c r="K1943" s="1000"/>
      <c r="L1943" s="1001"/>
      <c r="M1943" s="156"/>
      <c r="N1943" s="26"/>
      <c r="O1943" s="2"/>
      <c r="P1943" s="27"/>
      <c r="Q1943" s="26"/>
      <c r="R1943" s="28"/>
    </row>
    <row r="1944" spans="1:18" ht="30" customHeight="1" x14ac:dyDescent="0.45">
      <c r="A1944" s="9" t="s">
        <v>4</v>
      </c>
      <c r="B1944" s="10">
        <v>2264</v>
      </c>
      <c r="C1944" s="1138" t="s">
        <v>1234</v>
      </c>
      <c r="D1944" s="1139"/>
      <c r="E1944" s="13" t="s">
        <v>7</v>
      </c>
      <c r="F1944" s="14" t="s">
        <v>35</v>
      </c>
      <c r="G1944" s="11" t="s">
        <v>6</v>
      </c>
      <c r="H1944" s="184">
        <v>4935.1899999999996</v>
      </c>
      <c r="I1944" s="13" t="s">
        <v>9</v>
      </c>
      <c r="J1944" s="985" t="s">
        <v>1235</v>
      </c>
      <c r="K1944" s="985"/>
      <c r="L1944" s="986"/>
      <c r="M1944" s="156"/>
      <c r="N1944" s="156"/>
      <c r="O1944" s="2"/>
      <c r="P1944" s="27"/>
      <c r="Q1944" s="26"/>
      <c r="R1944" s="28"/>
    </row>
    <row r="1945" spans="1:18" ht="30" customHeight="1" x14ac:dyDescent="0.45">
      <c r="A1945" s="19" t="s">
        <v>11</v>
      </c>
      <c r="B1945" s="1005" t="s">
        <v>12</v>
      </c>
      <c r="C1945" s="1005"/>
      <c r="D1945" s="1005"/>
      <c r="E1945" s="20" t="s">
        <v>13</v>
      </c>
      <c r="F1945" s="19" t="s">
        <v>267</v>
      </c>
      <c r="G1945" s="1114" t="s">
        <v>79</v>
      </c>
      <c r="H1945" s="1115"/>
      <c r="I1945" s="1068" t="s">
        <v>16</v>
      </c>
      <c r="J1945" s="1069"/>
      <c r="K1945" s="992" t="s">
        <v>17</v>
      </c>
      <c r="L1945" s="993"/>
      <c r="M1945" s="25"/>
      <c r="N1945" s="156"/>
      <c r="O1945" s="2"/>
      <c r="P1945" s="27"/>
      <c r="Q1945" s="26"/>
      <c r="R1945" s="28"/>
    </row>
    <row r="1946" spans="1:18" ht="30" customHeight="1" x14ac:dyDescent="0.45">
      <c r="A1946" s="47">
        <v>21630</v>
      </c>
      <c r="B1946" s="1008" t="s">
        <v>1236</v>
      </c>
      <c r="C1946" s="1009"/>
      <c r="D1946" s="1010"/>
      <c r="E1946" s="221">
        <v>1064</v>
      </c>
      <c r="F1946" s="394">
        <v>82500</v>
      </c>
      <c r="G1946" s="29" t="s">
        <v>35</v>
      </c>
      <c r="H1946" s="29"/>
      <c r="I1946" s="1161">
        <f>+'[1]2023 MILCON Inflation Table'!F8</f>
        <v>1.6732905027856291</v>
      </c>
      <c r="J1946" s="1162"/>
      <c r="K1946" s="36">
        <f>+E1946*I1946</f>
        <v>1780.3810949639094</v>
      </c>
      <c r="L1946" s="29" t="s">
        <v>35</v>
      </c>
      <c r="M1946" s="25"/>
      <c r="N1946" s="156"/>
      <c r="O1946" s="553"/>
      <c r="P1946" s="27"/>
      <c r="Q1946" s="26"/>
      <c r="R1946" s="28"/>
    </row>
    <row r="1947" spans="1:18" ht="30" customHeight="1" thickBot="1" x14ac:dyDescent="0.5">
      <c r="A1947" s="47"/>
      <c r="B1947" s="1008"/>
      <c r="C1947" s="1009"/>
      <c r="D1947" s="1010"/>
      <c r="E1947" s="161"/>
      <c r="F1947" s="415"/>
      <c r="G1947" s="161"/>
      <c r="H1947" s="389"/>
      <c r="I1947" s="58"/>
      <c r="J1947" s="85" t="s">
        <v>39</v>
      </c>
      <c r="K1947" s="185">
        <f>AVERAGE(K1946:K1946)</f>
        <v>1780.3810949639094</v>
      </c>
      <c r="L1947" s="29" t="s">
        <v>35</v>
      </c>
      <c r="M1947" s="25"/>
      <c r="N1947" s="26"/>
      <c r="O1947" s="2"/>
      <c r="P1947" s="27"/>
      <c r="Q1947" s="26"/>
      <c r="R1947" s="28"/>
    </row>
    <row r="1948" spans="1:18" ht="30" customHeight="1" thickBot="1" x14ac:dyDescent="0.5">
      <c r="A1948" s="999"/>
      <c r="B1948" s="1000"/>
      <c r="C1948" s="1000"/>
      <c r="D1948" s="1000"/>
      <c r="E1948" s="1000"/>
      <c r="F1948" s="1000"/>
      <c r="G1948" s="1000"/>
      <c r="H1948" s="1000"/>
      <c r="I1948" s="1000"/>
      <c r="J1948" s="1000"/>
      <c r="K1948" s="1000"/>
      <c r="L1948" s="1001"/>
      <c r="M1948" s="25"/>
      <c r="N1948" s="26"/>
      <c r="O1948" s="2"/>
      <c r="P1948" s="27"/>
      <c r="Q1948" s="26"/>
      <c r="R1948" s="28"/>
    </row>
    <row r="1949" spans="1:18" ht="30" customHeight="1" x14ac:dyDescent="0.45">
      <c r="A1949" s="9" t="s">
        <v>4</v>
      </c>
      <c r="B1949" s="10">
        <v>2265</v>
      </c>
      <c r="C1949" s="1138" t="s">
        <v>1236</v>
      </c>
      <c r="D1949" s="1139"/>
      <c r="E1949" s="13" t="s">
        <v>7</v>
      </c>
      <c r="F1949" s="14" t="s">
        <v>88</v>
      </c>
      <c r="G1949" s="161" t="s">
        <v>148</v>
      </c>
      <c r="H1949" s="184">
        <v>1</v>
      </c>
      <c r="I1949" s="13" t="s">
        <v>9</v>
      </c>
      <c r="J1949" s="985" t="s">
        <v>10</v>
      </c>
      <c r="K1949" s="985"/>
      <c r="L1949" s="986"/>
      <c r="M1949" s="25"/>
      <c r="N1949" s="26"/>
      <c r="O1949" s="2"/>
      <c r="P1949" s="27"/>
      <c r="Q1949" s="26"/>
      <c r="R1949" s="28"/>
    </row>
    <row r="1950" spans="1:18" ht="30" customHeight="1" x14ac:dyDescent="0.45">
      <c r="A1950" s="85" t="s">
        <v>277</v>
      </c>
      <c r="B1950" s="987" t="s">
        <v>293</v>
      </c>
      <c r="C1950" s="988"/>
      <c r="D1950" s="989"/>
      <c r="E1950" s="220" t="s">
        <v>13</v>
      </c>
      <c r="F1950" s="220" t="s">
        <v>14</v>
      </c>
      <c r="G1950" s="990" t="s">
        <v>15</v>
      </c>
      <c r="H1950" s="991"/>
      <c r="I1950" s="1068" t="s">
        <v>16</v>
      </c>
      <c r="J1950" s="1069"/>
      <c r="K1950" s="992" t="s">
        <v>17</v>
      </c>
      <c r="L1950" s="993"/>
      <c r="M1950" s="25"/>
      <c r="N1950" s="26"/>
      <c r="O1950" s="2"/>
      <c r="P1950" s="27"/>
      <c r="Q1950" s="26"/>
      <c r="R1950" s="28"/>
    </row>
    <row r="1951" spans="1:18" ht="30" customHeight="1" x14ac:dyDescent="0.45">
      <c r="A1951" s="47">
        <v>93210</v>
      </c>
      <c r="B1951" s="1018" t="s">
        <v>1237</v>
      </c>
      <c r="C1951" s="1019"/>
      <c r="D1951" s="1020"/>
      <c r="E1951" s="375">
        <v>6.42</v>
      </c>
      <c r="F1951" s="56" t="s">
        <v>29</v>
      </c>
      <c r="G1951" s="409">
        <f>+E1956/3</f>
        <v>55.55555555555555</v>
      </c>
      <c r="H1951" s="349" t="s">
        <v>499</v>
      </c>
      <c r="I1951" s="1084">
        <f>+'[1]2023 MILCON Inflation Table'!F22</f>
        <v>0.93771935922451721</v>
      </c>
      <c r="J1951" s="1085"/>
      <c r="K1951" s="376">
        <f>+E1951*G1951*I1951</f>
        <v>334.4532381234111</v>
      </c>
      <c r="L1951" s="56" t="s">
        <v>88</v>
      </c>
      <c r="M1951" s="25"/>
      <c r="N1951" s="26"/>
      <c r="O1951" s="2"/>
      <c r="P1951" s="27"/>
      <c r="Q1951" s="26"/>
      <c r="R1951" s="28"/>
    </row>
    <row r="1952" spans="1:18" ht="30" customHeight="1" x14ac:dyDescent="0.45">
      <c r="A1952" s="47">
        <v>93410</v>
      </c>
      <c r="B1952" s="1018" t="s">
        <v>1238</v>
      </c>
      <c r="C1952" s="1019"/>
      <c r="D1952" s="1020"/>
      <c r="E1952" s="375">
        <v>11.04</v>
      </c>
      <c r="F1952" s="56" t="s">
        <v>29</v>
      </c>
      <c r="G1952" s="409">
        <f>+E1956/3</f>
        <v>55.55555555555555</v>
      </c>
      <c r="H1952" s="349" t="s">
        <v>499</v>
      </c>
      <c r="I1952" s="1084">
        <f>+I1951</f>
        <v>0.93771935922451721</v>
      </c>
      <c r="J1952" s="1085"/>
      <c r="K1952" s="376">
        <f>+E1952*G1952*I1952</f>
        <v>575.13454032437051</v>
      </c>
      <c r="L1952" s="56" t="s">
        <v>88</v>
      </c>
      <c r="M1952" s="25"/>
      <c r="N1952" s="26"/>
      <c r="O1952" s="2"/>
      <c r="P1952" s="27"/>
      <c r="Q1952" s="26"/>
      <c r="R1952" s="28"/>
    </row>
    <row r="1953" spans="1:18" ht="30" customHeight="1" x14ac:dyDescent="0.45">
      <c r="A1953" s="47">
        <v>93410</v>
      </c>
      <c r="B1953" s="1018" t="s">
        <v>1239</v>
      </c>
      <c r="C1953" s="1019"/>
      <c r="D1953" s="1020"/>
      <c r="E1953" s="375">
        <v>8.82</v>
      </c>
      <c r="F1953" s="56" t="s">
        <v>8</v>
      </c>
      <c r="G1953" s="409">
        <f>+E1956</f>
        <v>166.66666666666666</v>
      </c>
      <c r="H1953" s="349" t="s">
        <v>502</v>
      </c>
      <c r="I1953" s="1084">
        <f>+I1951</f>
        <v>0.93771935922451721</v>
      </c>
      <c r="J1953" s="1085"/>
      <c r="K1953" s="376">
        <f>+E1953*G1953*I1953</f>
        <v>1378.4474580600404</v>
      </c>
      <c r="L1953" s="56" t="s">
        <v>88</v>
      </c>
      <c r="N1953" s="26"/>
      <c r="O1953" s="2"/>
      <c r="P1953" s="27"/>
      <c r="Q1953" s="26"/>
      <c r="R1953" s="28"/>
    </row>
    <row r="1954" spans="1:18" ht="30" customHeight="1" x14ac:dyDescent="0.45">
      <c r="A1954" s="47">
        <v>93210</v>
      </c>
      <c r="B1954" s="1018" t="s">
        <v>1240</v>
      </c>
      <c r="C1954" s="1019"/>
      <c r="D1954" s="1020"/>
      <c r="E1954" s="375">
        <v>67.17</v>
      </c>
      <c r="F1954" s="56" t="s">
        <v>29</v>
      </c>
      <c r="G1954" s="409">
        <f>+E1956/3</f>
        <v>55.55555555555555</v>
      </c>
      <c r="H1954" s="349" t="s">
        <v>499</v>
      </c>
      <c r="I1954" s="1084">
        <f>+I1951</f>
        <v>0.93771935922451721</v>
      </c>
      <c r="J1954" s="1085"/>
      <c r="K1954" s="376">
        <f>+E1954*G1954*I1954</f>
        <v>3499.2560755061568</v>
      </c>
      <c r="L1954" s="56" t="s">
        <v>88</v>
      </c>
      <c r="M1954" s="25"/>
      <c r="N1954" s="26"/>
      <c r="O1954" s="2"/>
      <c r="P1954" s="27"/>
      <c r="Q1954" s="26"/>
      <c r="R1954" s="28"/>
    </row>
    <row r="1955" spans="1:18" ht="30" customHeight="1" x14ac:dyDescent="0.45">
      <c r="A1955" s="47"/>
      <c r="C1955" s="58"/>
      <c r="D1955" s="58"/>
      <c r="E1955" s="58"/>
      <c r="F1955" s="58"/>
      <c r="G1955" s="348"/>
      <c r="H1955" s="349"/>
      <c r="I1955" s="47"/>
      <c r="J1955" s="47" t="s">
        <v>360</v>
      </c>
      <c r="K1955" s="334">
        <f>SUM(K1951:K1954)</f>
        <v>5787.2913120139783</v>
      </c>
      <c r="L1955" s="47" t="s">
        <v>88</v>
      </c>
      <c r="M1955" s="25"/>
      <c r="N1955" s="26"/>
      <c r="O1955" s="2"/>
      <c r="P1955" s="27"/>
      <c r="Q1955" s="26"/>
      <c r="R1955" s="28"/>
    </row>
    <row r="1956" spans="1:18" ht="30" customHeight="1" thickBot="1" x14ac:dyDescent="0.5">
      <c r="A1956" s="58"/>
      <c r="B1956" s="1018" t="s">
        <v>1241</v>
      </c>
      <c r="C1956" s="997"/>
      <c r="D1956" s="998"/>
      <c r="E1956" s="554">
        <f>1500/9</f>
        <v>166.66666666666666</v>
      </c>
      <c r="F1956" s="56" t="s">
        <v>8</v>
      </c>
      <c r="G1956" s="47"/>
      <c r="H1956" s="47"/>
      <c r="I1956" s="47"/>
      <c r="J1956" s="85" t="s">
        <v>39</v>
      </c>
      <c r="K1956" s="334">
        <f>+K1955</f>
        <v>5787.2913120139783</v>
      </c>
      <c r="L1956" s="47" t="s">
        <v>88</v>
      </c>
      <c r="M1956" s="25"/>
      <c r="N1956" s="26"/>
      <c r="O1956" s="2"/>
      <c r="P1956" s="27"/>
      <c r="Q1956" s="26"/>
      <c r="R1956" s="28"/>
    </row>
    <row r="1957" spans="1:18" ht="30" customHeight="1" thickBot="1" x14ac:dyDescent="0.5">
      <c r="A1957" s="999"/>
      <c r="B1957" s="1000"/>
      <c r="C1957" s="1000"/>
      <c r="D1957" s="1000"/>
      <c r="E1957" s="1000"/>
      <c r="F1957" s="1000"/>
      <c r="G1957" s="1000"/>
      <c r="H1957" s="1000"/>
      <c r="I1957" s="1000"/>
      <c r="J1957" s="1000"/>
      <c r="K1957" s="1000"/>
      <c r="L1957" s="1001"/>
      <c r="M1957" s="25"/>
      <c r="N1957" s="26"/>
      <c r="O1957" s="2"/>
      <c r="P1957" s="27"/>
      <c r="Q1957" s="26"/>
      <c r="R1957" s="28"/>
    </row>
    <row r="1958" spans="1:18" ht="30" customHeight="1" x14ac:dyDescent="0.45">
      <c r="A1958" s="9" t="s">
        <v>4</v>
      </c>
      <c r="B1958" s="10">
        <v>2271</v>
      </c>
      <c r="C1958" s="1138" t="s">
        <v>1242</v>
      </c>
      <c r="D1958" s="1139"/>
      <c r="E1958" s="13" t="s">
        <v>7</v>
      </c>
      <c r="F1958" s="14" t="s">
        <v>35</v>
      </c>
      <c r="G1958" s="11" t="s">
        <v>6</v>
      </c>
      <c r="H1958" s="300">
        <v>56474</v>
      </c>
      <c r="I1958" s="13" t="s">
        <v>9</v>
      </c>
      <c r="J1958" s="985" t="s">
        <v>575</v>
      </c>
      <c r="K1958" s="985"/>
      <c r="L1958" s="986"/>
      <c r="M1958" s="25"/>
      <c r="N1958" s="26"/>
      <c r="O1958" s="2"/>
      <c r="P1958" s="27"/>
      <c r="Q1958" s="26"/>
      <c r="R1958" s="28"/>
    </row>
    <row r="1959" spans="1:18" ht="30" customHeight="1" x14ac:dyDescent="0.45">
      <c r="A1959" s="85" t="s">
        <v>277</v>
      </c>
      <c r="B1959" s="987" t="s">
        <v>293</v>
      </c>
      <c r="C1959" s="988"/>
      <c r="D1959" s="989"/>
      <c r="E1959" s="220" t="s">
        <v>13</v>
      </c>
      <c r="F1959" s="220" t="s">
        <v>14</v>
      </c>
      <c r="G1959" s="990" t="s">
        <v>15</v>
      </c>
      <c r="H1959" s="991"/>
      <c r="I1959" s="19" t="s">
        <v>278</v>
      </c>
      <c r="J1959" s="19"/>
      <c r="K1959" s="992" t="s">
        <v>17</v>
      </c>
      <c r="L1959" s="993"/>
      <c r="M1959" s="25"/>
      <c r="N1959" s="26"/>
      <c r="O1959" s="2"/>
      <c r="P1959" s="27"/>
      <c r="Q1959" s="26"/>
      <c r="R1959" s="28"/>
    </row>
    <row r="1960" spans="1:18" ht="30" customHeight="1" x14ac:dyDescent="0.45">
      <c r="A1960" s="47" t="s">
        <v>1243</v>
      </c>
      <c r="B1960" s="1018" t="s">
        <v>1244</v>
      </c>
      <c r="C1960" s="1019"/>
      <c r="D1960" s="1020"/>
      <c r="E1960" s="221">
        <f>80-2.4</f>
        <v>77.599999999999994</v>
      </c>
      <c r="F1960" s="47" t="s">
        <v>35</v>
      </c>
      <c r="G1960" s="47"/>
      <c r="H1960" s="47"/>
      <c r="I1960" s="47">
        <v>1.01</v>
      </c>
      <c r="J1960" s="365"/>
      <c r="K1960" s="221">
        <f>+E1960*I1960</f>
        <v>78.375999999999991</v>
      </c>
      <c r="L1960" s="47" t="s">
        <v>35</v>
      </c>
      <c r="M1960" s="25"/>
      <c r="N1960" s="26"/>
      <c r="O1960" s="2"/>
      <c r="P1960" s="27"/>
      <c r="Q1960" s="26"/>
      <c r="R1960" s="28"/>
    </row>
    <row r="1961" spans="1:18" ht="30" customHeight="1" x14ac:dyDescent="0.45">
      <c r="A1961" s="47" t="s">
        <v>358</v>
      </c>
      <c r="B1961" s="1008" t="s">
        <v>1245</v>
      </c>
      <c r="C1961" s="1009"/>
      <c r="D1961" s="1009"/>
      <c r="E1961" s="221">
        <v>3.2</v>
      </c>
      <c r="F1961" s="222" t="s">
        <v>35</v>
      </c>
      <c r="G1961" s="58"/>
      <c r="H1961" s="179"/>
      <c r="I1961" s="47">
        <v>1.01</v>
      </c>
      <c r="J1961" s="365"/>
      <c r="K1961" s="221">
        <f>+E1961*I1961</f>
        <v>3.2320000000000002</v>
      </c>
      <c r="L1961" s="47" t="s">
        <v>35</v>
      </c>
      <c r="M1961" s="25"/>
      <c r="N1961" s="26"/>
      <c r="O1961" s="2"/>
      <c r="P1961" s="27"/>
      <c r="Q1961" s="26"/>
      <c r="R1961" s="28"/>
    </row>
    <row r="1962" spans="1:18" ht="30" customHeight="1" x14ac:dyDescent="0.45">
      <c r="A1962" s="47"/>
      <c r="B1962" s="1092"/>
      <c r="C1962" s="1092"/>
      <c r="D1962" s="1092"/>
      <c r="E1962" s="221"/>
      <c r="F1962" s="47"/>
      <c r="G1962" s="58"/>
      <c r="H1962" s="179"/>
      <c r="I1962" s="47"/>
      <c r="J1962" s="47" t="s">
        <v>38</v>
      </c>
      <c r="K1962" s="221">
        <f>SUM(K1960:K1961)</f>
        <v>81.60799999999999</v>
      </c>
      <c r="L1962" s="47" t="s">
        <v>35</v>
      </c>
      <c r="M1962" s="25"/>
      <c r="N1962" s="26"/>
      <c r="O1962" s="2"/>
      <c r="P1962" s="27"/>
      <c r="Q1962" s="26"/>
      <c r="R1962" s="28"/>
    </row>
    <row r="1963" spans="1:18" ht="30" customHeight="1" x14ac:dyDescent="0.45">
      <c r="A1963" s="47"/>
      <c r="B1963" s="224"/>
      <c r="C1963" s="224"/>
      <c r="D1963" s="224"/>
      <c r="E1963" s="221"/>
      <c r="F1963" s="1011" t="s">
        <v>285</v>
      </c>
      <c r="G1963" s="1013" t="s">
        <v>286</v>
      </c>
      <c r="H1963" s="1013"/>
      <c r="I1963" s="1013"/>
      <c r="J1963" s="1013"/>
      <c r="K1963" s="278">
        <v>1.1000000000000001</v>
      </c>
      <c r="L1963" s="47"/>
      <c r="M1963" s="25"/>
      <c r="N1963" s="26"/>
      <c r="O1963" s="2"/>
      <c r="P1963" s="27"/>
      <c r="Q1963" s="26"/>
      <c r="R1963" s="28"/>
    </row>
    <row r="1964" spans="1:18" ht="30" customHeight="1" x14ac:dyDescent="0.45">
      <c r="A1964" s="47"/>
      <c r="B1964" s="224"/>
      <c r="C1964" s="224"/>
      <c r="D1964" s="224"/>
      <c r="E1964" s="221"/>
      <c r="F1964" s="1012"/>
      <c r="G1964" s="1014" t="s">
        <v>580</v>
      </c>
      <c r="H1964" s="1014"/>
      <c r="I1964" s="1014"/>
      <c r="J1964" s="1014"/>
      <c r="K1964" s="278">
        <v>1.08</v>
      </c>
      <c r="L1964" s="47"/>
      <c r="M1964" s="25"/>
      <c r="N1964" s="26"/>
      <c r="O1964" s="2"/>
      <c r="P1964" s="27"/>
      <c r="Q1964" s="26"/>
      <c r="R1964" s="28"/>
    </row>
    <row r="1965" spans="1:18" ht="30" customHeight="1" x14ac:dyDescent="0.45">
      <c r="A1965" s="47"/>
      <c r="B1965" s="47"/>
      <c r="C1965" s="58"/>
      <c r="D1965" s="58"/>
      <c r="E1965" s="58"/>
      <c r="F1965" s="58"/>
      <c r="G1965" s="58"/>
      <c r="H1965" s="58"/>
      <c r="I1965" s="58"/>
      <c r="J1965" s="58" t="s">
        <v>39</v>
      </c>
      <c r="K1965" s="216">
        <f>+K1962*K1963/K1964</f>
        <v>83.119259259259252</v>
      </c>
      <c r="L1965" s="47" t="s">
        <v>35</v>
      </c>
      <c r="M1965" s="25"/>
      <c r="N1965" s="26"/>
      <c r="O1965" s="2"/>
      <c r="P1965" s="27"/>
      <c r="Q1965" s="26"/>
      <c r="R1965" s="28"/>
    </row>
    <row r="1966" spans="1:18" ht="30" customHeight="1" x14ac:dyDescent="0.45">
      <c r="A1966" s="47"/>
      <c r="B1966" s="47"/>
      <c r="C1966" s="58"/>
      <c r="D1966" s="58"/>
      <c r="E1966" s="58"/>
      <c r="F1966" s="58"/>
      <c r="G1966" s="1021" t="s">
        <v>288</v>
      </c>
      <c r="H1966" s="1022"/>
      <c r="I1966" s="1023"/>
      <c r="J1966" s="213">
        <f>VLOOKUP(B1958,'[1]Mil Cost Premiums for PUCs'!$A$4:$R$278,18,FALSE)</f>
        <v>1.1932356231980656</v>
      </c>
      <c r="K1966" s="216">
        <f>+K1965*J1966</f>
        <v>99.180861121983796</v>
      </c>
      <c r="L1966" s="47" t="s">
        <v>35</v>
      </c>
      <c r="M1966" s="25"/>
      <c r="N1966" s="26"/>
      <c r="O1966" s="2"/>
      <c r="P1966" s="27"/>
      <c r="Q1966" s="26"/>
      <c r="R1966" s="28"/>
    </row>
    <row r="1967" spans="1:18" ht="30" customHeight="1" x14ac:dyDescent="0.45">
      <c r="A1967" s="531"/>
      <c r="B1967" s="531"/>
      <c r="C1967" s="538"/>
      <c r="D1967" s="538"/>
      <c r="E1967" s="552"/>
      <c r="F1967" s="1024" t="s">
        <v>581</v>
      </c>
      <c r="G1967" s="1024"/>
      <c r="H1967" s="1024"/>
      <c r="I1967" s="1024"/>
      <c r="J1967" s="543">
        <v>1.0833999999999999</v>
      </c>
      <c r="K1967" s="363">
        <f>K1966*J1967</f>
        <v>107.45254493955724</v>
      </c>
      <c r="L1967" s="225" t="s">
        <v>35</v>
      </c>
      <c r="N1967" s="26"/>
      <c r="O1967" s="2"/>
      <c r="P1967" s="27"/>
      <c r="Q1967" s="26"/>
      <c r="R1967" s="28"/>
    </row>
    <row r="1968" spans="1:18" ht="30" customHeight="1" thickBot="1" x14ac:dyDescent="0.5">
      <c r="A1968" s="225"/>
      <c r="B1968" s="225"/>
      <c r="C1968" s="150"/>
      <c r="D1968" s="150"/>
      <c r="E1968" s="150"/>
      <c r="F1968" s="150"/>
      <c r="G1968" s="1025" t="s">
        <v>299</v>
      </c>
      <c r="H1968" s="1026"/>
      <c r="I1968" s="1027"/>
      <c r="J1968" s="226">
        <v>1.1214</v>
      </c>
      <c r="K1968" s="227">
        <f>+K1967*J1968</f>
        <v>120.49728389521948</v>
      </c>
      <c r="L1968" s="225" t="s">
        <v>35</v>
      </c>
      <c r="M1968" s="25"/>
    </row>
    <row r="1969" spans="1:24" ht="30" customHeight="1" thickBot="1" x14ac:dyDescent="0.5">
      <c r="A1969" s="999"/>
      <c r="B1969" s="1000"/>
      <c r="C1969" s="1000"/>
      <c r="D1969" s="1000"/>
      <c r="E1969" s="1000"/>
      <c r="F1969" s="1000"/>
      <c r="G1969" s="1000"/>
      <c r="H1969" s="1000"/>
      <c r="I1969" s="1000"/>
      <c r="J1969" s="1000"/>
      <c r="K1969" s="1000"/>
      <c r="L1969" s="1001"/>
      <c r="M1969" s="25"/>
      <c r="N1969" s="26"/>
      <c r="O1969" s="2"/>
      <c r="P1969" s="27"/>
      <c r="Q1969" s="26"/>
      <c r="R1969" s="28"/>
    </row>
    <row r="1970" spans="1:24" ht="30" customHeight="1" x14ac:dyDescent="0.45">
      <c r="A1970" s="9" t="s">
        <v>4</v>
      </c>
      <c r="B1970" s="10">
        <v>2281</v>
      </c>
      <c r="C1970" s="983" t="s">
        <v>1246</v>
      </c>
      <c r="D1970" s="984"/>
      <c r="E1970" s="13" t="s">
        <v>7</v>
      </c>
      <c r="F1970" s="14" t="s">
        <v>35</v>
      </c>
      <c r="G1970" s="11" t="s">
        <v>6</v>
      </c>
      <c r="H1970" s="300">
        <v>6551</v>
      </c>
      <c r="I1970" s="13" t="s">
        <v>9</v>
      </c>
      <c r="J1970" s="985" t="s">
        <v>575</v>
      </c>
      <c r="K1970" s="985"/>
      <c r="L1970" s="986"/>
      <c r="M1970" s="25"/>
      <c r="N1970" s="26"/>
      <c r="O1970" s="2"/>
      <c r="P1970" s="27"/>
      <c r="Q1970" s="26"/>
      <c r="R1970" s="28"/>
    </row>
    <row r="1971" spans="1:24" ht="30" customHeight="1" x14ac:dyDescent="0.45">
      <c r="A1971" s="85" t="s">
        <v>277</v>
      </c>
      <c r="B1971" s="987" t="s">
        <v>293</v>
      </c>
      <c r="C1971" s="988"/>
      <c r="D1971" s="989"/>
      <c r="E1971" s="220" t="s">
        <v>13</v>
      </c>
      <c r="F1971" s="220" t="s">
        <v>14</v>
      </c>
      <c r="G1971" s="990" t="s">
        <v>15</v>
      </c>
      <c r="H1971" s="991"/>
      <c r="I1971" s="19" t="s">
        <v>278</v>
      </c>
      <c r="J1971" s="19"/>
      <c r="K1971" s="992" t="s">
        <v>17</v>
      </c>
      <c r="L1971" s="993"/>
      <c r="M1971" s="25"/>
      <c r="N1971" s="229"/>
      <c r="O1971" s="5"/>
      <c r="P1971" s="18"/>
      <c r="Q1971" s="18"/>
      <c r="R1971" s="18"/>
      <c r="S1971" s="18"/>
      <c r="T1971" s="18"/>
    </row>
    <row r="1972" spans="1:24" ht="30" customHeight="1" x14ac:dyDescent="0.45">
      <c r="A1972" s="47" t="s">
        <v>1243</v>
      </c>
      <c r="B1972" s="1018" t="s">
        <v>1244</v>
      </c>
      <c r="C1972" s="1019"/>
      <c r="D1972" s="1020"/>
      <c r="E1972" s="221">
        <f>80-2.4</f>
        <v>77.599999999999994</v>
      </c>
      <c r="F1972" s="47" t="s">
        <v>35</v>
      </c>
      <c r="G1972" s="47"/>
      <c r="H1972" s="47"/>
      <c r="I1972" s="47">
        <v>1.01</v>
      </c>
      <c r="J1972" s="365"/>
      <c r="K1972" s="221">
        <f>+E1972*I1972</f>
        <v>78.375999999999991</v>
      </c>
      <c r="L1972" s="47" t="s">
        <v>35</v>
      </c>
      <c r="M1972" s="25"/>
      <c r="N1972" s="229"/>
      <c r="O1972" s="5"/>
      <c r="P1972" s="18"/>
      <c r="Q1972" s="18"/>
      <c r="R1972" s="18"/>
      <c r="S1972" s="18"/>
      <c r="T1972" s="18"/>
    </row>
    <row r="1973" spans="1:24" ht="30" customHeight="1" x14ac:dyDescent="0.45">
      <c r="A1973" s="47" t="s">
        <v>470</v>
      </c>
      <c r="B1973" s="1018" t="s">
        <v>1247</v>
      </c>
      <c r="C1973" s="1019"/>
      <c r="D1973" s="1020"/>
      <c r="E1973" s="216">
        <v>141000</v>
      </c>
      <c r="F1973" s="47" t="s">
        <v>88</v>
      </c>
      <c r="G1973" s="544">
        <f>+H1970</f>
        <v>6551</v>
      </c>
      <c r="H1973" s="179" t="s">
        <v>1157</v>
      </c>
      <c r="I1973" s="47">
        <v>1.02</v>
      </c>
      <c r="J1973" s="365"/>
      <c r="K1973" s="221">
        <f>+E1973/G1973*I1973</f>
        <v>21.953900167913297</v>
      </c>
      <c r="L1973" s="47" t="s">
        <v>35</v>
      </c>
      <c r="M1973" s="25"/>
      <c r="N1973" s="229"/>
      <c r="O1973" s="5"/>
      <c r="P1973" s="18"/>
      <c r="Q1973" s="18"/>
      <c r="R1973" s="18"/>
      <c r="S1973" s="18"/>
      <c r="T1973" s="18"/>
      <c r="U1973" s="18"/>
      <c r="V1973" s="18"/>
      <c r="W1973" s="18"/>
      <c r="X1973" s="18"/>
    </row>
    <row r="1974" spans="1:24" s="18" customFormat="1" ht="30" customHeight="1" x14ac:dyDescent="0.45">
      <c r="A1974" s="47" t="s">
        <v>470</v>
      </c>
      <c r="B1974" s="1018" t="s">
        <v>1248</v>
      </c>
      <c r="C1974" s="1019"/>
      <c r="D1974" s="1020"/>
      <c r="E1974" s="221">
        <f>+(244+267)/2</f>
        <v>255.5</v>
      </c>
      <c r="F1974" s="222" t="s">
        <v>113</v>
      </c>
      <c r="G1974" s="555">
        <v>288</v>
      </c>
      <c r="H1974" s="206" t="s">
        <v>1061</v>
      </c>
      <c r="I1974" s="47">
        <v>1.02</v>
      </c>
      <c r="J1974" s="47"/>
      <c r="K1974" s="221">
        <f>+E1974/G1974*I1974</f>
        <v>0.90489583333333334</v>
      </c>
      <c r="L1974" s="47" t="s">
        <v>35</v>
      </c>
      <c r="M1974" s="25"/>
      <c r="N1974" s="363"/>
      <c r="O1974" s="3"/>
      <c r="P1974" s="2"/>
      <c r="Q1974" s="2"/>
      <c r="R1974" s="2"/>
      <c r="S1974" s="2"/>
      <c r="T1974" s="2"/>
      <c r="U1974" s="2"/>
      <c r="V1974" s="2"/>
      <c r="W1974" s="2"/>
      <c r="X1974" s="2"/>
    </row>
    <row r="1975" spans="1:24" ht="30" customHeight="1" x14ac:dyDescent="0.45">
      <c r="A1975" s="47" t="s">
        <v>470</v>
      </c>
      <c r="B1975" s="1018" t="s">
        <v>1249</v>
      </c>
      <c r="C1975" s="1019"/>
      <c r="D1975" s="1020"/>
      <c r="E1975" s="221">
        <f>(23.75+47.75)/2</f>
        <v>35.75</v>
      </c>
      <c r="F1975" s="222" t="s">
        <v>113</v>
      </c>
      <c r="G1975" s="555">
        <v>288</v>
      </c>
      <c r="H1975" s="206" t="s">
        <v>1061</v>
      </c>
      <c r="I1975" s="47">
        <v>1.02</v>
      </c>
      <c r="J1975" s="365"/>
      <c r="K1975" s="221">
        <f>+E1975/G1975*I1975</f>
        <v>0.12661458333333334</v>
      </c>
      <c r="L1975" s="47" t="s">
        <v>35</v>
      </c>
      <c r="M1975" s="25"/>
      <c r="U1975" s="18"/>
      <c r="V1975" s="18"/>
      <c r="W1975" s="18"/>
      <c r="X1975" s="18"/>
    </row>
    <row r="1976" spans="1:24" s="18" customFormat="1" ht="30" customHeight="1" x14ac:dyDescent="0.45">
      <c r="A1976" s="47" t="s">
        <v>358</v>
      </c>
      <c r="B1976" s="1008" t="s">
        <v>1250</v>
      </c>
      <c r="C1976" s="1009"/>
      <c r="D1976" s="1009"/>
      <c r="E1976" s="221">
        <v>4.38</v>
      </c>
      <c r="F1976" s="222" t="s">
        <v>35</v>
      </c>
      <c r="G1976" s="58"/>
      <c r="H1976" s="179"/>
      <c r="I1976" s="47">
        <v>1.01</v>
      </c>
      <c r="J1976" s="365"/>
      <c r="K1976" s="221">
        <f>+E1976*I1976</f>
        <v>4.4238</v>
      </c>
      <c r="L1976" s="47" t="s">
        <v>35</v>
      </c>
      <c r="M1976" s="25"/>
      <c r="N1976" s="2"/>
      <c r="O1976" s="3"/>
      <c r="P1976" s="2"/>
      <c r="Q1976" s="2"/>
      <c r="R1976" s="2"/>
      <c r="S1976" s="2"/>
      <c r="T1976" s="2"/>
    </row>
    <row r="1977" spans="1:24" s="18" customFormat="1" ht="30" customHeight="1" x14ac:dyDescent="0.45">
      <c r="A1977" s="47"/>
      <c r="B1977" s="1092"/>
      <c r="C1977" s="1092"/>
      <c r="D1977" s="1092"/>
      <c r="E1977" s="221"/>
      <c r="F1977" s="47"/>
      <c r="G1977" s="58"/>
      <c r="H1977" s="179"/>
      <c r="I1977" s="47"/>
      <c r="J1977" s="47" t="s">
        <v>38</v>
      </c>
      <c r="K1977" s="221">
        <f>SUM(K1972:K1976)</f>
        <v>105.78521058457994</v>
      </c>
      <c r="L1977" s="47" t="s">
        <v>35</v>
      </c>
      <c r="M1977" s="25"/>
      <c r="N1977" s="2"/>
      <c r="O1977" s="3"/>
      <c r="P1977" s="2"/>
      <c r="Q1977" s="2"/>
      <c r="R1977" s="2"/>
      <c r="S1977" s="2"/>
      <c r="T1977" s="2"/>
    </row>
    <row r="1978" spans="1:24" ht="30" customHeight="1" x14ac:dyDescent="0.45">
      <c r="A1978" s="47"/>
      <c r="B1978" s="224"/>
      <c r="C1978" s="224"/>
      <c r="D1978" s="224"/>
      <c r="E1978" s="221"/>
      <c r="F1978" s="1011" t="s">
        <v>285</v>
      </c>
      <c r="G1978" s="1013" t="s">
        <v>286</v>
      </c>
      <c r="H1978" s="1013"/>
      <c r="I1978" s="1013"/>
      <c r="J1978" s="1013"/>
      <c r="K1978" s="278">
        <v>1.1000000000000001</v>
      </c>
      <c r="L1978" s="47"/>
      <c r="S1978" s="41"/>
    </row>
    <row r="1979" spans="1:24" s="18" customFormat="1" ht="30" customHeight="1" x14ac:dyDescent="0.45">
      <c r="A1979" s="47"/>
      <c r="B1979" s="224"/>
      <c r="C1979" s="224"/>
      <c r="D1979" s="224"/>
      <c r="E1979" s="221"/>
      <c r="F1979" s="1012"/>
      <c r="G1979" s="1014" t="s">
        <v>580</v>
      </c>
      <c r="H1979" s="1014"/>
      <c r="I1979" s="1014"/>
      <c r="J1979" s="1014"/>
      <c r="K1979" s="278">
        <v>1.08</v>
      </c>
      <c r="L1979" s="47"/>
      <c r="M1979" s="25"/>
      <c r="N1979" s="26"/>
      <c r="O1979" s="2"/>
      <c r="P1979" s="27"/>
      <c r="Q1979" s="26"/>
      <c r="R1979" s="28"/>
      <c r="S1979" s="2"/>
      <c r="T1979" s="41"/>
      <c r="U1979" s="2"/>
      <c r="V1979" s="2"/>
      <c r="W1979" s="2"/>
      <c r="X1979" s="2"/>
    </row>
    <row r="1980" spans="1:24" ht="30" customHeight="1" x14ac:dyDescent="0.45">
      <c r="A1980" s="47"/>
      <c r="B1980" s="47"/>
      <c r="C1980" s="58"/>
      <c r="D1980" s="58"/>
      <c r="E1980" s="58"/>
      <c r="F1980" s="58"/>
      <c r="G1980" s="58"/>
      <c r="H1980" s="58"/>
      <c r="I1980" s="58"/>
      <c r="J1980" s="58" t="s">
        <v>39</v>
      </c>
      <c r="K1980" s="216">
        <f>+K1977*K1978/K1979</f>
        <v>107.74419596577587</v>
      </c>
      <c r="L1980" s="47" t="s">
        <v>35</v>
      </c>
      <c r="M1980" s="25"/>
      <c r="S1980" s="41"/>
      <c r="T1980" s="41"/>
    </row>
    <row r="1981" spans="1:24" ht="30" customHeight="1" x14ac:dyDescent="0.45">
      <c r="A1981" s="47"/>
      <c r="B1981" s="47"/>
      <c r="C1981" s="58"/>
      <c r="D1981" s="58"/>
      <c r="E1981" s="58"/>
      <c r="F1981" s="58"/>
      <c r="G1981" s="1021" t="s">
        <v>288</v>
      </c>
      <c r="H1981" s="1022"/>
      <c r="I1981" s="1023"/>
      <c r="J1981" s="213">
        <f>VLOOKUP(B1970,'[1]Mil Cost Premiums for PUCs'!$A$4:$R$278,18,FALSE)</f>
        <v>1.1932356231980656</v>
      </c>
      <c r="K1981" s="216">
        <f>+K1980*J1981</f>
        <v>128.56421281919708</v>
      </c>
      <c r="L1981" s="47" t="s">
        <v>35</v>
      </c>
      <c r="M1981" s="25"/>
      <c r="N1981" s="229"/>
      <c r="O1981" s="5"/>
      <c r="P1981" s="18"/>
      <c r="Q1981" s="18"/>
      <c r="R1981" s="18"/>
      <c r="S1981" s="18"/>
      <c r="T1981" s="18"/>
    </row>
    <row r="1982" spans="1:24" ht="30" customHeight="1" x14ac:dyDescent="0.45">
      <c r="A1982" s="531"/>
      <c r="B1982" s="531"/>
      <c r="C1982" s="538"/>
      <c r="D1982" s="538"/>
      <c r="E1982" s="552"/>
      <c r="F1982" s="1024" t="s">
        <v>581</v>
      </c>
      <c r="G1982" s="1024"/>
      <c r="H1982" s="1024"/>
      <c r="I1982" s="1024"/>
      <c r="J1982" s="543">
        <v>1.0833999999999999</v>
      </c>
      <c r="K1982" s="363">
        <f>K1981*J1982</f>
        <v>139.28646816831809</v>
      </c>
      <c r="L1982" s="225" t="s">
        <v>35</v>
      </c>
      <c r="M1982" s="25"/>
      <c r="N1982" s="229"/>
      <c r="O1982" s="5"/>
      <c r="P1982" s="18"/>
      <c r="Q1982" s="18"/>
      <c r="R1982" s="18"/>
      <c r="S1982" s="18"/>
      <c r="T1982" s="18"/>
    </row>
    <row r="1983" spans="1:24" ht="30" customHeight="1" thickBot="1" x14ac:dyDescent="0.5">
      <c r="A1983" s="225"/>
      <c r="B1983" s="225"/>
      <c r="C1983" s="150"/>
      <c r="D1983" s="150"/>
      <c r="E1983" s="150"/>
      <c r="F1983" s="150"/>
      <c r="G1983" s="1025" t="s">
        <v>299</v>
      </c>
      <c r="H1983" s="1026"/>
      <c r="I1983" s="1027"/>
      <c r="J1983" s="226">
        <v>1.1214</v>
      </c>
      <c r="K1983" s="227">
        <f>+K1982*J1983</f>
        <v>156.19584540395189</v>
      </c>
      <c r="L1983" s="225" t="s">
        <v>35</v>
      </c>
      <c r="M1983" s="25"/>
    </row>
    <row r="1984" spans="1:24" ht="30" customHeight="1" thickBot="1" x14ac:dyDescent="0.5">
      <c r="A1984" s="999"/>
      <c r="B1984" s="1000"/>
      <c r="C1984" s="1000"/>
      <c r="D1984" s="1000"/>
      <c r="E1984" s="1000"/>
      <c r="F1984" s="1000"/>
      <c r="G1984" s="1000"/>
      <c r="H1984" s="1000"/>
      <c r="I1984" s="1000"/>
      <c r="J1984" s="1000"/>
      <c r="K1984" s="1000"/>
      <c r="L1984" s="1001"/>
      <c r="M1984" s="121"/>
      <c r="N1984" s="186"/>
      <c r="O1984" s="5"/>
      <c r="P1984" s="18"/>
      <c r="Q1984" s="18"/>
      <c r="R1984" s="18"/>
      <c r="S1984" s="18"/>
      <c r="T1984" s="18"/>
      <c r="U1984" s="18"/>
      <c r="V1984" s="18"/>
      <c r="W1984" s="18"/>
      <c r="X1984" s="18"/>
    </row>
    <row r="1985" spans="1:24" s="18" customFormat="1" ht="30" customHeight="1" x14ac:dyDescent="0.45">
      <c r="A1985" s="9" t="s">
        <v>4</v>
      </c>
      <c r="B1985" s="10">
        <v>2291</v>
      </c>
      <c r="C1985" s="983" t="s">
        <v>1251</v>
      </c>
      <c r="D1985" s="984"/>
      <c r="E1985" s="13" t="s">
        <v>7</v>
      </c>
      <c r="F1985" s="14" t="s">
        <v>88</v>
      </c>
      <c r="G1985" s="161" t="s">
        <v>148</v>
      </c>
      <c r="H1985" s="155">
        <v>1</v>
      </c>
      <c r="I1985" s="13" t="s">
        <v>9</v>
      </c>
      <c r="J1985" s="985" t="s">
        <v>1252</v>
      </c>
      <c r="K1985" s="985"/>
      <c r="L1985" s="986"/>
      <c r="M1985" s="25"/>
      <c r="N1985" s="186"/>
      <c r="O1985" s="3"/>
      <c r="P1985" s="2"/>
      <c r="Q1985" s="2"/>
      <c r="R1985" s="2"/>
      <c r="S1985" s="2"/>
      <c r="T1985" s="2"/>
      <c r="U1985" s="2"/>
      <c r="V1985" s="2"/>
      <c r="W1985" s="2"/>
      <c r="X1985" s="2"/>
    </row>
    <row r="1986" spans="1:24" ht="30" customHeight="1" x14ac:dyDescent="0.45">
      <c r="A1986" s="85" t="s">
        <v>277</v>
      </c>
      <c r="B1986" s="987" t="s">
        <v>293</v>
      </c>
      <c r="C1986" s="988"/>
      <c r="D1986" s="989"/>
      <c r="E1986" s="220" t="s">
        <v>13</v>
      </c>
      <c r="F1986" s="220" t="s">
        <v>14</v>
      </c>
      <c r="G1986" s="990" t="s">
        <v>15</v>
      </c>
      <c r="H1986" s="991"/>
      <c r="I1986" s="19" t="s">
        <v>278</v>
      </c>
      <c r="J1986" s="19" t="s">
        <v>1253</v>
      </c>
      <c r="K1986" s="992" t="s">
        <v>17</v>
      </c>
      <c r="L1986" s="993"/>
      <c r="M1986" s="25"/>
      <c r="N1986" s="186"/>
      <c r="U1986" s="18"/>
      <c r="V1986" s="18"/>
      <c r="W1986" s="18"/>
      <c r="X1986" s="18"/>
    </row>
    <row r="1987" spans="1:24" s="18" customFormat="1" ht="30" customHeight="1" x14ac:dyDescent="0.45">
      <c r="A1987" s="47" t="s">
        <v>1254</v>
      </c>
      <c r="B1987" s="1018" t="s">
        <v>1255</v>
      </c>
      <c r="C1987" s="1019"/>
      <c r="D1987" s="1020"/>
      <c r="E1987" s="221">
        <f>+(7200+10800)/2</f>
        <v>9000</v>
      </c>
      <c r="F1987" s="47" t="s">
        <v>1256</v>
      </c>
      <c r="G1987" s="47">
        <v>180</v>
      </c>
      <c r="H1987" s="105" t="s">
        <v>1256</v>
      </c>
      <c r="I1987" s="47">
        <v>1.01</v>
      </c>
      <c r="J1987" s="556">
        <f>+'[1]2023 MILCON Inflation Table'!F14</f>
        <v>1.3545159367405897</v>
      </c>
      <c r="K1987" s="221">
        <f>+E1987*I1987*G1987*J1987</f>
        <v>2216258.975694953</v>
      </c>
      <c r="L1987" s="47" t="s">
        <v>88</v>
      </c>
      <c r="M1987" s="25"/>
      <c r="N1987" s="2"/>
      <c r="O1987" s="3"/>
      <c r="P1987" s="2"/>
      <c r="Q1987" s="2"/>
      <c r="R1987" s="2"/>
      <c r="S1987" s="2"/>
      <c r="T1987" s="2"/>
    </row>
    <row r="1988" spans="1:24" s="18" customFormat="1" ht="30" customHeight="1" x14ac:dyDescent="0.45">
      <c r="A1988" s="47"/>
      <c r="B1988" s="1092"/>
      <c r="C1988" s="1092"/>
      <c r="D1988" s="1092"/>
      <c r="E1988" s="221"/>
      <c r="F1988" s="47"/>
      <c r="G1988" s="58"/>
      <c r="H1988" s="179"/>
      <c r="I1988" s="47"/>
      <c r="J1988" s="47" t="s">
        <v>38</v>
      </c>
      <c r="K1988" s="221">
        <f>SUM(K1987:K1987)</f>
        <v>2216258.975694953</v>
      </c>
      <c r="L1988" s="47" t="s">
        <v>88</v>
      </c>
      <c r="M1988" s="25"/>
      <c r="N1988" s="2"/>
      <c r="O1988" s="3"/>
      <c r="P1988" s="2"/>
      <c r="Q1988" s="2"/>
      <c r="R1988" s="2"/>
      <c r="S1988" s="2"/>
      <c r="T1988" s="2"/>
    </row>
    <row r="1989" spans="1:24" s="18" customFormat="1" ht="30" customHeight="1" x14ac:dyDescent="0.45">
      <c r="A1989" s="47"/>
      <c r="B1989" s="224"/>
      <c r="C1989" s="224"/>
      <c r="D1989" s="224"/>
      <c r="E1989" s="221"/>
      <c r="F1989" s="1011" t="s">
        <v>285</v>
      </c>
      <c r="G1989" s="1013" t="s">
        <v>286</v>
      </c>
      <c r="H1989" s="1013"/>
      <c r="I1989" s="1013"/>
      <c r="J1989" s="1013"/>
      <c r="K1989" s="47">
        <v>1.06</v>
      </c>
      <c r="L1989" s="47"/>
      <c r="M1989" s="25"/>
      <c r="N1989" s="2"/>
      <c r="O1989" s="3"/>
      <c r="P1989" s="2"/>
      <c r="Q1989" s="2"/>
      <c r="R1989" s="2"/>
      <c r="S1989" s="41"/>
      <c r="T1989" s="41"/>
      <c r="U1989" s="2"/>
      <c r="V1989" s="2"/>
      <c r="W1989" s="2"/>
      <c r="X1989" s="2"/>
    </row>
    <row r="1990" spans="1:24" ht="30" customHeight="1" x14ac:dyDescent="0.45">
      <c r="A1990" s="47"/>
      <c r="B1990" s="224"/>
      <c r="C1990" s="224"/>
      <c r="D1990" s="224"/>
      <c r="E1990" s="221"/>
      <c r="F1990" s="1012"/>
      <c r="G1990" s="1014" t="s">
        <v>287</v>
      </c>
      <c r="H1990" s="1014"/>
      <c r="I1990" s="1014"/>
      <c r="J1990" s="1014"/>
      <c r="K1990" s="278">
        <v>1.05</v>
      </c>
      <c r="L1990" s="47"/>
      <c r="M1990" s="25"/>
      <c r="S1990" s="41"/>
      <c r="T1990" s="41"/>
    </row>
    <row r="1991" spans="1:24" ht="30" customHeight="1" x14ac:dyDescent="0.45">
      <c r="A1991" s="47"/>
      <c r="B1991" s="47"/>
      <c r="C1991" s="58"/>
      <c r="D1991" s="58"/>
      <c r="E1991" s="58"/>
      <c r="F1991" s="58"/>
      <c r="G1991" s="58"/>
      <c r="H1991" s="58"/>
      <c r="I1991" s="58"/>
      <c r="J1991" s="58" t="s">
        <v>39</v>
      </c>
      <c r="K1991" s="216">
        <f>+K1988*K1989/K1990</f>
        <v>2237366.2040349049</v>
      </c>
      <c r="L1991" s="47" t="s">
        <v>88</v>
      </c>
      <c r="N1991" s="26"/>
      <c r="O1991" s="2"/>
      <c r="P1991" s="27"/>
      <c r="Q1991" s="26"/>
      <c r="R1991" s="28"/>
    </row>
    <row r="1992" spans="1:24" ht="30" customHeight="1" thickBot="1" x14ac:dyDescent="0.5">
      <c r="A1992" s="47"/>
      <c r="B1992" s="47"/>
      <c r="C1992" s="58"/>
      <c r="D1992" s="58"/>
      <c r="E1992" s="58"/>
      <c r="F1992" s="58"/>
      <c r="G1992" s="557" t="s">
        <v>288</v>
      </c>
      <c r="H1992" s="58"/>
      <c r="I1992" s="58"/>
      <c r="J1992" s="213">
        <f>VLOOKUP(B1985,'[1]Mil Cost Premiums for PUCs'!$A$4:$R$278,18,FALSE)</f>
        <v>1.1233553701921195</v>
      </c>
      <c r="K1992" s="216">
        <f>+K1991*J1992</f>
        <v>2513357.3403889677</v>
      </c>
      <c r="L1992" s="47" t="s">
        <v>88</v>
      </c>
      <c r="M1992" s="25"/>
      <c r="N1992" s="26"/>
      <c r="O1992" s="2"/>
      <c r="P1992" s="27"/>
      <c r="Q1992" s="26"/>
      <c r="R1992" s="28"/>
    </row>
    <row r="1993" spans="1:24" ht="30" customHeight="1" thickBot="1" x14ac:dyDescent="0.5">
      <c r="A1993" s="999"/>
      <c r="B1993" s="1000"/>
      <c r="C1993" s="1000"/>
      <c r="D1993" s="1000"/>
      <c r="E1993" s="1000"/>
      <c r="F1993" s="1000"/>
      <c r="G1993" s="1000"/>
      <c r="H1993" s="1000"/>
      <c r="I1993" s="1000"/>
      <c r="J1993" s="1000"/>
      <c r="K1993" s="1000"/>
      <c r="L1993" s="1001"/>
      <c r="M1993" s="25"/>
      <c r="N1993" s="26"/>
      <c r="O1993" s="2"/>
      <c r="P1993" s="27"/>
      <c r="Q1993" s="26"/>
      <c r="R1993" s="28"/>
    </row>
    <row r="1994" spans="1:24" ht="30" customHeight="1" x14ac:dyDescent="0.45">
      <c r="A1994" s="9" t="s">
        <v>4</v>
      </c>
      <c r="B1994" s="10">
        <v>3101</v>
      </c>
      <c r="C1994" s="983" t="s">
        <v>1257</v>
      </c>
      <c r="D1994" s="984"/>
      <c r="E1994" s="13" t="s">
        <v>7</v>
      </c>
      <c r="F1994" s="14" t="s">
        <v>35</v>
      </c>
      <c r="G1994" s="11" t="s">
        <v>6</v>
      </c>
      <c r="H1994" s="300">
        <v>12997</v>
      </c>
      <c r="I1994" s="13" t="s">
        <v>9</v>
      </c>
      <c r="J1994" s="985" t="s">
        <v>276</v>
      </c>
      <c r="K1994" s="985"/>
      <c r="L1994" s="986"/>
      <c r="M1994" s="25"/>
      <c r="O1994" s="27"/>
      <c r="P1994" s="26"/>
      <c r="Q1994" s="28"/>
    </row>
    <row r="1995" spans="1:24" ht="30" customHeight="1" x14ac:dyDescent="0.45">
      <c r="A1995" s="85" t="s">
        <v>277</v>
      </c>
      <c r="B1995" s="987" t="s">
        <v>293</v>
      </c>
      <c r="C1995" s="988"/>
      <c r="D1995" s="989"/>
      <c r="E1995" s="220" t="s">
        <v>13</v>
      </c>
      <c r="F1995" s="220" t="s">
        <v>14</v>
      </c>
      <c r="G1995" s="1211" t="s">
        <v>15</v>
      </c>
      <c r="H1995" s="1212"/>
      <c r="I1995" s="504" t="s">
        <v>1044</v>
      </c>
      <c r="J1995" s="19" t="s">
        <v>278</v>
      </c>
      <c r="K1995" s="992" t="s">
        <v>17</v>
      </c>
      <c r="L1995" s="993"/>
      <c r="M1995" s="25"/>
      <c r="O1995" s="27"/>
      <c r="P1995" s="26"/>
      <c r="Q1995" s="28"/>
    </row>
    <row r="1996" spans="1:24" ht="30" customHeight="1" x14ac:dyDescent="0.45">
      <c r="A1996" s="47" t="s">
        <v>363</v>
      </c>
      <c r="B1996" s="1018" t="s">
        <v>1258</v>
      </c>
      <c r="C1996" s="1019"/>
      <c r="D1996" s="1020"/>
      <c r="E1996" s="221">
        <v>297</v>
      </c>
      <c r="F1996" s="222" t="s">
        <v>35</v>
      </c>
      <c r="G1996" s="222"/>
      <c r="H1996" s="223"/>
      <c r="I1996" s="58"/>
      <c r="J1996" s="47">
        <v>1.1299999999999999</v>
      </c>
      <c r="K1996" s="221">
        <f>+E1996*J1996</f>
        <v>335.60999999999996</v>
      </c>
      <c r="L1996" s="47" t="s">
        <v>35</v>
      </c>
      <c r="M1996" s="25"/>
      <c r="O1996" s="27"/>
      <c r="P1996" s="26"/>
      <c r="Q1996" s="28"/>
    </row>
    <row r="1997" spans="1:24" ht="30" customHeight="1" x14ac:dyDescent="0.45">
      <c r="A1997" s="47" t="s">
        <v>363</v>
      </c>
      <c r="B1997" s="1008" t="s">
        <v>1259</v>
      </c>
      <c r="C1997" s="1009"/>
      <c r="D1997" s="1010"/>
      <c r="E1997" s="221">
        <v>46.25</v>
      </c>
      <c r="F1997" s="222" t="s">
        <v>35</v>
      </c>
      <c r="G1997" s="222"/>
      <c r="H1997" s="223"/>
      <c r="I1997" s="58"/>
      <c r="J1997" s="47">
        <v>1.1299999999999999</v>
      </c>
      <c r="K1997" s="221">
        <f>+E1997*J1997</f>
        <v>52.262499999999996</v>
      </c>
      <c r="L1997" s="47" t="s">
        <v>35</v>
      </c>
      <c r="M1997" s="25"/>
      <c r="O1997" s="27"/>
      <c r="P1997" s="26"/>
      <c r="Q1997" s="28"/>
    </row>
    <row r="1998" spans="1:24" ht="30" customHeight="1" x14ac:dyDescent="0.45">
      <c r="A1998" s="47" t="s">
        <v>358</v>
      </c>
      <c r="B1998" s="1008" t="s">
        <v>1260</v>
      </c>
      <c r="C1998" s="1009"/>
      <c r="D1998" s="1010"/>
      <c r="E1998" s="221">
        <v>5.0199999999999996</v>
      </c>
      <c r="F1998" s="222" t="s">
        <v>35</v>
      </c>
      <c r="G1998" s="222"/>
      <c r="H1998" s="223"/>
      <c r="I1998" s="58"/>
      <c r="J1998" s="47">
        <v>1.1299999999999999</v>
      </c>
      <c r="K1998" s="221">
        <f>+E1998*J1998</f>
        <v>5.6725999999999992</v>
      </c>
      <c r="L1998" s="47" t="s">
        <v>35</v>
      </c>
      <c r="M1998" s="25"/>
      <c r="O1998" s="27"/>
      <c r="P1998" s="26"/>
      <c r="Q1998" s="28"/>
    </row>
    <row r="1999" spans="1:24" ht="30" customHeight="1" x14ac:dyDescent="0.45">
      <c r="A1999" s="47" t="s">
        <v>358</v>
      </c>
      <c r="B1999" s="1018" t="s">
        <v>1047</v>
      </c>
      <c r="C1999" s="1019"/>
      <c r="D1999" s="1020"/>
      <c r="E1999" s="216">
        <f>0.15*E1998</f>
        <v>0.75299999999999989</v>
      </c>
      <c r="F1999" s="222" t="s">
        <v>35</v>
      </c>
      <c r="G1999" s="42"/>
      <c r="H1999" s="206"/>
      <c r="I1999" s="506"/>
      <c r="J1999" s="47">
        <v>1.1299999999999999</v>
      </c>
      <c r="K1999" s="221">
        <f>+E1999*J1999</f>
        <v>0.85088999999999981</v>
      </c>
      <c r="L1999" s="47" t="s">
        <v>35</v>
      </c>
      <c r="O1999" s="27"/>
      <c r="P1999" s="26"/>
      <c r="Q1999" s="28"/>
    </row>
    <row r="2000" spans="1:24" ht="30" customHeight="1" x14ac:dyDescent="0.45">
      <c r="A2000" s="47" t="s">
        <v>358</v>
      </c>
      <c r="B2000" s="1092" t="s">
        <v>1048</v>
      </c>
      <c r="C2000" s="1092"/>
      <c r="D2000" s="1092"/>
      <c r="E2000" s="216">
        <f xml:space="preserve"> 0.72+((1.42+2.11)/2)</f>
        <v>2.4849999999999999</v>
      </c>
      <c r="F2000" s="47" t="s">
        <v>35</v>
      </c>
      <c r="G2000" s="42"/>
      <c r="H2000" s="206"/>
      <c r="I2000" s="506"/>
      <c r="J2000" s="47">
        <v>1.1299999999999999</v>
      </c>
      <c r="K2000" s="221">
        <f>+E2000*J2000</f>
        <v>2.8080499999999997</v>
      </c>
      <c r="L2000" s="47" t="s">
        <v>35</v>
      </c>
      <c r="O2000" s="27"/>
      <c r="P2000" s="26"/>
      <c r="Q2000" s="28"/>
    </row>
    <row r="2001" spans="1:18" ht="30" customHeight="1" x14ac:dyDescent="0.45">
      <c r="A2001" s="47"/>
      <c r="B2001" s="47"/>
      <c r="C2001" s="179"/>
      <c r="D2001" s="179"/>
      <c r="E2001" s="179"/>
      <c r="F2001" s="221"/>
      <c r="G2001" s="47"/>
      <c r="H2001" s="58"/>
      <c r="I2001" s="47"/>
      <c r="J2001" s="47" t="s">
        <v>38</v>
      </c>
      <c r="K2001" s="221">
        <f>SUM(K1996:K2000)</f>
        <v>397.20403999999991</v>
      </c>
      <c r="L2001" s="47" t="s">
        <v>35</v>
      </c>
      <c r="O2001" s="27"/>
      <c r="P2001" s="26"/>
      <c r="Q2001" s="28"/>
    </row>
    <row r="2002" spans="1:18" ht="30" customHeight="1" x14ac:dyDescent="0.45">
      <c r="A2002" s="47"/>
      <c r="B2002" s="224"/>
      <c r="C2002" s="224"/>
      <c r="D2002" s="224"/>
      <c r="E2002" s="221"/>
      <c r="F2002" s="1011" t="s">
        <v>285</v>
      </c>
      <c r="G2002" s="1013" t="s">
        <v>286</v>
      </c>
      <c r="H2002" s="1013"/>
      <c r="I2002" s="1013"/>
      <c r="J2002" s="1013"/>
      <c r="K2002" s="365">
        <v>1.04</v>
      </c>
      <c r="L2002" s="47"/>
      <c r="M2002" s="25"/>
      <c r="O2002" s="27"/>
      <c r="P2002" s="26"/>
      <c r="Q2002" s="28"/>
    </row>
    <row r="2003" spans="1:18" ht="30" customHeight="1" x14ac:dyDescent="0.45">
      <c r="A2003" s="47"/>
      <c r="B2003" s="224"/>
      <c r="C2003" s="224"/>
      <c r="D2003" s="224"/>
      <c r="E2003" s="221"/>
      <c r="F2003" s="1012"/>
      <c r="G2003" s="1014" t="s">
        <v>287</v>
      </c>
      <c r="H2003" s="1014"/>
      <c r="I2003" s="1014"/>
      <c r="J2003" s="1014"/>
      <c r="K2003" s="278">
        <v>1.05</v>
      </c>
      <c r="L2003" s="47"/>
      <c r="M2003" s="25"/>
      <c r="O2003" s="27"/>
      <c r="P2003" s="26"/>
      <c r="Q2003" s="28"/>
    </row>
    <row r="2004" spans="1:18" ht="30" customHeight="1" x14ac:dyDescent="0.45">
      <c r="A2004" s="47"/>
      <c r="B2004" s="47"/>
      <c r="C2004" s="47"/>
      <c r="D2004" s="58"/>
      <c r="E2004" s="58"/>
      <c r="F2004" s="58"/>
      <c r="G2004" s="58"/>
      <c r="H2004" s="58"/>
      <c r="I2004" s="58"/>
      <c r="J2004" s="47" t="s">
        <v>39</v>
      </c>
      <c r="K2004" s="216">
        <f>+K2001*K2002/K2003</f>
        <v>393.42114438095228</v>
      </c>
      <c r="L2004" s="47" t="s">
        <v>35</v>
      </c>
      <c r="M2004" s="25"/>
      <c r="O2004" s="27"/>
      <c r="P2004" s="26"/>
      <c r="Q2004" s="28"/>
    </row>
    <row r="2005" spans="1:18" ht="30" customHeight="1" thickBot="1" x14ac:dyDescent="0.5">
      <c r="A2005" s="47"/>
      <c r="B2005" s="47"/>
      <c r="C2005" s="47"/>
      <c r="D2005" s="58"/>
      <c r="E2005" s="58"/>
      <c r="F2005" s="58"/>
      <c r="G2005" s="1309" t="s">
        <v>1112</v>
      </c>
      <c r="H2005" s="1309"/>
      <c r="I2005" s="1309"/>
      <c r="J2005" s="213">
        <f>VLOOKUP(B1994,'[1]Mil Cost Premiums for PUCs'!$A$4:$R$278,18,FALSE)</f>
        <v>1.3319480854780448</v>
      </c>
      <c r="K2005" s="216">
        <f>+K2004*J2005</f>
        <v>524.01654004479087</v>
      </c>
      <c r="L2005" s="47" t="s">
        <v>35</v>
      </c>
      <c r="M2005" s="25"/>
      <c r="O2005" s="27"/>
      <c r="P2005" s="26"/>
      <c r="Q2005" s="28"/>
    </row>
    <row r="2006" spans="1:18" ht="30" customHeight="1" thickBot="1" x14ac:dyDescent="0.5">
      <c r="A2006" s="999"/>
      <c r="B2006" s="1000"/>
      <c r="C2006" s="1000"/>
      <c r="D2006" s="1000"/>
      <c r="E2006" s="1000"/>
      <c r="F2006" s="1000"/>
      <c r="G2006" s="1000"/>
      <c r="H2006" s="1000"/>
      <c r="I2006" s="1000"/>
      <c r="J2006" s="1000"/>
      <c r="K2006" s="1000"/>
      <c r="L2006" s="1001"/>
      <c r="M2006" s="25"/>
      <c r="O2006" s="27"/>
      <c r="P2006" s="26"/>
      <c r="Q2006" s="28"/>
    </row>
    <row r="2007" spans="1:18" ht="30" customHeight="1" x14ac:dyDescent="0.45">
      <c r="A2007" s="9" t="s">
        <v>4</v>
      </c>
      <c r="B2007" s="10">
        <v>3102</v>
      </c>
      <c r="C2007" s="1140" t="s">
        <v>1261</v>
      </c>
      <c r="D2007" s="1141"/>
      <c r="E2007" s="13" t="s">
        <v>7</v>
      </c>
      <c r="F2007" s="14" t="s">
        <v>35</v>
      </c>
      <c r="G2007" s="11" t="s">
        <v>6</v>
      </c>
      <c r="H2007" s="300">
        <v>35389</v>
      </c>
      <c r="I2007" s="13" t="s">
        <v>9</v>
      </c>
      <c r="J2007" s="985" t="s">
        <v>292</v>
      </c>
      <c r="K2007" s="985"/>
      <c r="L2007" s="986"/>
      <c r="M2007" s="25"/>
      <c r="N2007" s="26"/>
      <c r="O2007" s="2"/>
      <c r="P2007" s="27"/>
      <c r="Q2007" s="26"/>
      <c r="R2007" s="28"/>
    </row>
    <row r="2008" spans="1:18" ht="30" customHeight="1" x14ac:dyDescent="0.45">
      <c r="A2008" s="85" t="s">
        <v>277</v>
      </c>
      <c r="B2008" s="987" t="s">
        <v>293</v>
      </c>
      <c r="C2008" s="988"/>
      <c r="D2008" s="989"/>
      <c r="E2008" s="220" t="s">
        <v>13</v>
      </c>
      <c r="F2008" s="220" t="s">
        <v>14</v>
      </c>
      <c r="G2008" s="990" t="s">
        <v>15</v>
      </c>
      <c r="H2008" s="991"/>
      <c r="I2008" s="19" t="s">
        <v>278</v>
      </c>
      <c r="J2008" s="19"/>
      <c r="K2008" s="992" t="s">
        <v>17</v>
      </c>
      <c r="L2008" s="993"/>
      <c r="M2008" s="25"/>
      <c r="N2008" s="26"/>
      <c r="O2008" s="2"/>
      <c r="P2008" s="27"/>
      <c r="Q2008" s="26"/>
      <c r="R2008" s="28"/>
    </row>
    <row r="2009" spans="1:18" ht="30" customHeight="1" x14ac:dyDescent="0.45">
      <c r="A2009" s="47" t="s">
        <v>363</v>
      </c>
      <c r="B2009" s="1018" t="s">
        <v>1258</v>
      </c>
      <c r="C2009" s="1019"/>
      <c r="D2009" s="1020"/>
      <c r="E2009" s="221">
        <v>242</v>
      </c>
      <c r="F2009" s="47" t="s">
        <v>35</v>
      </c>
      <c r="G2009" s="47"/>
      <c r="H2009" s="47"/>
      <c r="I2009" s="558">
        <f>(1.16+1.19)/2</f>
        <v>1.1749999999999998</v>
      </c>
      <c r="J2009" s="365"/>
      <c r="K2009" s="221">
        <f>+E2009*I2009</f>
        <v>284.34999999999997</v>
      </c>
      <c r="L2009" s="47" t="s">
        <v>35</v>
      </c>
      <c r="M2009" s="25"/>
      <c r="N2009" s="26"/>
      <c r="O2009" s="2"/>
      <c r="P2009" s="27"/>
      <c r="Q2009" s="26"/>
      <c r="R2009" s="28"/>
    </row>
    <row r="2010" spans="1:18" ht="30" customHeight="1" x14ac:dyDescent="0.45">
      <c r="A2010" s="47" t="s">
        <v>363</v>
      </c>
      <c r="B2010" s="1008" t="s">
        <v>1259</v>
      </c>
      <c r="C2010" s="1009"/>
      <c r="D2010" s="1009"/>
      <c r="E2010" s="221">
        <v>37.5</v>
      </c>
      <c r="F2010" s="222" t="s">
        <v>35</v>
      </c>
      <c r="G2010" s="58"/>
      <c r="H2010" s="179"/>
      <c r="I2010" s="558">
        <f>(1.16+1.19)/2</f>
        <v>1.1749999999999998</v>
      </c>
      <c r="J2010" s="365"/>
      <c r="K2010" s="221">
        <f>+E2010*I2010</f>
        <v>44.062499999999993</v>
      </c>
      <c r="L2010" s="47" t="s">
        <v>35</v>
      </c>
      <c r="M2010" s="25"/>
      <c r="N2010" s="26"/>
      <c r="O2010" s="2"/>
      <c r="P2010" s="27"/>
      <c r="Q2010" s="26"/>
      <c r="R2010" s="28"/>
    </row>
    <row r="2011" spans="1:18" ht="30" customHeight="1" x14ac:dyDescent="0.45">
      <c r="A2011" s="47" t="s">
        <v>363</v>
      </c>
      <c r="B2011" s="1008" t="s">
        <v>1262</v>
      </c>
      <c r="C2011" s="1009"/>
      <c r="D2011" s="1010"/>
      <c r="E2011" s="221">
        <v>37.5</v>
      </c>
      <c r="F2011" s="222" t="s">
        <v>35</v>
      </c>
      <c r="G2011" s="58"/>
      <c r="H2011" s="179"/>
      <c r="I2011" s="558">
        <f>(1.16+1.19)/2</f>
        <v>1.1749999999999998</v>
      </c>
      <c r="J2011" s="365"/>
      <c r="K2011" s="221">
        <f>+E2011*I2011</f>
        <v>44.062499999999993</v>
      </c>
      <c r="L2011" s="47" t="s">
        <v>35</v>
      </c>
      <c r="M2011" s="25"/>
      <c r="N2011" s="26"/>
      <c r="O2011" s="2"/>
      <c r="P2011" s="27"/>
      <c r="Q2011" s="26"/>
      <c r="R2011" s="28"/>
    </row>
    <row r="2012" spans="1:18" ht="30" customHeight="1" x14ac:dyDescent="0.45">
      <c r="A2012" s="47" t="s">
        <v>358</v>
      </c>
      <c r="B2012" s="1008" t="s">
        <v>1263</v>
      </c>
      <c r="C2012" s="1009"/>
      <c r="D2012" s="1009"/>
      <c r="E2012" s="221">
        <v>3.44</v>
      </c>
      <c r="F2012" s="222" t="s">
        <v>35</v>
      </c>
      <c r="G2012" s="58"/>
      <c r="H2012" s="179"/>
      <c r="I2012" s="558">
        <f>(1.16+1.19)/2</f>
        <v>1.1749999999999998</v>
      </c>
      <c r="J2012" s="365"/>
      <c r="K2012" s="221">
        <f>+E2012*I2012</f>
        <v>4.0419999999999989</v>
      </c>
      <c r="L2012" s="47" t="s">
        <v>35</v>
      </c>
      <c r="M2012" s="25"/>
      <c r="N2012" s="26"/>
      <c r="O2012" s="2"/>
      <c r="P2012" s="27"/>
      <c r="Q2012" s="26"/>
      <c r="R2012" s="28"/>
    </row>
    <row r="2013" spans="1:18" ht="30" customHeight="1" x14ac:dyDescent="0.45">
      <c r="A2013" s="47"/>
      <c r="B2013" s="1092"/>
      <c r="C2013" s="1092"/>
      <c r="D2013" s="1092"/>
      <c r="E2013" s="221"/>
      <c r="F2013" s="47"/>
      <c r="G2013" s="58"/>
      <c r="H2013" s="179"/>
      <c r="I2013" s="47"/>
      <c r="J2013" s="47" t="s">
        <v>38</v>
      </c>
      <c r="K2013" s="221">
        <f>SUM(K2009:K2012)</f>
        <v>376.51699999999994</v>
      </c>
      <c r="L2013" s="47" t="s">
        <v>35</v>
      </c>
      <c r="M2013" s="25"/>
      <c r="O2013" s="27"/>
      <c r="P2013" s="26"/>
      <c r="Q2013" s="28"/>
    </row>
    <row r="2014" spans="1:18" ht="30" customHeight="1" x14ac:dyDescent="0.45">
      <c r="A2014" s="47"/>
      <c r="B2014" s="224"/>
      <c r="C2014" s="224"/>
      <c r="D2014" s="224"/>
      <c r="E2014" s="221"/>
      <c r="F2014" s="1011" t="s">
        <v>285</v>
      </c>
      <c r="G2014" s="1013" t="s">
        <v>286</v>
      </c>
      <c r="H2014" s="1013"/>
      <c r="I2014" s="1013"/>
      <c r="J2014" s="1013"/>
      <c r="K2014" s="365">
        <f>(1.05+1.08)/2</f>
        <v>1.0649999999999999</v>
      </c>
      <c r="L2014" s="47"/>
      <c r="M2014" s="121"/>
      <c r="O2014" s="27"/>
      <c r="P2014" s="26"/>
      <c r="Q2014" s="28"/>
    </row>
    <row r="2015" spans="1:18" ht="30" customHeight="1" x14ac:dyDescent="0.45">
      <c r="A2015" s="47"/>
      <c r="B2015" s="224"/>
      <c r="C2015" s="224"/>
      <c r="D2015" s="224"/>
      <c r="E2015" s="221"/>
      <c r="F2015" s="1012"/>
      <c r="G2015" s="1014" t="s">
        <v>298</v>
      </c>
      <c r="H2015" s="1014"/>
      <c r="I2015" s="1014"/>
      <c r="J2015" s="1014"/>
      <c r="K2015" s="202">
        <v>1.06</v>
      </c>
      <c r="L2015" s="47"/>
      <c r="M2015" s="25"/>
      <c r="O2015" s="27"/>
      <c r="P2015" s="26"/>
      <c r="Q2015" s="28"/>
    </row>
    <row r="2016" spans="1:18" ht="30" customHeight="1" x14ac:dyDescent="0.45">
      <c r="A2016" s="47"/>
      <c r="B2016" s="47"/>
      <c r="C2016" s="58"/>
      <c r="D2016" s="58"/>
      <c r="E2016" s="58"/>
      <c r="F2016" s="58"/>
      <c r="G2016" s="58"/>
      <c r="H2016" s="58"/>
      <c r="I2016" s="58"/>
      <c r="J2016" s="47" t="s">
        <v>39</v>
      </c>
      <c r="K2016" s="216">
        <f>+K2013*K2014/K2015</f>
        <v>378.29302358490554</v>
      </c>
      <c r="L2016" s="47" t="s">
        <v>35</v>
      </c>
      <c r="M2016" s="25"/>
      <c r="O2016" s="27"/>
      <c r="P2016" s="26"/>
      <c r="Q2016" s="28"/>
    </row>
    <row r="2017" spans="1:18" ht="30" customHeight="1" x14ac:dyDescent="0.45">
      <c r="A2017" s="47"/>
      <c r="B2017" s="47"/>
      <c r="C2017" s="58"/>
      <c r="D2017" s="58"/>
      <c r="E2017" s="58"/>
      <c r="F2017" s="58"/>
      <c r="G2017" s="1021" t="s">
        <v>288</v>
      </c>
      <c r="H2017" s="1022"/>
      <c r="I2017" s="1023"/>
      <c r="J2017" s="213">
        <f>VLOOKUP(B2007,'[1]Mil Cost Premiums for PUCs'!$A$4:$R$278,18,FALSE)</f>
        <v>1.3319480854780448</v>
      </c>
      <c r="K2017" s="216">
        <f>+K2016*J2017</f>
        <v>503.86666851361576</v>
      </c>
      <c r="L2017" s="47" t="s">
        <v>35</v>
      </c>
      <c r="M2017" s="25"/>
      <c r="O2017" s="27"/>
      <c r="P2017" s="26"/>
      <c r="Q2017" s="28"/>
    </row>
    <row r="2018" spans="1:18" ht="30" customHeight="1" x14ac:dyDescent="0.45">
      <c r="A2018" s="225"/>
      <c r="B2018" s="225"/>
      <c r="C2018" s="150"/>
      <c r="D2018" s="150"/>
      <c r="E2018" s="150"/>
      <c r="F2018" s="150"/>
      <c r="G2018" s="1025" t="s">
        <v>299</v>
      </c>
      <c r="H2018" s="1026"/>
      <c r="I2018" s="1027"/>
      <c r="J2018" s="226">
        <v>1.1214</v>
      </c>
      <c r="K2018" s="227">
        <f>+K2017*J2018</f>
        <v>565.03608207116872</v>
      </c>
      <c r="L2018" s="225" t="s">
        <v>35</v>
      </c>
      <c r="M2018" s="25"/>
    </row>
    <row r="2019" spans="1:18" ht="62.1" customHeight="1" x14ac:dyDescent="0.45">
      <c r="A2019" s="1181" t="s">
        <v>366</v>
      </c>
      <c r="B2019" s="1182"/>
      <c r="C2019" s="1182"/>
      <c r="D2019" s="1182"/>
      <c r="E2019" s="1182"/>
      <c r="F2019" s="1182"/>
      <c r="G2019" s="1182"/>
      <c r="H2019" s="1182"/>
      <c r="I2019" s="1182"/>
      <c r="J2019" s="1182"/>
      <c r="K2019" s="1182"/>
      <c r="L2019" s="1183"/>
      <c r="M2019" s="25"/>
      <c r="O2019" s="27"/>
      <c r="P2019" s="26"/>
      <c r="Q2019" s="28"/>
    </row>
    <row r="2020" spans="1:18" ht="75" customHeight="1" x14ac:dyDescent="0.45">
      <c r="A2020" s="1142" t="s">
        <v>367</v>
      </c>
      <c r="B2020" s="1117"/>
      <c r="C2020" s="1118"/>
      <c r="D2020" s="1181" t="s">
        <v>1264</v>
      </c>
      <c r="E2020" s="1182"/>
      <c r="F2020" s="1182"/>
      <c r="G2020" s="1182"/>
      <c r="H2020" s="1182"/>
      <c r="I2020" s="1182"/>
      <c r="J2020" s="1182"/>
      <c r="K2020" s="1182"/>
      <c r="L2020" s="1183"/>
      <c r="M2020" s="25"/>
      <c r="O2020" s="27"/>
      <c r="P2020" s="26"/>
      <c r="Q2020" s="28"/>
    </row>
    <row r="2021" spans="1:18" ht="30" customHeight="1" x14ac:dyDescent="0.45">
      <c r="A2021" s="1142" t="s">
        <v>369</v>
      </c>
      <c r="B2021" s="1117"/>
      <c r="C2021" s="1118"/>
      <c r="D2021" s="1181" t="s">
        <v>1265</v>
      </c>
      <c r="E2021" s="1182"/>
      <c r="F2021" s="1182"/>
      <c r="G2021" s="1182"/>
      <c r="H2021" s="1182"/>
      <c r="I2021" s="1182"/>
      <c r="J2021" s="1182"/>
      <c r="K2021" s="1182"/>
      <c r="L2021" s="1183"/>
      <c r="M2021" s="25"/>
      <c r="O2021" s="27"/>
      <c r="P2021" s="26"/>
      <c r="Q2021" s="28"/>
    </row>
    <row r="2022" spans="1:18" ht="45" customHeight="1" x14ac:dyDescent="0.45">
      <c r="A2022" s="1142" t="s">
        <v>371</v>
      </c>
      <c r="B2022" s="1117"/>
      <c r="C2022" s="1118"/>
      <c r="D2022" s="1181" t="s">
        <v>1266</v>
      </c>
      <c r="E2022" s="1182"/>
      <c r="F2022" s="1182"/>
      <c r="G2022" s="1182"/>
      <c r="H2022" s="1182"/>
      <c r="I2022" s="1182"/>
      <c r="J2022" s="1182"/>
      <c r="K2022" s="1182"/>
      <c r="L2022" s="1183"/>
      <c r="M2022" s="25"/>
      <c r="O2022" s="27"/>
      <c r="P2022" s="26"/>
      <c r="Q2022" s="28"/>
    </row>
    <row r="2023" spans="1:18" ht="30" customHeight="1" x14ac:dyDescent="0.45">
      <c r="A2023" s="1142" t="s">
        <v>373</v>
      </c>
      <c r="B2023" s="1117"/>
      <c r="C2023" s="1118"/>
      <c r="D2023" s="1181" t="s">
        <v>1267</v>
      </c>
      <c r="E2023" s="1182"/>
      <c r="F2023" s="1182"/>
      <c r="G2023" s="1182"/>
      <c r="H2023" s="1182"/>
      <c r="I2023" s="1182"/>
      <c r="J2023" s="1182"/>
      <c r="K2023" s="1182"/>
      <c r="L2023" s="1183"/>
      <c r="M2023" s="25"/>
      <c r="O2023" s="27"/>
      <c r="P2023" s="26"/>
      <c r="Q2023" s="28"/>
    </row>
    <row r="2024" spans="1:18" ht="45" customHeight="1" x14ac:dyDescent="0.45">
      <c r="A2024" s="1142" t="s">
        <v>375</v>
      </c>
      <c r="B2024" s="1117"/>
      <c r="C2024" s="1118"/>
      <c r="D2024" s="1181" t="s">
        <v>1268</v>
      </c>
      <c r="E2024" s="1182"/>
      <c r="F2024" s="1182"/>
      <c r="G2024" s="1182"/>
      <c r="H2024" s="1182"/>
      <c r="I2024" s="1182"/>
      <c r="J2024" s="1182"/>
      <c r="K2024" s="1182"/>
      <c r="L2024" s="1183"/>
      <c r="M2024" s="25"/>
      <c r="O2024" s="27"/>
      <c r="P2024" s="26"/>
      <c r="Q2024" s="28"/>
    </row>
    <row r="2025" spans="1:18" ht="45" customHeight="1" x14ac:dyDescent="0.45">
      <c r="A2025" s="1142" t="s">
        <v>377</v>
      </c>
      <c r="B2025" s="1117"/>
      <c r="C2025" s="1118"/>
      <c r="D2025" s="1181" t="s">
        <v>1269</v>
      </c>
      <c r="E2025" s="1182"/>
      <c r="F2025" s="1182"/>
      <c r="G2025" s="1182"/>
      <c r="H2025" s="1182"/>
      <c r="I2025" s="1182"/>
      <c r="J2025" s="1182"/>
      <c r="K2025" s="1182"/>
      <c r="L2025" s="1183"/>
      <c r="M2025" s="25"/>
      <c r="O2025" s="27"/>
      <c r="P2025" s="26"/>
      <c r="Q2025" s="28"/>
    </row>
    <row r="2026" spans="1:18" ht="30" customHeight="1" x14ac:dyDescent="0.45">
      <c r="A2026" s="1142" t="s">
        <v>379</v>
      </c>
      <c r="B2026" s="1117"/>
      <c r="C2026" s="1118"/>
      <c r="D2026" s="1181" t="s">
        <v>1270</v>
      </c>
      <c r="E2026" s="1182"/>
      <c r="F2026" s="1182"/>
      <c r="G2026" s="1182"/>
      <c r="H2026" s="1182"/>
      <c r="I2026" s="1182"/>
      <c r="J2026" s="1182"/>
      <c r="K2026" s="1182"/>
      <c r="L2026" s="1183"/>
      <c r="M2026" s="25"/>
      <c r="O2026" s="27"/>
      <c r="P2026" s="26"/>
      <c r="Q2026" s="28"/>
    </row>
    <row r="2027" spans="1:18" ht="30" customHeight="1" x14ac:dyDescent="0.45">
      <c r="A2027" s="1142" t="s">
        <v>381</v>
      </c>
      <c r="B2027" s="1117"/>
      <c r="C2027" s="1118"/>
      <c r="D2027" s="1181" t="s">
        <v>382</v>
      </c>
      <c r="E2027" s="1182"/>
      <c r="F2027" s="1182"/>
      <c r="G2027" s="1182"/>
      <c r="H2027" s="1182"/>
      <c r="I2027" s="1182"/>
      <c r="J2027" s="1182"/>
      <c r="K2027" s="1182"/>
      <c r="L2027" s="1183"/>
      <c r="N2027" s="26"/>
      <c r="O2027" s="2"/>
      <c r="P2027" s="27"/>
      <c r="Q2027" s="26"/>
      <c r="R2027" s="28"/>
    </row>
    <row r="2028" spans="1:18" ht="75" customHeight="1" thickBot="1" x14ac:dyDescent="0.5">
      <c r="A2028" s="1142" t="s">
        <v>513</v>
      </c>
      <c r="B2028" s="1117"/>
      <c r="C2028" s="1118"/>
      <c r="D2028" s="1187" t="s">
        <v>1271</v>
      </c>
      <c r="E2028" s="1188"/>
      <c r="F2028" s="1188"/>
      <c r="G2028" s="1188"/>
      <c r="H2028" s="1188"/>
      <c r="I2028" s="1188"/>
      <c r="J2028" s="1188"/>
      <c r="K2028" s="1188"/>
      <c r="L2028" s="1189"/>
      <c r="M2028" s="25"/>
      <c r="N2028" s="26"/>
      <c r="O2028" s="2"/>
      <c r="P2028" s="27"/>
      <c r="Q2028" s="26"/>
      <c r="R2028" s="28"/>
    </row>
    <row r="2029" spans="1:18" ht="30" customHeight="1" thickBot="1" x14ac:dyDescent="0.5">
      <c r="A2029" s="999"/>
      <c r="B2029" s="1000"/>
      <c r="C2029" s="1000"/>
      <c r="D2029" s="1000"/>
      <c r="E2029" s="1000"/>
      <c r="F2029" s="1000"/>
      <c r="G2029" s="1000"/>
      <c r="H2029" s="1000"/>
      <c r="I2029" s="1000"/>
      <c r="J2029" s="1000"/>
      <c r="K2029" s="1000"/>
      <c r="L2029" s="1001"/>
      <c r="M2029" s="25"/>
      <c r="N2029" s="26"/>
      <c r="O2029" s="2"/>
      <c r="P2029" s="27"/>
      <c r="Q2029" s="26"/>
      <c r="R2029" s="28"/>
    </row>
    <row r="2030" spans="1:18" ht="30" customHeight="1" x14ac:dyDescent="0.45">
      <c r="A2030" s="9" t="s">
        <v>4</v>
      </c>
      <c r="B2030" s="10">
        <v>3103</v>
      </c>
      <c r="C2030" s="983" t="s">
        <v>1272</v>
      </c>
      <c r="D2030" s="984"/>
      <c r="E2030" s="13" t="s">
        <v>7</v>
      </c>
      <c r="F2030" s="14" t="s">
        <v>35</v>
      </c>
      <c r="G2030" s="11" t="s">
        <v>6</v>
      </c>
      <c r="H2030" s="300">
        <v>8154</v>
      </c>
      <c r="I2030" s="13" t="s">
        <v>9</v>
      </c>
      <c r="J2030" s="985" t="s">
        <v>575</v>
      </c>
      <c r="K2030" s="985"/>
      <c r="L2030" s="986"/>
      <c r="M2030" s="25"/>
      <c r="O2030" s="27"/>
      <c r="P2030" s="26"/>
      <c r="Q2030" s="28"/>
    </row>
    <row r="2031" spans="1:18" ht="30" customHeight="1" x14ac:dyDescent="0.45">
      <c r="A2031" s="85" t="s">
        <v>277</v>
      </c>
      <c r="B2031" s="987" t="s">
        <v>293</v>
      </c>
      <c r="C2031" s="988"/>
      <c r="D2031" s="989"/>
      <c r="E2031" s="220" t="s">
        <v>13</v>
      </c>
      <c r="F2031" s="220" t="s">
        <v>14</v>
      </c>
      <c r="G2031" s="990" t="s">
        <v>15</v>
      </c>
      <c r="H2031" s="991"/>
      <c r="I2031" s="19" t="s">
        <v>278</v>
      </c>
      <c r="J2031" s="19"/>
      <c r="K2031" s="992" t="s">
        <v>17</v>
      </c>
      <c r="L2031" s="993"/>
      <c r="M2031" s="25"/>
      <c r="O2031" s="27"/>
      <c r="P2031" s="26"/>
      <c r="Q2031" s="28"/>
    </row>
    <row r="2032" spans="1:18" ht="30" customHeight="1" x14ac:dyDescent="0.45">
      <c r="A2032" s="47" t="s">
        <v>363</v>
      </c>
      <c r="B2032" s="1018" t="s">
        <v>1273</v>
      </c>
      <c r="C2032" s="1019"/>
      <c r="D2032" s="1020"/>
      <c r="E2032" s="221">
        <f>242-2.64</f>
        <v>239.36</v>
      </c>
      <c r="F2032" s="47" t="s">
        <v>35</v>
      </c>
      <c r="G2032" s="222"/>
      <c r="H2032" s="223"/>
      <c r="I2032" s="47">
        <v>1.01</v>
      </c>
      <c r="J2032" s="365"/>
      <c r="K2032" s="221">
        <f>+E2032*I2032</f>
        <v>241.75360000000001</v>
      </c>
      <c r="L2032" s="47" t="s">
        <v>35</v>
      </c>
      <c r="M2032" s="25"/>
      <c r="N2032" s="26"/>
      <c r="O2032" s="2"/>
      <c r="P2032" s="27"/>
      <c r="Q2032" s="26"/>
      <c r="R2032" s="28"/>
    </row>
    <row r="2033" spans="1:18" ht="30" customHeight="1" x14ac:dyDescent="0.45">
      <c r="A2033" s="47" t="s">
        <v>363</v>
      </c>
      <c r="B2033" s="1008" t="s">
        <v>1274</v>
      </c>
      <c r="C2033" s="1009"/>
      <c r="D2033" s="1009"/>
      <c r="E2033" s="221">
        <v>37.5</v>
      </c>
      <c r="F2033" s="222" t="s">
        <v>35</v>
      </c>
      <c r="G2033" s="42"/>
      <c r="H2033" s="206"/>
      <c r="I2033" s="47">
        <v>1.01</v>
      </c>
      <c r="J2033" s="365"/>
      <c r="K2033" s="221">
        <f>+E2033*I2033</f>
        <v>37.875</v>
      </c>
      <c r="L2033" s="47" t="s">
        <v>35</v>
      </c>
      <c r="M2033" s="25"/>
      <c r="O2033" s="27"/>
      <c r="P2033" s="26"/>
      <c r="Q2033" s="28"/>
    </row>
    <row r="2034" spans="1:18" ht="30" customHeight="1" x14ac:dyDescent="0.45">
      <c r="A2034" s="47" t="s">
        <v>1275</v>
      </c>
      <c r="B2034" s="1018" t="s">
        <v>1276</v>
      </c>
      <c r="C2034" s="1019"/>
      <c r="D2034" s="1019"/>
      <c r="E2034" s="221">
        <v>165000</v>
      </c>
      <c r="F2034" s="222" t="s">
        <v>88</v>
      </c>
      <c r="G2034" s="361">
        <f>+H2030</f>
        <v>8154</v>
      </c>
      <c r="H2034" s="206" t="s">
        <v>1157</v>
      </c>
      <c r="I2034" s="365">
        <v>1.02</v>
      </c>
      <c r="J2034" s="365"/>
      <c r="K2034" s="221">
        <f>+(E2034*6)/G2034*I2034</f>
        <v>123.841059602649</v>
      </c>
      <c r="L2034" s="47" t="s">
        <v>35</v>
      </c>
      <c r="M2034" s="25"/>
      <c r="O2034" s="27"/>
      <c r="P2034" s="26"/>
      <c r="Q2034" s="28"/>
    </row>
    <row r="2035" spans="1:18" ht="30" customHeight="1" x14ac:dyDescent="0.45">
      <c r="A2035" s="47" t="s">
        <v>358</v>
      </c>
      <c r="B2035" s="1008" t="s">
        <v>1250</v>
      </c>
      <c r="C2035" s="1009"/>
      <c r="D2035" s="1009"/>
      <c r="E2035" s="221">
        <v>4.38</v>
      </c>
      <c r="F2035" s="222" t="s">
        <v>35</v>
      </c>
      <c r="G2035" s="42"/>
      <c r="H2035" s="206"/>
      <c r="I2035" s="47">
        <v>1.01</v>
      </c>
      <c r="J2035" s="365"/>
      <c r="K2035" s="221">
        <f>+E2035*I2035</f>
        <v>4.4238</v>
      </c>
      <c r="L2035" s="47" t="s">
        <v>35</v>
      </c>
      <c r="M2035" s="25"/>
      <c r="O2035" s="27"/>
      <c r="P2035" s="26"/>
      <c r="Q2035" s="28"/>
    </row>
    <row r="2036" spans="1:18" ht="30" customHeight="1" x14ac:dyDescent="0.45">
      <c r="A2036" s="47"/>
      <c r="B2036" s="1092"/>
      <c r="C2036" s="1092"/>
      <c r="D2036" s="1092"/>
      <c r="E2036" s="221"/>
      <c r="F2036" s="47"/>
      <c r="G2036" s="58"/>
      <c r="H2036" s="179"/>
      <c r="I2036" s="47"/>
      <c r="J2036" s="47" t="s">
        <v>38</v>
      </c>
      <c r="K2036" s="221">
        <f>SUM(K2032:K2035)</f>
        <v>407.89345960264905</v>
      </c>
      <c r="L2036" s="47" t="s">
        <v>35</v>
      </c>
      <c r="M2036" s="25"/>
      <c r="O2036" s="27"/>
      <c r="P2036" s="26"/>
      <c r="Q2036" s="28"/>
    </row>
    <row r="2037" spans="1:18" ht="30" customHeight="1" x14ac:dyDescent="0.45">
      <c r="A2037" s="47"/>
      <c r="B2037" s="224"/>
      <c r="C2037" s="224"/>
      <c r="D2037" s="224"/>
      <c r="E2037" s="221"/>
      <c r="F2037" s="1011" t="s">
        <v>285</v>
      </c>
      <c r="G2037" s="1013" t="s">
        <v>286</v>
      </c>
      <c r="H2037" s="1013"/>
      <c r="I2037" s="1013"/>
      <c r="J2037" s="1013"/>
      <c r="K2037" s="365">
        <f>(1.08+1.1)/2</f>
        <v>1.0900000000000001</v>
      </c>
      <c r="L2037" s="47"/>
      <c r="M2037" s="25"/>
      <c r="O2037" s="27"/>
      <c r="P2037" s="26"/>
      <c r="Q2037" s="28"/>
    </row>
    <row r="2038" spans="1:18" ht="30" customHeight="1" x14ac:dyDescent="0.45">
      <c r="A2038" s="47"/>
      <c r="B2038" s="224"/>
      <c r="C2038" s="224"/>
      <c r="D2038" s="224"/>
      <c r="E2038" s="221"/>
      <c r="F2038" s="1012"/>
      <c r="G2038" s="1014" t="s">
        <v>580</v>
      </c>
      <c r="H2038" s="1014"/>
      <c r="I2038" s="1014"/>
      <c r="J2038" s="1014"/>
      <c r="K2038" s="202">
        <v>1.08</v>
      </c>
      <c r="L2038" s="47"/>
      <c r="M2038" s="25"/>
      <c r="O2038" s="27"/>
      <c r="P2038" s="26"/>
      <c r="Q2038" s="28"/>
    </row>
    <row r="2039" spans="1:18" ht="30" customHeight="1" x14ac:dyDescent="0.45">
      <c r="A2039" s="47"/>
      <c r="B2039" s="1279"/>
      <c r="C2039" s="1280"/>
      <c r="D2039" s="1281"/>
      <c r="E2039" s="58"/>
      <c r="F2039" s="58"/>
      <c r="G2039" s="58"/>
      <c r="H2039" s="58"/>
      <c r="I2039" s="58"/>
      <c r="J2039" s="58" t="s">
        <v>39</v>
      </c>
      <c r="K2039" s="216">
        <f>+K2036*K2037/K2038</f>
        <v>411.67025089526618</v>
      </c>
      <c r="L2039" s="47" t="s">
        <v>35</v>
      </c>
      <c r="M2039" s="25"/>
      <c r="O2039" s="27"/>
      <c r="P2039" s="26"/>
      <c r="Q2039" s="28"/>
    </row>
    <row r="2040" spans="1:18" ht="30" customHeight="1" x14ac:dyDescent="0.45">
      <c r="A2040" s="47"/>
      <c r="B2040" s="47"/>
      <c r="C2040" s="58"/>
      <c r="D2040" s="58"/>
      <c r="E2040" s="58"/>
      <c r="F2040" s="58"/>
      <c r="G2040" s="1021" t="s">
        <v>288</v>
      </c>
      <c r="H2040" s="1022"/>
      <c r="I2040" s="1023"/>
      <c r="J2040" s="213">
        <f>VLOOKUP(B2030,'[1]Mil Cost Premiums for PUCs'!$A$4:$R$278,18,FALSE)</f>
        <v>1.3319480854780448</v>
      </c>
      <c r="K2040" s="216">
        <f>+K2039*J2040</f>
        <v>548.32340252821609</v>
      </c>
      <c r="L2040" s="47" t="s">
        <v>35</v>
      </c>
      <c r="O2040" s="27"/>
      <c r="P2040" s="26"/>
      <c r="Q2040" s="28"/>
    </row>
    <row r="2041" spans="1:18" ht="30" customHeight="1" x14ac:dyDescent="0.45">
      <c r="A2041" s="531"/>
      <c r="B2041" s="531"/>
      <c r="C2041" s="538"/>
      <c r="D2041" s="538"/>
      <c r="E2041" s="552"/>
      <c r="F2041" s="1024" t="s">
        <v>581</v>
      </c>
      <c r="G2041" s="1024"/>
      <c r="H2041" s="1024"/>
      <c r="I2041" s="1024"/>
      <c r="J2041" s="543">
        <v>1.0833999999999999</v>
      </c>
      <c r="K2041" s="363">
        <f>K2040*J2041</f>
        <v>594.05357429906928</v>
      </c>
      <c r="L2041" s="225" t="s">
        <v>35</v>
      </c>
      <c r="M2041" s="25"/>
      <c r="N2041" s="26"/>
      <c r="O2041" s="2"/>
      <c r="P2041" s="27"/>
      <c r="Q2041" s="26"/>
      <c r="R2041" s="28"/>
    </row>
    <row r="2042" spans="1:18" ht="30" customHeight="1" thickBot="1" x14ac:dyDescent="0.5">
      <c r="A2042" s="225"/>
      <c r="B2042" s="225"/>
      <c r="C2042" s="150"/>
      <c r="D2042" s="150"/>
      <c r="E2042" s="150"/>
      <c r="F2042" s="150"/>
      <c r="G2042" s="1025" t="s">
        <v>299</v>
      </c>
      <c r="H2042" s="1026"/>
      <c r="I2042" s="1027"/>
      <c r="J2042" s="226">
        <v>1.1214</v>
      </c>
      <c r="K2042" s="227">
        <f>+K2041*J2042</f>
        <v>666.17167821897624</v>
      </c>
      <c r="L2042" s="225" t="s">
        <v>35</v>
      </c>
      <c r="M2042" s="25"/>
    </row>
    <row r="2043" spans="1:18" ht="30" customHeight="1" thickBot="1" x14ac:dyDescent="0.5">
      <c r="A2043" s="999"/>
      <c r="B2043" s="1000"/>
      <c r="C2043" s="1000"/>
      <c r="D2043" s="1000"/>
      <c r="E2043" s="1000"/>
      <c r="F2043" s="1000"/>
      <c r="G2043" s="1000"/>
      <c r="H2043" s="1000"/>
      <c r="I2043" s="1000"/>
      <c r="J2043" s="1000"/>
      <c r="K2043" s="1000"/>
      <c r="L2043" s="1001"/>
      <c r="M2043" s="25"/>
      <c r="O2043" s="27"/>
      <c r="P2043" s="26"/>
      <c r="Q2043" s="28"/>
    </row>
    <row r="2044" spans="1:18" ht="30" customHeight="1" x14ac:dyDescent="0.45">
      <c r="A2044" s="9" t="s">
        <v>4</v>
      </c>
      <c r="B2044" s="10">
        <v>3104</v>
      </c>
      <c r="C2044" s="983" t="s">
        <v>1277</v>
      </c>
      <c r="D2044" s="984"/>
      <c r="E2044" s="13" t="s">
        <v>7</v>
      </c>
      <c r="F2044" s="14" t="s">
        <v>35</v>
      </c>
      <c r="G2044" s="11" t="s">
        <v>6</v>
      </c>
      <c r="H2044" s="155">
        <v>417</v>
      </c>
      <c r="I2044" s="13" t="s">
        <v>9</v>
      </c>
      <c r="J2044" s="985" t="s">
        <v>575</v>
      </c>
      <c r="K2044" s="985"/>
      <c r="L2044" s="986"/>
      <c r="M2044" s="25"/>
      <c r="O2044" s="27"/>
      <c r="P2044" s="26"/>
      <c r="Q2044" s="28"/>
    </row>
    <row r="2045" spans="1:18" ht="30" customHeight="1" x14ac:dyDescent="0.45">
      <c r="A2045" s="85" t="s">
        <v>277</v>
      </c>
      <c r="B2045" s="987" t="s">
        <v>293</v>
      </c>
      <c r="C2045" s="988"/>
      <c r="D2045" s="989"/>
      <c r="E2045" s="220" t="s">
        <v>13</v>
      </c>
      <c r="F2045" s="220" t="s">
        <v>14</v>
      </c>
      <c r="G2045" s="990" t="s">
        <v>15</v>
      </c>
      <c r="H2045" s="991"/>
      <c r="I2045" s="19" t="s">
        <v>278</v>
      </c>
      <c r="J2045" s="19"/>
      <c r="K2045" s="992" t="s">
        <v>17</v>
      </c>
      <c r="L2045" s="993"/>
      <c r="M2045" s="25"/>
      <c r="O2045" s="27"/>
      <c r="P2045" s="26"/>
      <c r="Q2045" s="28"/>
    </row>
    <row r="2046" spans="1:18" ht="30" customHeight="1" x14ac:dyDescent="0.45">
      <c r="A2046" s="47" t="s">
        <v>363</v>
      </c>
      <c r="B2046" s="1018" t="s">
        <v>1273</v>
      </c>
      <c r="C2046" s="1019"/>
      <c r="D2046" s="1020"/>
      <c r="E2046" s="221">
        <f>242-2.64</f>
        <v>239.36</v>
      </c>
      <c r="F2046" s="47" t="s">
        <v>35</v>
      </c>
      <c r="G2046" s="222"/>
      <c r="H2046" s="223"/>
      <c r="I2046" s="47">
        <v>1.01</v>
      </c>
      <c r="J2046" s="365"/>
      <c r="K2046" s="221">
        <f>+E2046*I2046</f>
        <v>241.75360000000001</v>
      </c>
      <c r="L2046" s="47" t="s">
        <v>35</v>
      </c>
      <c r="M2046" s="25"/>
      <c r="O2046" s="27"/>
      <c r="P2046" s="26"/>
      <c r="Q2046" s="28"/>
    </row>
    <row r="2047" spans="1:18" ht="30" customHeight="1" x14ac:dyDescent="0.45">
      <c r="A2047" s="47" t="s">
        <v>363</v>
      </c>
      <c r="B2047" s="1008" t="s">
        <v>1274</v>
      </c>
      <c r="C2047" s="1009"/>
      <c r="D2047" s="1009"/>
      <c r="E2047" s="221">
        <v>37.5</v>
      </c>
      <c r="F2047" s="222" t="s">
        <v>35</v>
      </c>
      <c r="G2047" s="42"/>
      <c r="H2047" s="206"/>
      <c r="I2047" s="47">
        <v>1.01</v>
      </c>
      <c r="J2047" s="365"/>
      <c r="K2047" s="221">
        <f>+E2047*I2047</f>
        <v>37.875</v>
      </c>
      <c r="L2047" s="47" t="s">
        <v>35</v>
      </c>
      <c r="M2047" s="25"/>
      <c r="O2047" s="27"/>
      <c r="P2047" s="26"/>
      <c r="Q2047" s="28"/>
    </row>
    <row r="2048" spans="1:18" ht="30" customHeight="1" x14ac:dyDescent="0.45">
      <c r="A2048" s="47" t="s">
        <v>1275</v>
      </c>
      <c r="B2048" s="1018" t="s">
        <v>1278</v>
      </c>
      <c r="C2048" s="1019"/>
      <c r="D2048" s="1020"/>
      <c r="E2048" s="221">
        <v>117000</v>
      </c>
      <c r="F2048" s="222" t="s">
        <v>88</v>
      </c>
      <c r="G2048" s="42">
        <f>+H2044</f>
        <v>417</v>
      </c>
      <c r="H2048" s="206" t="s">
        <v>1157</v>
      </c>
      <c r="I2048" s="365">
        <v>1.02</v>
      </c>
      <c r="J2048" s="365"/>
      <c r="K2048" s="221">
        <f>+(E2048*1)/G2048*I2048</f>
        <v>286.18705035971226</v>
      </c>
      <c r="L2048" s="47" t="s">
        <v>35</v>
      </c>
      <c r="M2048" s="25"/>
      <c r="O2048" s="27"/>
      <c r="P2048" s="26"/>
      <c r="Q2048" s="28"/>
    </row>
    <row r="2049" spans="1:18" ht="30" customHeight="1" x14ac:dyDescent="0.45">
      <c r="A2049" s="47" t="s">
        <v>358</v>
      </c>
      <c r="B2049" s="1008" t="s">
        <v>1279</v>
      </c>
      <c r="C2049" s="1009"/>
      <c r="D2049" s="1010"/>
      <c r="E2049" s="221">
        <v>5.52</v>
      </c>
      <c r="F2049" s="222" t="s">
        <v>35</v>
      </c>
      <c r="G2049" s="42"/>
      <c r="H2049" s="206"/>
      <c r="I2049" s="47">
        <v>1.01</v>
      </c>
      <c r="J2049" s="365"/>
      <c r="K2049" s="221">
        <f>+E2049*I2049</f>
        <v>5.5751999999999997</v>
      </c>
      <c r="L2049" s="47" t="s">
        <v>35</v>
      </c>
      <c r="M2049" s="25"/>
      <c r="O2049" s="27"/>
      <c r="P2049" s="26"/>
      <c r="Q2049" s="28"/>
    </row>
    <row r="2050" spans="1:18" ht="30" customHeight="1" x14ac:dyDescent="0.45">
      <c r="A2050" s="47"/>
      <c r="B2050" s="1092"/>
      <c r="C2050" s="1092"/>
      <c r="D2050" s="1092"/>
      <c r="E2050" s="221"/>
      <c r="F2050" s="47"/>
      <c r="G2050" s="58"/>
      <c r="H2050" s="179"/>
      <c r="I2050" s="47"/>
      <c r="J2050" s="47" t="s">
        <v>38</v>
      </c>
      <c r="K2050" s="221">
        <f>SUM(K2046:K2049)</f>
        <v>571.3908503597122</v>
      </c>
      <c r="L2050" s="47" t="s">
        <v>35</v>
      </c>
      <c r="M2050" s="25"/>
      <c r="O2050" s="27"/>
      <c r="P2050" s="26"/>
      <c r="Q2050" s="28"/>
    </row>
    <row r="2051" spans="1:18" ht="30" customHeight="1" x14ac:dyDescent="0.45">
      <c r="A2051" s="47"/>
      <c r="B2051" s="1279" t="s">
        <v>1280</v>
      </c>
      <c r="C2051" s="1019"/>
      <c r="D2051" s="1020"/>
      <c r="E2051" s="221"/>
      <c r="F2051" s="1011" t="s">
        <v>285</v>
      </c>
      <c r="G2051" s="1013" t="s">
        <v>286</v>
      </c>
      <c r="H2051" s="1013"/>
      <c r="I2051" s="1013"/>
      <c r="J2051" s="1013"/>
      <c r="K2051" s="365">
        <f>(1.08+1.1)/2</f>
        <v>1.0900000000000001</v>
      </c>
      <c r="L2051" s="47"/>
      <c r="M2051" s="25"/>
      <c r="O2051" s="27"/>
      <c r="P2051" s="26"/>
      <c r="Q2051" s="28"/>
    </row>
    <row r="2052" spans="1:18" ht="30" customHeight="1" x14ac:dyDescent="0.45">
      <c r="A2052" s="47"/>
      <c r="B2052" s="224"/>
      <c r="C2052" s="224"/>
      <c r="D2052" s="224"/>
      <c r="E2052" s="221"/>
      <c r="F2052" s="1012"/>
      <c r="G2052" s="1014" t="s">
        <v>580</v>
      </c>
      <c r="H2052" s="1014"/>
      <c r="I2052" s="1014"/>
      <c r="J2052" s="1014"/>
      <c r="K2052" s="202">
        <v>1.08</v>
      </c>
      <c r="L2052" s="47"/>
      <c r="M2052" s="25"/>
      <c r="O2052" s="27"/>
      <c r="P2052" s="26"/>
      <c r="Q2052" s="28"/>
    </row>
    <row r="2053" spans="1:18" ht="30" customHeight="1" x14ac:dyDescent="0.45">
      <c r="A2053" s="47"/>
      <c r="B2053" s="1157"/>
      <c r="C2053" s="1190"/>
      <c r="D2053" s="1191"/>
      <c r="E2053" s="58"/>
      <c r="F2053" s="58"/>
      <c r="G2053" s="58"/>
      <c r="H2053" s="58"/>
      <c r="I2053" s="58"/>
      <c r="J2053" s="58" t="s">
        <v>39</v>
      </c>
      <c r="K2053" s="216">
        <f>+K2050*K2051/K2052</f>
        <v>576.68150638156146</v>
      </c>
      <c r="L2053" s="47" t="s">
        <v>35</v>
      </c>
      <c r="M2053" s="25"/>
      <c r="N2053" s="26"/>
      <c r="O2053" s="2"/>
      <c r="P2053" s="27"/>
      <c r="Q2053" s="26"/>
      <c r="R2053" s="28"/>
    </row>
    <row r="2054" spans="1:18" ht="30" customHeight="1" x14ac:dyDescent="0.45">
      <c r="A2054" s="47"/>
      <c r="B2054" s="47"/>
      <c r="C2054" s="58"/>
      <c r="D2054" s="58"/>
      <c r="E2054" s="58"/>
      <c r="F2054" s="58"/>
      <c r="G2054" s="1021" t="s">
        <v>288</v>
      </c>
      <c r="H2054" s="1022"/>
      <c r="I2054" s="1023"/>
      <c r="J2054" s="213">
        <f>VLOOKUP(B2044,'[1]Mil Cost Premiums for PUCs'!$A$4:$R$278,18,FALSE)</f>
        <v>1.3319480854780448</v>
      </c>
      <c r="K2054" s="216">
        <f>+K2053*J2054</f>
        <v>768.10982835551567</v>
      </c>
      <c r="L2054" s="47" t="s">
        <v>35</v>
      </c>
      <c r="M2054" s="25"/>
      <c r="O2054" s="27"/>
      <c r="P2054" s="26"/>
      <c r="Q2054" s="28"/>
    </row>
    <row r="2055" spans="1:18" ht="30" customHeight="1" x14ac:dyDescent="0.45">
      <c r="A2055" s="531"/>
      <c r="B2055" s="531"/>
      <c r="C2055" s="538"/>
      <c r="D2055" s="538"/>
      <c r="E2055" s="552"/>
      <c r="F2055" s="1024" t="s">
        <v>581</v>
      </c>
      <c r="G2055" s="1024"/>
      <c r="H2055" s="1024"/>
      <c r="I2055" s="1024"/>
      <c r="J2055" s="543">
        <v>1.0833999999999999</v>
      </c>
      <c r="K2055" s="363">
        <f>K2054*J2055</f>
        <v>832.17018804036559</v>
      </c>
      <c r="L2055" s="225" t="s">
        <v>35</v>
      </c>
      <c r="M2055" s="25"/>
      <c r="O2055" s="27"/>
      <c r="P2055" s="26"/>
      <c r="Q2055" s="28"/>
    </row>
    <row r="2056" spans="1:18" ht="30" customHeight="1" thickBot="1" x14ac:dyDescent="0.5">
      <c r="A2056" s="225"/>
      <c r="B2056" s="225"/>
      <c r="C2056" s="150"/>
      <c r="D2056" s="150"/>
      <c r="E2056" s="150"/>
      <c r="F2056" s="150"/>
      <c r="G2056" s="1025" t="s">
        <v>299</v>
      </c>
      <c r="H2056" s="1026"/>
      <c r="I2056" s="1027"/>
      <c r="J2056" s="226">
        <v>1.1214</v>
      </c>
      <c r="K2056" s="227">
        <f>+K2055*J2056</f>
        <v>933.19564886846592</v>
      </c>
      <c r="L2056" s="225" t="s">
        <v>35</v>
      </c>
      <c r="M2056" s="25"/>
    </row>
    <row r="2057" spans="1:18" ht="30" customHeight="1" thickBot="1" x14ac:dyDescent="0.5">
      <c r="A2057" s="999"/>
      <c r="B2057" s="1000"/>
      <c r="C2057" s="1000"/>
      <c r="D2057" s="1000"/>
      <c r="E2057" s="1000"/>
      <c r="F2057" s="1000"/>
      <c r="G2057" s="1000"/>
      <c r="H2057" s="1000"/>
      <c r="I2057" s="1000"/>
      <c r="J2057" s="1000"/>
      <c r="K2057" s="1000"/>
      <c r="L2057" s="1001"/>
      <c r="M2057" s="25"/>
      <c r="N2057" s="26"/>
      <c r="O2057" s="2"/>
      <c r="P2057" s="27"/>
      <c r="Q2057" s="26"/>
      <c r="R2057" s="28"/>
    </row>
    <row r="2058" spans="1:18" ht="30" customHeight="1" x14ac:dyDescent="0.45">
      <c r="A2058" s="9" t="s">
        <v>4</v>
      </c>
      <c r="B2058" s="10">
        <v>3111</v>
      </c>
      <c r="C2058" s="1138" t="s">
        <v>1281</v>
      </c>
      <c r="D2058" s="1139"/>
      <c r="E2058" s="13" t="s">
        <v>7</v>
      </c>
      <c r="F2058" s="14" t="s">
        <v>35</v>
      </c>
      <c r="G2058" s="11" t="s">
        <v>6</v>
      </c>
      <c r="H2058" s="184">
        <v>52522.242976804097</v>
      </c>
      <c r="I2058" s="13" t="s">
        <v>9</v>
      </c>
      <c r="J2058" s="985" t="s">
        <v>526</v>
      </c>
      <c r="K2058" s="985"/>
      <c r="L2058" s="986"/>
      <c r="M2058" s="25"/>
      <c r="N2058" s="26"/>
      <c r="O2058" s="2"/>
      <c r="P2058" s="27"/>
      <c r="Q2058" s="26"/>
      <c r="R2058" s="28"/>
    </row>
    <row r="2059" spans="1:18" ht="30" customHeight="1" x14ac:dyDescent="0.45">
      <c r="A2059" s="19" t="s">
        <v>11</v>
      </c>
      <c r="B2059" s="1005" t="s">
        <v>12</v>
      </c>
      <c r="C2059" s="1005"/>
      <c r="D2059" s="1005"/>
      <c r="E2059" s="20" t="s">
        <v>13</v>
      </c>
      <c r="F2059" s="19" t="s">
        <v>267</v>
      </c>
      <c r="G2059" s="1114" t="s">
        <v>79</v>
      </c>
      <c r="H2059" s="1115"/>
      <c r="I2059" s="1068" t="s">
        <v>16</v>
      </c>
      <c r="J2059" s="1069"/>
      <c r="K2059" s="992" t="s">
        <v>17</v>
      </c>
      <c r="L2059" s="993"/>
      <c r="M2059" s="25"/>
      <c r="N2059" s="26"/>
      <c r="O2059" s="2"/>
      <c r="P2059" s="27"/>
      <c r="Q2059" s="26"/>
      <c r="R2059" s="28"/>
    </row>
    <row r="2060" spans="1:18" ht="30" customHeight="1" x14ac:dyDescent="0.45">
      <c r="A2060" s="47">
        <v>31010</v>
      </c>
      <c r="B2060" s="1008" t="s">
        <v>1282</v>
      </c>
      <c r="C2060" s="1009"/>
      <c r="D2060" s="1010"/>
      <c r="E2060" s="221">
        <v>247</v>
      </c>
      <c r="F2060" s="394">
        <v>9000</v>
      </c>
      <c r="G2060" s="47" t="s">
        <v>35</v>
      </c>
      <c r="H2060" s="29"/>
      <c r="I2060" s="1090">
        <f>+'[1]2023 MILCON Inflation Table'!F8</f>
        <v>1.6732905027856291</v>
      </c>
      <c r="J2060" s="1091"/>
      <c r="K2060" s="559">
        <f>+E2060*I2060</f>
        <v>413.30275418805036</v>
      </c>
      <c r="L2060" s="29" t="s">
        <v>35</v>
      </c>
      <c r="M2060" s="25"/>
      <c r="N2060" s="26"/>
      <c r="O2060" s="2"/>
      <c r="P2060" s="27"/>
      <c r="Q2060" s="26"/>
      <c r="R2060" s="28"/>
    </row>
    <row r="2061" spans="1:18" ht="30" customHeight="1" x14ac:dyDescent="0.45">
      <c r="A2061" s="47">
        <v>21110</v>
      </c>
      <c r="B2061" s="1018" t="s">
        <v>1283</v>
      </c>
      <c r="C2061" s="1019"/>
      <c r="D2061" s="1020"/>
      <c r="E2061" s="221">
        <v>514</v>
      </c>
      <c r="F2061" s="394">
        <v>120000</v>
      </c>
      <c r="G2061" s="47" t="s">
        <v>35</v>
      </c>
      <c r="H2061" s="29"/>
      <c r="I2061" s="1090">
        <f>+'[1]2023 MILCON Inflation Table'!F22</f>
        <v>0.93771935922451721</v>
      </c>
      <c r="J2061" s="1091"/>
      <c r="K2061" s="559">
        <f>+E2061*I2061</f>
        <v>481.98775064140187</v>
      </c>
      <c r="L2061" s="29" t="s">
        <v>35</v>
      </c>
      <c r="M2061" s="25"/>
      <c r="N2061" s="26"/>
      <c r="O2061" s="2"/>
      <c r="P2061" s="27"/>
      <c r="Q2061" s="26"/>
      <c r="R2061" s="28"/>
    </row>
    <row r="2062" spans="1:18" ht="30" customHeight="1" x14ac:dyDescent="0.45">
      <c r="A2062" s="47">
        <v>21120</v>
      </c>
      <c r="B2062" s="1018" t="s">
        <v>1284</v>
      </c>
      <c r="C2062" s="1019"/>
      <c r="D2062" s="1020"/>
      <c r="E2062" s="221">
        <v>506</v>
      </c>
      <c r="F2062" s="394">
        <v>98000</v>
      </c>
      <c r="G2062" s="47" t="s">
        <v>35</v>
      </c>
      <c r="H2062" s="29"/>
      <c r="I2062" s="1084">
        <f>+I2061</f>
        <v>0.93771935922451721</v>
      </c>
      <c r="J2062" s="1085"/>
      <c r="K2062" s="559">
        <f>+E2062*I2062</f>
        <v>474.48599576760569</v>
      </c>
      <c r="L2062" s="29" t="s">
        <v>35</v>
      </c>
      <c r="M2062" s="25"/>
      <c r="N2062" s="26"/>
      <c r="O2062" s="2"/>
      <c r="P2062" s="27"/>
      <c r="Q2062" s="26"/>
      <c r="R2062" s="28"/>
    </row>
    <row r="2063" spans="1:18" ht="30" customHeight="1" x14ac:dyDescent="0.45">
      <c r="A2063" s="47">
        <v>21140</v>
      </c>
      <c r="B2063" s="1018" t="s">
        <v>1285</v>
      </c>
      <c r="C2063" s="1019"/>
      <c r="D2063" s="1020"/>
      <c r="E2063" s="221">
        <v>229</v>
      </c>
      <c r="F2063" s="394">
        <v>26000</v>
      </c>
      <c r="G2063" s="47" t="s">
        <v>35</v>
      </c>
      <c r="H2063" s="29"/>
      <c r="I2063" s="1090">
        <f>+'[1]2023 MILCON Inflation Table'!F10</f>
        <v>1.5845473099763927</v>
      </c>
      <c r="J2063" s="1091"/>
      <c r="K2063" s="559">
        <f>+E2063*I2063</f>
        <v>362.86133398459395</v>
      </c>
      <c r="L2063" s="29" t="s">
        <v>35</v>
      </c>
      <c r="M2063" s="25"/>
      <c r="N2063" s="26"/>
      <c r="O2063" s="2"/>
      <c r="P2063" s="27"/>
      <c r="Q2063" s="26"/>
      <c r="R2063" s="28"/>
    </row>
    <row r="2064" spans="1:18" ht="30" customHeight="1" x14ac:dyDescent="0.45">
      <c r="A2064" s="47"/>
      <c r="B2064" s="204"/>
      <c r="C2064" s="205"/>
      <c r="D2064" s="206"/>
      <c r="E2064" s="353"/>
      <c r="F2064" s="434"/>
      <c r="G2064" s="370"/>
      <c r="H2064" s="167"/>
      <c r="I2064" s="232"/>
      <c r="J2064" s="233" t="s">
        <v>56</v>
      </c>
      <c r="K2064" s="559">
        <f>AVERAGE(K2060:K2063)</f>
        <v>433.15945864541294</v>
      </c>
      <c r="L2064" s="29" t="s">
        <v>35</v>
      </c>
      <c r="M2064" s="25"/>
      <c r="N2064" s="26"/>
      <c r="O2064" s="2"/>
      <c r="P2064" s="27"/>
      <c r="Q2064" s="26"/>
      <c r="R2064" s="28"/>
    </row>
    <row r="2065" spans="1:18" ht="30" customHeight="1" thickBot="1" x14ac:dyDescent="0.5">
      <c r="A2065" s="47"/>
      <c r="B2065" s="1008"/>
      <c r="C2065" s="1009"/>
      <c r="D2065" s="1010"/>
      <c r="E2065" s="161"/>
      <c r="F2065" s="415"/>
      <c r="G2065" s="161"/>
      <c r="H2065" s="389"/>
      <c r="I2065" s="58"/>
      <c r="J2065" s="85" t="s">
        <v>39</v>
      </c>
      <c r="K2065" s="559">
        <f>+K2064</f>
        <v>433.15945864541294</v>
      </c>
      <c r="L2065" s="29" t="s">
        <v>35</v>
      </c>
      <c r="M2065" s="25"/>
      <c r="N2065" s="26"/>
      <c r="O2065" s="2"/>
      <c r="P2065" s="27"/>
      <c r="Q2065" s="26"/>
      <c r="R2065" s="28"/>
    </row>
    <row r="2066" spans="1:18" ht="30" customHeight="1" thickBot="1" x14ac:dyDescent="0.5">
      <c r="A2066" s="999"/>
      <c r="B2066" s="1000"/>
      <c r="C2066" s="1000"/>
      <c r="D2066" s="1000"/>
      <c r="E2066" s="1000"/>
      <c r="F2066" s="1000"/>
      <c r="G2066" s="1000"/>
      <c r="H2066" s="1000"/>
      <c r="I2066" s="1000"/>
      <c r="J2066" s="1000"/>
      <c r="K2066" s="1000"/>
      <c r="L2066" s="1001"/>
      <c r="N2066" s="26"/>
      <c r="O2066" s="2"/>
      <c r="P2066" s="27"/>
      <c r="Q2066" s="26"/>
      <c r="R2066" s="28"/>
    </row>
    <row r="2067" spans="1:18" ht="30" customHeight="1" x14ac:dyDescent="0.45">
      <c r="A2067" s="9" t="s">
        <v>4</v>
      </c>
      <c r="B2067" s="10">
        <v>3121</v>
      </c>
      <c r="C2067" s="1138" t="s">
        <v>1286</v>
      </c>
      <c r="D2067" s="1139"/>
      <c r="E2067" s="13" t="s">
        <v>7</v>
      </c>
      <c r="F2067" s="167" t="s">
        <v>35</v>
      </c>
      <c r="G2067" s="11" t="s">
        <v>6</v>
      </c>
      <c r="H2067" s="184">
        <v>9083.8359696641292</v>
      </c>
      <c r="I2067" s="13" t="s">
        <v>9</v>
      </c>
      <c r="J2067" s="985" t="s">
        <v>526</v>
      </c>
      <c r="K2067" s="985"/>
      <c r="L2067" s="986"/>
      <c r="M2067" s="25"/>
      <c r="N2067" s="26"/>
      <c r="O2067" s="2"/>
      <c r="P2067" s="27"/>
      <c r="Q2067" s="26"/>
      <c r="R2067" s="28"/>
    </row>
    <row r="2068" spans="1:18" ht="30" customHeight="1" x14ac:dyDescent="0.45">
      <c r="A2068" s="19" t="s">
        <v>11</v>
      </c>
      <c r="B2068" s="1005" t="s">
        <v>12</v>
      </c>
      <c r="C2068" s="1005"/>
      <c r="D2068" s="1005"/>
      <c r="E2068" s="20" t="s">
        <v>13</v>
      </c>
      <c r="F2068" s="19" t="s">
        <v>267</v>
      </c>
      <c r="G2068" s="1114" t="s">
        <v>79</v>
      </c>
      <c r="H2068" s="1115"/>
      <c r="I2068" s="1068" t="s">
        <v>16</v>
      </c>
      <c r="J2068" s="1069"/>
      <c r="K2068" s="992" t="s">
        <v>17</v>
      </c>
      <c r="L2068" s="993"/>
      <c r="M2068" s="25"/>
      <c r="N2068" s="26"/>
      <c r="O2068" s="2"/>
      <c r="P2068" s="27"/>
      <c r="Q2068" s="26"/>
      <c r="R2068" s="28"/>
    </row>
    <row r="2069" spans="1:18" ht="30" customHeight="1" x14ac:dyDescent="0.45">
      <c r="A2069" s="47">
        <v>31010</v>
      </c>
      <c r="B2069" s="1008" t="s">
        <v>1282</v>
      </c>
      <c r="C2069" s="1009"/>
      <c r="D2069" s="1010"/>
      <c r="E2069" s="221">
        <v>247</v>
      </c>
      <c r="F2069" s="394">
        <v>9000</v>
      </c>
      <c r="G2069" s="47" t="s">
        <v>35</v>
      </c>
      <c r="H2069" s="29"/>
      <c r="I2069" s="1090">
        <f>+'[1]2023 MILCON Inflation Table'!F8</f>
        <v>1.6732905027856291</v>
      </c>
      <c r="J2069" s="1091"/>
      <c r="K2069" s="313">
        <f>+E2069*I2069</f>
        <v>413.30275418805036</v>
      </c>
      <c r="L2069" s="29" t="s">
        <v>35</v>
      </c>
      <c r="M2069" s="25"/>
      <c r="N2069" s="26"/>
      <c r="O2069" s="2"/>
      <c r="P2069" s="27"/>
      <c r="Q2069" s="26"/>
      <c r="R2069" s="28"/>
    </row>
    <row r="2070" spans="1:18" ht="30" customHeight="1" x14ac:dyDescent="0.45">
      <c r="A2070" s="47">
        <v>21110</v>
      </c>
      <c r="B2070" s="1018" t="s">
        <v>1283</v>
      </c>
      <c r="C2070" s="1019"/>
      <c r="D2070" s="1020"/>
      <c r="E2070" s="221">
        <v>514</v>
      </c>
      <c r="F2070" s="394">
        <v>120000</v>
      </c>
      <c r="G2070" s="47" t="s">
        <v>35</v>
      </c>
      <c r="H2070" s="29"/>
      <c r="I2070" s="1090">
        <f>+'[1]2023 MILCON Inflation Table'!F22</f>
        <v>0.93771935922451721</v>
      </c>
      <c r="J2070" s="1091"/>
      <c r="K2070" s="313">
        <f>+E2070*I2070</f>
        <v>481.98775064140187</v>
      </c>
      <c r="L2070" s="29" t="s">
        <v>35</v>
      </c>
      <c r="M2070" s="25"/>
      <c r="N2070" s="26"/>
      <c r="O2070" s="2"/>
      <c r="P2070" s="27"/>
      <c r="Q2070" s="26"/>
      <c r="R2070" s="28"/>
    </row>
    <row r="2071" spans="1:18" ht="30" customHeight="1" x14ac:dyDescent="0.45">
      <c r="A2071" s="47">
        <v>21120</v>
      </c>
      <c r="B2071" s="1018" t="s">
        <v>1284</v>
      </c>
      <c r="C2071" s="1019"/>
      <c r="D2071" s="1020"/>
      <c r="E2071" s="221">
        <v>506</v>
      </c>
      <c r="F2071" s="394">
        <v>98000</v>
      </c>
      <c r="G2071" s="47" t="s">
        <v>35</v>
      </c>
      <c r="H2071" s="29"/>
      <c r="I2071" s="1084">
        <f>+I2070</f>
        <v>0.93771935922451721</v>
      </c>
      <c r="J2071" s="1085"/>
      <c r="K2071" s="313">
        <f>+E2071*I2071</f>
        <v>474.48599576760569</v>
      </c>
      <c r="L2071" s="29" t="s">
        <v>35</v>
      </c>
      <c r="M2071" s="25"/>
      <c r="O2071" s="27"/>
      <c r="P2071" s="26"/>
      <c r="Q2071" s="28"/>
    </row>
    <row r="2072" spans="1:18" ht="30" customHeight="1" x14ac:dyDescent="0.45">
      <c r="A2072" s="47">
        <v>21210</v>
      </c>
      <c r="B2072" s="1018" t="s">
        <v>1287</v>
      </c>
      <c r="C2072" s="1019"/>
      <c r="D2072" s="1020"/>
      <c r="E2072" s="221">
        <v>208</v>
      </c>
      <c r="F2072" s="394">
        <v>10300</v>
      </c>
      <c r="G2072" s="47" t="s">
        <v>35</v>
      </c>
      <c r="H2072" s="29"/>
      <c r="I2072" s="1090">
        <f>+'[1]2023 MILCON Inflation Table'!F8</f>
        <v>1.6732905027856291</v>
      </c>
      <c r="J2072" s="1091"/>
      <c r="K2072" s="313">
        <f>+E2072*I2072</f>
        <v>348.04442457941087</v>
      </c>
      <c r="L2072" s="29" t="s">
        <v>35</v>
      </c>
      <c r="M2072" s="25"/>
      <c r="N2072" s="26"/>
      <c r="O2072" s="2"/>
      <c r="P2072" s="27"/>
      <c r="Q2072" s="26"/>
      <c r="R2072" s="28"/>
    </row>
    <row r="2073" spans="1:18" ht="30" customHeight="1" x14ac:dyDescent="0.45">
      <c r="A2073" s="47"/>
      <c r="B2073" s="204"/>
      <c r="C2073" s="205"/>
      <c r="D2073" s="206"/>
      <c r="E2073" s="353"/>
      <c r="F2073" s="434"/>
      <c r="G2073" s="370"/>
      <c r="H2073" s="167"/>
      <c r="I2073" s="391"/>
      <c r="J2073" s="392" t="s">
        <v>56</v>
      </c>
      <c r="K2073" s="313">
        <f>AVERAGE(K2069:K2072)</f>
        <v>429.45523129411714</v>
      </c>
      <c r="L2073" s="29" t="s">
        <v>35</v>
      </c>
      <c r="M2073" s="25"/>
      <c r="N2073" s="26"/>
      <c r="O2073" s="2"/>
      <c r="P2073" s="27"/>
      <c r="Q2073" s="26"/>
      <c r="R2073" s="28"/>
    </row>
    <row r="2074" spans="1:18" ht="30" customHeight="1" thickBot="1" x14ac:dyDescent="0.5">
      <c r="A2074" s="47"/>
      <c r="B2074" s="1008"/>
      <c r="C2074" s="1009"/>
      <c r="D2074" s="1010"/>
      <c r="E2074" s="161"/>
      <c r="F2074" s="415"/>
      <c r="G2074" s="161"/>
      <c r="H2074" s="389"/>
      <c r="I2074" s="58"/>
      <c r="J2074" s="85" t="s">
        <v>39</v>
      </c>
      <c r="K2074" s="313">
        <f>AVERAGE(K2069:K2072)</f>
        <v>429.45523129411714</v>
      </c>
      <c r="L2074" s="29" t="s">
        <v>35</v>
      </c>
      <c r="M2074" s="25"/>
      <c r="N2074" s="26"/>
      <c r="O2074" s="2"/>
      <c r="P2074" s="27"/>
      <c r="Q2074" s="26"/>
      <c r="R2074" s="28"/>
    </row>
    <row r="2075" spans="1:18" ht="30" customHeight="1" thickBot="1" x14ac:dyDescent="0.5">
      <c r="A2075" s="999"/>
      <c r="B2075" s="1000"/>
      <c r="C2075" s="1000"/>
      <c r="D2075" s="1000"/>
      <c r="E2075" s="1000"/>
      <c r="F2075" s="1000"/>
      <c r="G2075" s="1000"/>
      <c r="H2075" s="1000"/>
      <c r="I2075" s="1000"/>
      <c r="J2075" s="1000"/>
      <c r="K2075" s="1000"/>
      <c r="L2075" s="1001"/>
      <c r="M2075" s="25"/>
      <c r="N2075" s="26"/>
      <c r="O2075" s="2"/>
      <c r="P2075" s="27"/>
      <c r="Q2075" s="26"/>
      <c r="R2075" s="28"/>
    </row>
    <row r="2076" spans="1:18" ht="30" customHeight="1" x14ac:dyDescent="0.45">
      <c r="A2076" s="9" t="s">
        <v>4</v>
      </c>
      <c r="B2076" s="10">
        <v>3131</v>
      </c>
      <c r="C2076" s="1125" t="s">
        <v>1288</v>
      </c>
      <c r="D2076" s="1125"/>
      <c r="E2076" s="13" t="s">
        <v>7</v>
      </c>
      <c r="F2076" s="14" t="s">
        <v>35</v>
      </c>
      <c r="G2076" s="11" t="s">
        <v>6</v>
      </c>
      <c r="H2076" s="512">
        <v>23353</v>
      </c>
      <c r="I2076" s="13" t="s">
        <v>9</v>
      </c>
      <c r="J2076" s="985" t="s">
        <v>575</v>
      </c>
      <c r="K2076" s="985"/>
      <c r="L2076" s="986"/>
      <c r="M2076" s="25"/>
      <c r="N2076" s="26"/>
      <c r="O2076" s="2"/>
      <c r="P2076" s="27"/>
      <c r="Q2076" s="26"/>
      <c r="R2076" s="28"/>
    </row>
    <row r="2077" spans="1:18" ht="30" customHeight="1" x14ac:dyDescent="0.45">
      <c r="A2077" s="85" t="s">
        <v>277</v>
      </c>
      <c r="B2077" s="987" t="s">
        <v>293</v>
      </c>
      <c r="C2077" s="988"/>
      <c r="D2077" s="989"/>
      <c r="E2077" s="220" t="s">
        <v>13</v>
      </c>
      <c r="F2077" s="220" t="s">
        <v>14</v>
      </c>
      <c r="G2077" s="992" t="s">
        <v>15</v>
      </c>
      <c r="H2077" s="993"/>
      <c r="I2077" s="504" t="s">
        <v>1044</v>
      </c>
      <c r="J2077" s="19" t="s">
        <v>278</v>
      </c>
      <c r="K2077" s="992" t="s">
        <v>17</v>
      </c>
      <c r="L2077" s="993"/>
      <c r="M2077" s="25"/>
      <c r="N2077" s="26"/>
      <c r="O2077" s="2"/>
      <c r="P2077" s="27"/>
      <c r="Q2077" s="26"/>
      <c r="R2077" s="28"/>
    </row>
    <row r="2078" spans="1:18" ht="30" customHeight="1" x14ac:dyDescent="0.45">
      <c r="A2078" s="47" t="s">
        <v>1289</v>
      </c>
      <c r="B2078" s="1018" t="s">
        <v>1290</v>
      </c>
      <c r="C2078" s="1019"/>
      <c r="D2078" s="1020"/>
      <c r="E2078" s="221">
        <v>97.5</v>
      </c>
      <c r="F2078" s="47" t="s">
        <v>35</v>
      </c>
      <c r="G2078" s="348"/>
      <c r="H2078" s="349"/>
      <c r="I2078" s="505">
        <f>+E2078</f>
        <v>97.5</v>
      </c>
      <c r="J2078" s="47">
        <v>1.01</v>
      </c>
      <c r="K2078" s="221">
        <f>+I2078*J2078</f>
        <v>98.474999999999994</v>
      </c>
      <c r="L2078" s="47" t="s">
        <v>35</v>
      </c>
      <c r="M2078" s="25"/>
      <c r="N2078" s="26"/>
      <c r="O2078" s="2"/>
      <c r="P2078" s="27"/>
      <c r="Q2078" s="26"/>
      <c r="R2078" s="28"/>
    </row>
    <row r="2079" spans="1:18" ht="30" customHeight="1" x14ac:dyDescent="0.45">
      <c r="A2079" s="47" t="s">
        <v>358</v>
      </c>
      <c r="B2079" s="1018" t="s">
        <v>1086</v>
      </c>
      <c r="C2079" s="1019"/>
      <c r="D2079" s="1020"/>
      <c r="E2079" s="1">
        <v>3.61</v>
      </c>
      <c r="F2079" s="47" t="s">
        <v>35</v>
      </c>
      <c r="G2079" s="42"/>
      <c r="H2079" s="206"/>
      <c r="I2079" s="506">
        <f>+E2079</f>
        <v>3.61</v>
      </c>
      <c r="J2079" s="47">
        <v>1.01</v>
      </c>
      <c r="K2079" s="221">
        <f t="shared" ref="K2079:K2088" si="50">+I2079*J2079</f>
        <v>3.6461000000000001</v>
      </c>
      <c r="L2079" s="47" t="s">
        <v>35</v>
      </c>
      <c r="M2079" s="25"/>
      <c r="N2079" s="26"/>
      <c r="O2079" s="2"/>
      <c r="P2079" s="27"/>
      <c r="Q2079" s="26"/>
      <c r="R2079" s="28"/>
    </row>
    <row r="2080" spans="1:18" ht="30" customHeight="1" x14ac:dyDescent="0.45">
      <c r="A2080" s="47" t="s">
        <v>470</v>
      </c>
      <c r="B2080" s="1018" t="s">
        <v>1291</v>
      </c>
      <c r="C2080" s="1019"/>
      <c r="D2080" s="1020"/>
      <c r="E2080" s="221">
        <v>177000</v>
      </c>
      <c r="F2080" s="222" t="s">
        <v>88</v>
      </c>
      <c r="G2080" s="530">
        <f>+(E2080*2)/H2076</f>
        <v>15.158651993319916</v>
      </c>
      <c r="H2080" s="206" t="s">
        <v>1061</v>
      </c>
      <c r="I2080" s="506">
        <f>+E2080*2/H2076</f>
        <v>15.158651993319916</v>
      </c>
      <c r="J2080" s="47">
        <v>1.02</v>
      </c>
      <c r="K2080" s="221">
        <f t="shared" si="50"/>
        <v>15.461825033186315</v>
      </c>
      <c r="L2080" s="47" t="s">
        <v>35</v>
      </c>
      <c r="N2080" s="26"/>
      <c r="O2080" s="2"/>
      <c r="P2080" s="27"/>
      <c r="Q2080" s="26"/>
      <c r="R2080" s="28"/>
    </row>
    <row r="2081" spans="1:18" ht="30" customHeight="1" x14ac:dyDescent="0.45">
      <c r="A2081" s="47" t="s">
        <v>470</v>
      </c>
      <c r="B2081" s="1018" t="s">
        <v>1292</v>
      </c>
      <c r="C2081" s="1019"/>
      <c r="D2081" s="1020"/>
      <c r="E2081" s="221">
        <f>+(244+267)/2</f>
        <v>255.5</v>
      </c>
      <c r="F2081" s="222" t="s">
        <v>113</v>
      </c>
      <c r="G2081" s="530">
        <f>400/H2076</f>
        <v>1.7128420331434933E-2</v>
      </c>
      <c r="H2081" s="206" t="s">
        <v>1061</v>
      </c>
      <c r="I2081" s="506">
        <f>+E2081*G2081</f>
        <v>4.3763113946816254</v>
      </c>
      <c r="J2081" s="47">
        <v>1.02</v>
      </c>
      <c r="K2081" s="221">
        <f t="shared" si="50"/>
        <v>4.4638376225752578</v>
      </c>
      <c r="L2081" s="47" t="s">
        <v>35</v>
      </c>
      <c r="M2081" s="25"/>
      <c r="N2081" s="26"/>
      <c r="O2081" s="2"/>
      <c r="P2081" s="27"/>
      <c r="Q2081" s="26"/>
      <c r="R2081" s="28"/>
    </row>
    <row r="2082" spans="1:18" ht="30" customHeight="1" x14ac:dyDescent="0.45">
      <c r="A2082" s="47" t="s">
        <v>470</v>
      </c>
      <c r="B2082" s="1018" t="s">
        <v>1249</v>
      </c>
      <c r="C2082" s="1019"/>
      <c r="D2082" s="1020"/>
      <c r="E2082" s="221">
        <f>+(23.75+47.75)/2</f>
        <v>35.75</v>
      </c>
      <c r="F2082" s="222" t="s">
        <v>113</v>
      </c>
      <c r="G2082" s="530">
        <f>344/H2076</f>
        <v>1.4730441485034043E-2</v>
      </c>
      <c r="H2082" s="206" t="s">
        <v>1061</v>
      </c>
      <c r="I2082" s="506">
        <f>+E2082*G2082</f>
        <v>0.52661328308996702</v>
      </c>
      <c r="J2082" s="47">
        <v>1.02</v>
      </c>
      <c r="K2082" s="221">
        <f t="shared" si="50"/>
        <v>0.53714554875176634</v>
      </c>
      <c r="L2082" s="47" t="s">
        <v>35</v>
      </c>
      <c r="M2082" s="25"/>
      <c r="N2082" s="26"/>
      <c r="O2082" s="2"/>
      <c r="P2082" s="27"/>
      <c r="Q2082" s="26"/>
      <c r="R2082" s="28"/>
    </row>
    <row r="2083" spans="1:18" ht="30" customHeight="1" x14ac:dyDescent="0.45">
      <c r="A2083" s="47" t="s">
        <v>1050</v>
      </c>
      <c r="B2083" s="1018" t="s">
        <v>1293</v>
      </c>
      <c r="C2083" s="1019"/>
      <c r="D2083" s="1020"/>
      <c r="E2083" s="221">
        <f>(20.3+31.5)/2</f>
        <v>25.9</v>
      </c>
      <c r="F2083" s="222" t="s">
        <v>1294</v>
      </c>
      <c r="G2083" s="314">
        <f>3*81*E2083/H2076</f>
        <v>0.26950284759988008</v>
      </c>
      <c r="H2083" s="206" t="s">
        <v>1061</v>
      </c>
      <c r="I2083" s="506">
        <f>+G2083</f>
        <v>0.26950284759988008</v>
      </c>
      <c r="J2083" s="47">
        <v>1.03</v>
      </c>
      <c r="K2083" s="221">
        <f t="shared" si="50"/>
        <v>0.27758793302787649</v>
      </c>
      <c r="L2083" s="47" t="s">
        <v>35</v>
      </c>
      <c r="M2083" s="25"/>
      <c r="N2083" s="26"/>
      <c r="O2083" s="2"/>
      <c r="P2083" s="27"/>
      <c r="Q2083" s="26"/>
      <c r="R2083" s="28"/>
    </row>
    <row r="2084" spans="1:18" ht="30" customHeight="1" x14ac:dyDescent="0.45">
      <c r="A2084" s="47" t="s">
        <v>1050</v>
      </c>
      <c r="B2084" s="1018" t="s">
        <v>1295</v>
      </c>
      <c r="C2084" s="1019"/>
      <c r="D2084" s="1020"/>
      <c r="E2084" s="221">
        <f>(1710+2420)/2</f>
        <v>2065</v>
      </c>
      <c r="F2084" s="222" t="s">
        <v>88</v>
      </c>
      <c r="G2084" s="314">
        <f>3*E2084/H2076</f>
        <v>0.26527640988309853</v>
      </c>
      <c r="H2084" s="206" t="s">
        <v>1061</v>
      </c>
      <c r="I2084" s="506">
        <f>+G2084</f>
        <v>0.26527640988309853</v>
      </c>
      <c r="J2084" s="47">
        <v>1.03</v>
      </c>
      <c r="K2084" s="221">
        <f t="shared" si="50"/>
        <v>0.2732347021795915</v>
      </c>
      <c r="L2084" s="47" t="s">
        <v>35</v>
      </c>
      <c r="M2084" s="25"/>
      <c r="N2084" s="26"/>
      <c r="O2084" s="2"/>
      <c r="P2084" s="27"/>
      <c r="Q2084" s="26"/>
      <c r="R2084" s="28"/>
    </row>
    <row r="2085" spans="1:18" ht="30" customHeight="1" x14ac:dyDescent="0.45">
      <c r="A2085" s="47" t="s">
        <v>1055</v>
      </c>
      <c r="B2085" s="1018" t="s">
        <v>1296</v>
      </c>
      <c r="C2085" s="1019"/>
      <c r="D2085" s="1020"/>
      <c r="E2085" s="221">
        <f>+(34.5+782)</f>
        <v>816.5</v>
      </c>
      <c r="F2085" s="222" t="s">
        <v>113</v>
      </c>
      <c r="G2085" s="42">
        <v>30</v>
      </c>
      <c r="H2085" s="206" t="s">
        <v>1204</v>
      </c>
      <c r="I2085" s="506">
        <f>+E2085*G2085/H2076</f>
        <v>1.0489016400462468</v>
      </c>
      <c r="J2085" s="47">
        <v>1.03</v>
      </c>
      <c r="K2085" s="221">
        <f t="shared" si="50"/>
        <v>1.0803686892476341</v>
      </c>
      <c r="L2085" s="47" t="s">
        <v>35</v>
      </c>
      <c r="M2085" s="25"/>
      <c r="N2085" s="26"/>
      <c r="O2085" s="2"/>
      <c r="P2085" s="27"/>
      <c r="Q2085" s="26"/>
      <c r="R2085" s="28"/>
    </row>
    <row r="2086" spans="1:18" ht="30" customHeight="1" x14ac:dyDescent="0.45">
      <c r="A2086" s="47" t="s">
        <v>1055</v>
      </c>
      <c r="B2086" s="1018" t="s">
        <v>1297</v>
      </c>
      <c r="C2086" s="1019"/>
      <c r="D2086" s="1020"/>
      <c r="E2086" s="221">
        <f>+(6450+12300)/2</f>
        <v>9375</v>
      </c>
      <c r="F2086" s="222" t="s">
        <v>88</v>
      </c>
      <c r="G2086" s="42">
        <v>3</v>
      </c>
      <c r="H2086" s="206" t="s">
        <v>1061</v>
      </c>
      <c r="I2086" s="506">
        <f>+E2086*3/H2076</f>
        <v>1.2043420545540187</v>
      </c>
      <c r="J2086" s="47">
        <v>1.03</v>
      </c>
      <c r="K2086" s="221">
        <f t="shared" si="50"/>
        <v>1.2404723161906392</v>
      </c>
      <c r="L2086" s="47" t="s">
        <v>35</v>
      </c>
      <c r="N2086" s="26"/>
      <c r="O2086" s="2"/>
      <c r="P2086" s="27"/>
      <c r="Q2086" s="26"/>
      <c r="R2086" s="28"/>
    </row>
    <row r="2087" spans="1:18" ht="30" customHeight="1" x14ac:dyDescent="0.45">
      <c r="A2087" s="47" t="s">
        <v>1055</v>
      </c>
      <c r="B2087" s="1018" t="s">
        <v>1298</v>
      </c>
      <c r="C2087" s="1019"/>
      <c r="D2087" s="1020"/>
      <c r="E2087" s="1">
        <f>+(660+1010)/2</f>
        <v>835</v>
      </c>
      <c r="F2087" s="222" t="s">
        <v>88</v>
      </c>
      <c r="G2087" s="42">
        <v>3</v>
      </c>
      <c r="H2087" s="206" t="s">
        <v>1061</v>
      </c>
      <c r="I2087" s="506">
        <f>+E2087*3/H2076</f>
        <v>0.10726673232561126</v>
      </c>
      <c r="J2087" s="47">
        <v>1.03</v>
      </c>
      <c r="K2087" s="221">
        <f t="shared" si="50"/>
        <v>0.11048473429537961</v>
      </c>
      <c r="L2087" s="47" t="s">
        <v>35</v>
      </c>
      <c r="M2087" s="25"/>
      <c r="N2087" s="26"/>
      <c r="O2087" s="2"/>
      <c r="P2087" s="27"/>
      <c r="Q2087" s="26"/>
      <c r="R2087" s="28"/>
    </row>
    <row r="2088" spans="1:18" ht="30" customHeight="1" x14ac:dyDescent="0.45">
      <c r="A2088" s="47" t="s">
        <v>1055</v>
      </c>
      <c r="B2088" s="1018" t="s">
        <v>1299</v>
      </c>
      <c r="C2088" s="1019"/>
      <c r="D2088" s="1020"/>
      <c r="E2088" s="221">
        <f>+(1160+3475)/2</f>
        <v>2317.5</v>
      </c>
      <c r="F2088" s="222" t="s">
        <v>88</v>
      </c>
      <c r="G2088" s="42">
        <v>3</v>
      </c>
      <c r="H2088" s="206" t="s">
        <v>1061</v>
      </c>
      <c r="I2088" s="506">
        <f>+E2088*3/H2076</f>
        <v>0.29771335588575343</v>
      </c>
      <c r="J2088" s="47">
        <v>1.03</v>
      </c>
      <c r="K2088" s="221">
        <f t="shared" si="50"/>
        <v>0.30664475656232604</v>
      </c>
      <c r="L2088" s="47" t="s">
        <v>35</v>
      </c>
      <c r="M2088" s="25"/>
      <c r="N2088" s="26"/>
      <c r="O2088" s="2"/>
      <c r="P2088" s="27"/>
      <c r="Q2088" s="26"/>
      <c r="R2088" s="28"/>
    </row>
    <row r="2089" spans="1:18" ht="30" customHeight="1" x14ac:dyDescent="0.45">
      <c r="A2089" s="47"/>
      <c r="B2089" s="1092"/>
      <c r="C2089" s="1092"/>
      <c r="D2089" s="1092"/>
      <c r="E2089" s="221"/>
      <c r="F2089" s="47"/>
      <c r="G2089" s="58"/>
      <c r="H2089" s="179"/>
      <c r="I2089" s="179"/>
      <c r="J2089" s="47" t="s">
        <v>360</v>
      </c>
      <c r="K2089" s="221">
        <f>SUM(K2078:K2088)</f>
        <v>125.87270133601677</v>
      </c>
      <c r="L2089" s="47" t="s">
        <v>35</v>
      </c>
      <c r="M2089" s="25"/>
      <c r="N2089" s="26"/>
      <c r="O2089" s="2"/>
      <c r="P2089" s="27"/>
      <c r="Q2089" s="26"/>
      <c r="R2089" s="28"/>
    </row>
    <row r="2090" spans="1:18" ht="30" customHeight="1" x14ac:dyDescent="0.45">
      <c r="A2090" s="47"/>
      <c r="B2090" s="224"/>
      <c r="C2090" s="224"/>
      <c r="D2090" s="224"/>
      <c r="E2090" s="224"/>
      <c r="F2090" s="1011" t="s">
        <v>285</v>
      </c>
      <c r="G2090" s="1306" t="s">
        <v>286</v>
      </c>
      <c r="H2090" s="1307"/>
      <c r="I2090" s="1307"/>
      <c r="J2090" s="1308"/>
      <c r="K2090" s="278">
        <v>1.1000000000000001</v>
      </c>
      <c r="L2090" s="47"/>
      <c r="M2090" s="25"/>
      <c r="N2090" s="26"/>
      <c r="O2090" s="2"/>
      <c r="P2090" s="27"/>
      <c r="Q2090" s="26"/>
      <c r="R2090" s="28"/>
    </row>
    <row r="2091" spans="1:18" ht="30" customHeight="1" x14ac:dyDescent="0.45">
      <c r="A2091" s="47"/>
      <c r="B2091" s="224"/>
      <c r="C2091" s="224"/>
      <c r="D2091" s="224"/>
      <c r="E2091" s="224"/>
      <c r="F2091" s="1012"/>
      <c r="G2091" s="1014" t="s">
        <v>580</v>
      </c>
      <c r="H2091" s="1014"/>
      <c r="I2091" s="1014"/>
      <c r="J2091" s="1014"/>
      <c r="K2091" s="278">
        <v>1.08</v>
      </c>
      <c r="L2091" s="47"/>
      <c r="M2091" s="25"/>
      <c r="N2091" s="26"/>
      <c r="O2091" s="2"/>
      <c r="P2091" s="27"/>
      <c r="Q2091" s="26"/>
      <c r="R2091" s="28"/>
    </row>
    <row r="2092" spans="1:18" ht="30" customHeight="1" x14ac:dyDescent="0.45">
      <c r="A2092" s="560"/>
      <c r="B2092" s="561"/>
      <c r="C2092" s="562"/>
      <c r="D2092" s="562"/>
      <c r="E2092" s="562"/>
      <c r="F2092" s="562"/>
      <c r="G2092" s="562"/>
      <c r="H2092" s="563"/>
      <c r="I2092" s="58"/>
      <c r="J2092" s="47" t="s">
        <v>39</v>
      </c>
      <c r="K2092" s="216">
        <f>+K2089*K2090/K2091</f>
        <v>128.20367728668376</v>
      </c>
      <c r="L2092" s="47" t="s">
        <v>35</v>
      </c>
      <c r="M2092" s="25"/>
      <c r="N2092" s="26"/>
      <c r="O2092" s="2"/>
      <c r="P2092" s="27"/>
      <c r="Q2092" s="26"/>
      <c r="R2092" s="28"/>
    </row>
    <row r="2093" spans="1:18" ht="30" customHeight="1" x14ac:dyDescent="0.45">
      <c r="A2093" s="560"/>
      <c r="B2093" s="561"/>
      <c r="C2093" s="562"/>
      <c r="D2093" s="562"/>
      <c r="E2093" s="562"/>
      <c r="F2093" s="562"/>
      <c r="G2093" s="1021" t="s">
        <v>288</v>
      </c>
      <c r="H2093" s="1022"/>
      <c r="I2093" s="1023"/>
      <c r="J2093" s="213">
        <f>VLOOKUP(B2076,'[1]Mil Cost Premiums for PUCs'!$A$4:$R$278,18,FALSE)</f>
        <v>1.3319480854780448</v>
      </c>
      <c r="K2093" s="216">
        <f>+K2092*J2093</f>
        <v>170.76064251324351</v>
      </c>
      <c r="L2093" s="47" t="s">
        <v>35</v>
      </c>
      <c r="M2093" s="25"/>
      <c r="N2093" s="26"/>
      <c r="O2093" s="2"/>
      <c r="P2093" s="27"/>
      <c r="Q2093" s="26"/>
      <c r="R2093" s="28"/>
    </row>
    <row r="2094" spans="1:18" ht="30" customHeight="1" x14ac:dyDescent="0.45">
      <c r="A2094" s="531"/>
      <c r="B2094" s="531"/>
      <c r="C2094" s="538"/>
      <c r="D2094" s="538"/>
      <c r="E2094" s="552"/>
      <c r="F2094" s="1024" t="s">
        <v>581</v>
      </c>
      <c r="G2094" s="1024"/>
      <c r="H2094" s="1024"/>
      <c r="I2094" s="1024"/>
      <c r="J2094" s="543">
        <v>1.0833999999999999</v>
      </c>
      <c r="K2094" s="363">
        <f>K2093*J2094</f>
        <v>185.00208009884801</v>
      </c>
      <c r="L2094" s="225" t="s">
        <v>35</v>
      </c>
      <c r="M2094" s="25"/>
      <c r="N2094" s="26"/>
      <c r="O2094" s="2"/>
      <c r="P2094" s="27"/>
      <c r="Q2094" s="26"/>
      <c r="R2094" s="28"/>
    </row>
    <row r="2095" spans="1:18" ht="30" customHeight="1" x14ac:dyDescent="0.45">
      <c r="A2095" s="225"/>
      <c r="B2095" s="225"/>
      <c r="C2095" s="150"/>
      <c r="D2095" s="150"/>
      <c r="E2095" s="150"/>
      <c r="F2095" s="150"/>
      <c r="G2095" s="1025" t="s">
        <v>299</v>
      </c>
      <c r="H2095" s="1026"/>
      <c r="I2095" s="1027"/>
      <c r="J2095" s="226">
        <v>1.1214</v>
      </c>
      <c r="K2095" s="227">
        <f>+K2094*J2095</f>
        <v>207.46133262284815</v>
      </c>
      <c r="L2095" s="225" t="s">
        <v>35</v>
      </c>
      <c r="M2095" s="25"/>
    </row>
    <row r="2096" spans="1:18" ht="72" customHeight="1" x14ac:dyDescent="0.45">
      <c r="A2096" s="1181" t="s">
        <v>366</v>
      </c>
      <c r="B2096" s="1182"/>
      <c r="C2096" s="1182"/>
      <c r="D2096" s="1182"/>
      <c r="E2096" s="1182"/>
      <c r="F2096" s="1182"/>
      <c r="G2096" s="1182"/>
      <c r="H2096" s="1182"/>
      <c r="I2096" s="1182"/>
      <c r="J2096" s="1182"/>
      <c r="K2096" s="1182"/>
      <c r="L2096" s="1183"/>
      <c r="M2096" s="25"/>
      <c r="O2096" s="27"/>
      <c r="P2096" s="26"/>
      <c r="Q2096" s="28"/>
    </row>
    <row r="2097" spans="1:18" ht="75" customHeight="1" x14ac:dyDescent="0.45">
      <c r="A2097" s="994" t="s">
        <v>367</v>
      </c>
      <c r="B2097" s="994"/>
      <c r="C2097" s="994"/>
      <c r="D2097" s="1181" t="s">
        <v>1300</v>
      </c>
      <c r="E2097" s="1182"/>
      <c r="F2097" s="1182"/>
      <c r="G2097" s="1182"/>
      <c r="H2097" s="1182"/>
      <c r="I2097" s="1182"/>
      <c r="J2097" s="1182"/>
      <c r="K2097" s="1182"/>
      <c r="L2097" s="1183"/>
      <c r="M2097" s="25"/>
      <c r="O2097" s="27"/>
      <c r="P2097" s="26"/>
      <c r="Q2097" s="28"/>
    </row>
    <row r="2098" spans="1:18" ht="30" customHeight="1" x14ac:dyDescent="0.45">
      <c r="A2098" s="994" t="s">
        <v>369</v>
      </c>
      <c r="B2098" s="994"/>
      <c r="C2098" s="994"/>
      <c r="D2098" s="1181" t="s">
        <v>1301</v>
      </c>
      <c r="E2098" s="1182"/>
      <c r="F2098" s="1182"/>
      <c r="G2098" s="1182"/>
      <c r="H2098" s="1182"/>
      <c r="I2098" s="1182"/>
      <c r="J2098" s="1182"/>
      <c r="K2098" s="1182"/>
      <c r="L2098" s="1183"/>
      <c r="M2098" s="25"/>
      <c r="O2098" s="27"/>
      <c r="P2098" s="26"/>
      <c r="Q2098" s="28"/>
    </row>
    <row r="2099" spans="1:18" ht="30" customHeight="1" x14ac:dyDescent="0.45">
      <c r="A2099" s="994" t="s">
        <v>371</v>
      </c>
      <c r="B2099" s="994"/>
      <c r="C2099" s="994"/>
      <c r="D2099" s="1181" t="s">
        <v>1302</v>
      </c>
      <c r="E2099" s="1182"/>
      <c r="F2099" s="1182"/>
      <c r="G2099" s="1182"/>
      <c r="H2099" s="1182"/>
      <c r="I2099" s="1182"/>
      <c r="J2099" s="1182"/>
      <c r="K2099" s="1182"/>
      <c r="L2099" s="1183"/>
      <c r="M2099" s="25"/>
      <c r="O2099" s="27"/>
      <c r="P2099" s="26"/>
      <c r="Q2099" s="28"/>
    </row>
    <row r="2100" spans="1:18" ht="30" customHeight="1" x14ac:dyDescent="0.45">
      <c r="A2100" s="994" t="s">
        <v>373</v>
      </c>
      <c r="B2100" s="994"/>
      <c r="C2100" s="994"/>
      <c r="D2100" s="1181" t="s">
        <v>1303</v>
      </c>
      <c r="E2100" s="1182"/>
      <c r="F2100" s="1182"/>
      <c r="G2100" s="1182"/>
      <c r="H2100" s="1182"/>
      <c r="I2100" s="1182"/>
      <c r="J2100" s="1182"/>
      <c r="K2100" s="1182"/>
      <c r="L2100" s="1183"/>
      <c r="M2100" s="25"/>
      <c r="O2100" s="27"/>
      <c r="P2100" s="26"/>
      <c r="Q2100" s="28"/>
    </row>
    <row r="2101" spans="1:18" ht="30" customHeight="1" x14ac:dyDescent="0.45">
      <c r="A2101" s="994" t="s">
        <v>375</v>
      </c>
      <c r="B2101" s="994"/>
      <c r="C2101" s="994"/>
      <c r="D2101" s="1181" t="s">
        <v>1304</v>
      </c>
      <c r="E2101" s="1182"/>
      <c r="F2101" s="1182"/>
      <c r="G2101" s="1182"/>
      <c r="H2101" s="1182"/>
      <c r="I2101" s="1182"/>
      <c r="J2101" s="1182"/>
      <c r="K2101" s="1182"/>
      <c r="L2101" s="1183"/>
      <c r="M2101" s="25"/>
      <c r="O2101" s="27"/>
      <c r="P2101" s="26"/>
      <c r="Q2101" s="28"/>
    </row>
    <row r="2102" spans="1:18" ht="75" customHeight="1" x14ac:dyDescent="0.45">
      <c r="A2102" s="994" t="s">
        <v>377</v>
      </c>
      <c r="B2102" s="994"/>
      <c r="C2102" s="994"/>
      <c r="D2102" s="1181" t="s">
        <v>1305</v>
      </c>
      <c r="E2102" s="1182"/>
      <c r="F2102" s="1182"/>
      <c r="G2102" s="1182"/>
      <c r="H2102" s="1182"/>
      <c r="I2102" s="1182"/>
      <c r="J2102" s="1182"/>
      <c r="K2102" s="1182"/>
      <c r="L2102" s="1183"/>
      <c r="M2102" s="25"/>
      <c r="O2102" s="27"/>
      <c r="P2102" s="26"/>
      <c r="Q2102" s="28"/>
    </row>
    <row r="2103" spans="1:18" ht="30" customHeight="1" x14ac:dyDescent="0.45">
      <c r="A2103" s="994" t="s">
        <v>379</v>
      </c>
      <c r="B2103" s="994"/>
      <c r="C2103" s="994"/>
      <c r="D2103" s="1181" t="s">
        <v>1075</v>
      </c>
      <c r="E2103" s="1182"/>
      <c r="F2103" s="1182"/>
      <c r="G2103" s="1182"/>
      <c r="H2103" s="1182"/>
      <c r="I2103" s="1182"/>
      <c r="J2103" s="1182"/>
      <c r="K2103" s="1182"/>
      <c r="L2103" s="1183"/>
      <c r="M2103" s="25"/>
      <c r="O2103" s="27"/>
      <c r="P2103" s="26"/>
      <c r="Q2103" s="28"/>
    </row>
    <row r="2104" spans="1:18" ht="30" customHeight="1" x14ac:dyDescent="0.45">
      <c r="A2104" s="994" t="s">
        <v>381</v>
      </c>
      <c r="B2104" s="994"/>
      <c r="C2104" s="994"/>
      <c r="D2104" s="1181" t="s">
        <v>382</v>
      </c>
      <c r="E2104" s="1182"/>
      <c r="F2104" s="1182"/>
      <c r="G2104" s="1182"/>
      <c r="H2104" s="1182"/>
      <c r="I2104" s="1182"/>
      <c r="J2104" s="1182"/>
      <c r="K2104" s="1182"/>
      <c r="L2104" s="1183"/>
      <c r="M2104" s="25"/>
      <c r="O2104" s="27"/>
      <c r="P2104" s="26"/>
      <c r="Q2104" s="28"/>
    </row>
    <row r="2105" spans="1:18" ht="75" customHeight="1" thickBot="1" x14ac:dyDescent="0.5">
      <c r="A2105" s="1154" t="s">
        <v>513</v>
      </c>
      <c r="B2105" s="1154"/>
      <c r="C2105" s="1154"/>
      <c r="D2105" s="1187" t="s">
        <v>1306</v>
      </c>
      <c r="E2105" s="1188"/>
      <c r="F2105" s="1188"/>
      <c r="G2105" s="1188"/>
      <c r="H2105" s="1188"/>
      <c r="I2105" s="1188"/>
      <c r="J2105" s="1188"/>
      <c r="K2105" s="1188"/>
      <c r="L2105" s="1189"/>
      <c r="M2105" s="25"/>
      <c r="O2105" s="27"/>
      <c r="P2105" s="26"/>
      <c r="Q2105" s="28"/>
    </row>
    <row r="2106" spans="1:18" ht="30" customHeight="1" thickBot="1" x14ac:dyDescent="0.5">
      <c r="A2106" s="999"/>
      <c r="B2106" s="1000"/>
      <c r="C2106" s="1000"/>
      <c r="D2106" s="1000"/>
      <c r="E2106" s="1000"/>
      <c r="F2106" s="1000"/>
      <c r="G2106" s="1000"/>
      <c r="H2106" s="1000"/>
      <c r="I2106" s="1000"/>
      <c r="J2106" s="1000"/>
      <c r="K2106" s="1000"/>
      <c r="L2106" s="1001"/>
      <c r="M2106" s="25"/>
      <c r="O2106" s="27"/>
      <c r="P2106" s="26"/>
      <c r="Q2106" s="28"/>
    </row>
    <row r="2107" spans="1:18" ht="30" customHeight="1" x14ac:dyDescent="0.45">
      <c r="A2107" s="9" t="s">
        <v>4</v>
      </c>
      <c r="B2107" s="10">
        <v>3141</v>
      </c>
      <c r="C2107" s="1125" t="s">
        <v>1307</v>
      </c>
      <c r="D2107" s="1125"/>
      <c r="E2107" s="13" t="s">
        <v>7</v>
      </c>
      <c r="F2107" s="14" t="s">
        <v>35</v>
      </c>
      <c r="G2107" s="11" t="s">
        <v>6</v>
      </c>
      <c r="H2107" s="512">
        <v>11285</v>
      </c>
      <c r="I2107" s="13" t="s">
        <v>9</v>
      </c>
      <c r="J2107" s="985" t="s">
        <v>575</v>
      </c>
      <c r="K2107" s="985"/>
      <c r="L2107" s="986"/>
      <c r="M2107" s="25"/>
      <c r="O2107" s="27"/>
      <c r="P2107" s="26"/>
      <c r="Q2107" s="28"/>
    </row>
    <row r="2108" spans="1:18" ht="30" customHeight="1" x14ac:dyDescent="0.45">
      <c r="A2108" s="85" t="s">
        <v>277</v>
      </c>
      <c r="B2108" s="987" t="s">
        <v>293</v>
      </c>
      <c r="C2108" s="988"/>
      <c r="D2108" s="989"/>
      <c r="E2108" s="220" t="s">
        <v>13</v>
      </c>
      <c r="F2108" s="220" t="s">
        <v>14</v>
      </c>
      <c r="G2108" s="992" t="s">
        <v>15</v>
      </c>
      <c r="H2108" s="993"/>
      <c r="I2108" s="504" t="s">
        <v>1044</v>
      </c>
      <c r="J2108" s="19" t="s">
        <v>278</v>
      </c>
      <c r="K2108" s="992" t="s">
        <v>17</v>
      </c>
      <c r="L2108" s="993"/>
      <c r="M2108" s="25"/>
      <c r="N2108" s="26"/>
      <c r="O2108" s="2"/>
      <c r="P2108" s="27"/>
      <c r="Q2108" s="26"/>
      <c r="R2108" s="28"/>
    </row>
    <row r="2109" spans="1:18" ht="30" customHeight="1" x14ac:dyDescent="0.45">
      <c r="A2109" s="47" t="s">
        <v>1289</v>
      </c>
      <c r="B2109" s="1018" t="s">
        <v>1308</v>
      </c>
      <c r="C2109" s="1019"/>
      <c r="D2109" s="1020"/>
      <c r="E2109" s="221">
        <f>97.5-2.64</f>
        <v>94.86</v>
      </c>
      <c r="F2109" s="47" t="s">
        <v>35</v>
      </c>
      <c r="G2109" s="348"/>
      <c r="H2109" s="349"/>
      <c r="I2109" s="505">
        <f>+E2109</f>
        <v>94.86</v>
      </c>
      <c r="J2109" s="47">
        <v>1.01</v>
      </c>
      <c r="K2109" s="221">
        <f>+I2109*J2109</f>
        <v>95.808599999999998</v>
      </c>
      <c r="L2109" s="47" t="s">
        <v>35</v>
      </c>
      <c r="M2109" s="25"/>
      <c r="O2109" s="27"/>
      <c r="P2109" s="26"/>
      <c r="Q2109" s="28"/>
    </row>
    <row r="2110" spans="1:18" ht="45" customHeight="1" x14ac:dyDescent="0.45">
      <c r="A2110" s="47" t="s">
        <v>358</v>
      </c>
      <c r="B2110" s="1018" t="s">
        <v>1309</v>
      </c>
      <c r="C2110" s="1019"/>
      <c r="D2110" s="1020"/>
      <c r="E2110" s="1">
        <v>4.08</v>
      </c>
      <c r="F2110" s="47" t="s">
        <v>35</v>
      </c>
      <c r="G2110" s="42"/>
      <c r="H2110" s="206"/>
      <c r="I2110" s="506">
        <f>+E2110</f>
        <v>4.08</v>
      </c>
      <c r="J2110" s="47">
        <v>1.01</v>
      </c>
      <c r="K2110" s="221">
        <f t="shared" ref="K2110:K2119" si="51">+I2110*J2110</f>
        <v>4.1208</v>
      </c>
      <c r="L2110" s="47" t="s">
        <v>35</v>
      </c>
      <c r="M2110" s="25"/>
      <c r="O2110" s="27"/>
      <c r="P2110" s="26"/>
      <c r="Q2110" s="28"/>
    </row>
    <row r="2111" spans="1:18" ht="30" customHeight="1" x14ac:dyDescent="0.45">
      <c r="A2111" s="47" t="s">
        <v>470</v>
      </c>
      <c r="B2111" s="1018" t="s">
        <v>1310</v>
      </c>
      <c r="C2111" s="1019"/>
      <c r="D2111" s="1020"/>
      <c r="E2111" s="221">
        <v>177000</v>
      </c>
      <c r="F2111" s="222" t="s">
        <v>88</v>
      </c>
      <c r="G2111" s="530">
        <f>+E2111/H2107</f>
        <v>15.684536996012406</v>
      </c>
      <c r="H2111" s="206" t="s">
        <v>1061</v>
      </c>
      <c r="I2111" s="506">
        <f>+E2111/H2107</f>
        <v>15.684536996012406</v>
      </c>
      <c r="J2111" s="47">
        <v>1.02</v>
      </c>
      <c r="K2111" s="221">
        <f t="shared" si="51"/>
        <v>15.998227735932655</v>
      </c>
      <c r="L2111" s="47" t="s">
        <v>35</v>
      </c>
      <c r="N2111" s="26"/>
      <c r="O2111" s="2"/>
      <c r="P2111" s="27"/>
      <c r="Q2111" s="26"/>
      <c r="R2111" s="28"/>
    </row>
    <row r="2112" spans="1:18" ht="30" customHeight="1" x14ac:dyDescent="0.45">
      <c r="A2112" s="47" t="s">
        <v>470</v>
      </c>
      <c r="B2112" s="1018" t="s">
        <v>1311</v>
      </c>
      <c r="C2112" s="1019"/>
      <c r="D2112" s="1020"/>
      <c r="E2112" s="221">
        <f>+(244+267)/2</f>
        <v>255.5</v>
      </c>
      <c r="F2112" s="222" t="s">
        <v>113</v>
      </c>
      <c r="G2112" s="530">
        <f>344/H2107</f>
        <v>3.0482941958351793E-2</v>
      </c>
      <c r="H2112" s="206" t="s">
        <v>1061</v>
      </c>
      <c r="I2112" s="506">
        <f>+E2112*G2112</f>
        <v>7.7883916703588829</v>
      </c>
      <c r="J2112" s="47">
        <v>1.02</v>
      </c>
      <c r="K2112" s="221">
        <f t="shared" si="51"/>
        <v>7.9441595037660608</v>
      </c>
      <c r="L2112" s="47" t="s">
        <v>35</v>
      </c>
      <c r="M2112" s="25"/>
      <c r="N2112" s="26"/>
      <c r="O2112" s="2"/>
      <c r="P2112" s="27"/>
      <c r="Q2112" s="26"/>
      <c r="R2112" s="28"/>
    </row>
    <row r="2113" spans="1:18" ht="30" customHeight="1" x14ac:dyDescent="0.45">
      <c r="A2113" s="47" t="s">
        <v>470</v>
      </c>
      <c r="B2113" s="1018" t="s">
        <v>1249</v>
      </c>
      <c r="C2113" s="1019"/>
      <c r="D2113" s="1020"/>
      <c r="E2113" s="221">
        <f>+(23.75+47.75)/2</f>
        <v>35.75</v>
      </c>
      <c r="F2113" s="222" t="s">
        <v>113</v>
      </c>
      <c r="G2113" s="530">
        <f>344/H2107</f>
        <v>3.0482941958351793E-2</v>
      </c>
      <c r="H2113" s="206" t="s">
        <v>1061</v>
      </c>
      <c r="I2113" s="506">
        <f>+E2113*G2113</f>
        <v>1.0897651750110766</v>
      </c>
      <c r="J2113" s="47">
        <v>1.02</v>
      </c>
      <c r="K2113" s="221">
        <f t="shared" si="51"/>
        <v>1.1115604785112982</v>
      </c>
      <c r="L2113" s="47" t="s">
        <v>35</v>
      </c>
      <c r="M2113" s="25"/>
      <c r="N2113" s="26"/>
      <c r="O2113" s="2"/>
      <c r="P2113" s="27"/>
      <c r="Q2113" s="26"/>
      <c r="R2113" s="28"/>
    </row>
    <row r="2114" spans="1:18" ht="30" customHeight="1" x14ac:dyDescent="0.45">
      <c r="A2114" s="47" t="s">
        <v>1050</v>
      </c>
      <c r="B2114" s="1018" t="s">
        <v>1312</v>
      </c>
      <c r="C2114" s="1019"/>
      <c r="D2114" s="1020"/>
      <c r="E2114" s="221">
        <f>(20.3+31.5)/2</f>
        <v>25.9</v>
      </c>
      <c r="F2114" s="222" t="s">
        <v>1294</v>
      </c>
      <c r="G2114" s="314">
        <f>3*81*E2114/H2107</f>
        <v>0.55770491803278688</v>
      </c>
      <c r="H2114" s="206" t="s">
        <v>1061</v>
      </c>
      <c r="I2114" s="506">
        <f>+G2114</f>
        <v>0.55770491803278688</v>
      </c>
      <c r="J2114" s="47">
        <v>1.03</v>
      </c>
      <c r="K2114" s="221">
        <f t="shared" si="51"/>
        <v>0.57443606557377047</v>
      </c>
      <c r="L2114" s="47" t="s">
        <v>35</v>
      </c>
      <c r="M2114" s="25"/>
      <c r="N2114" s="26"/>
      <c r="O2114" s="2"/>
      <c r="P2114" s="27"/>
      <c r="Q2114" s="26"/>
      <c r="R2114" s="28"/>
    </row>
    <row r="2115" spans="1:18" ht="30" customHeight="1" x14ac:dyDescent="0.45">
      <c r="A2115" s="47" t="s">
        <v>1050</v>
      </c>
      <c r="B2115" s="1018" t="s">
        <v>1313</v>
      </c>
      <c r="C2115" s="1019"/>
      <c r="D2115" s="1020"/>
      <c r="E2115" s="221">
        <f>(1710+2420)/2</f>
        <v>2065</v>
      </c>
      <c r="F2115" s="222" t="s">
        <v>88</v>
      </c>
      <c r="G2115" s="314">
        <f>3*E2115/H2107</f>
        <v>0.5489587948604342</v>
      </c>
      <c r="H2115" s="206" t="s">
        <v>1061</v>
      </c>
      <c r="I2115" s="506">
        <f>+G2115</f>
        <v>0.5489587948604342</v>
      </c>
      <c r="J2115" s="47">
        <v>1.03</v>
      </c>
      <c r="K2115" s="221">
        <f t="shared" si="51"/>
        <v>0.56542755870624728</v>
      </c>
      <c r="L2115" s="47" t="s">
        <v>35</v>
      </c>
      <c r="M2115" s="25"/>
      <c r="N2115" s="26"/>
      <c r="O2115" s="2"/>
      <c r="P2115" s="27"/>
      <c r="Q2115" s="26"/>
      <c r="R2115" s="28"/>
    </row>
    <row r="2116" spans="1:18" ht="30" customHeight="1" x14ac:dyDescent="0.45">
      <c r="A2116" s="47" t="s">
        <v>1055</v>
      </c>
      <c r="B2116" s="1018" t="s">
        <v>1314</v>
      </c>
      <c r="C2116" s="1019"/>
      <c r="D2116" s="1020"/>
      <c r="E2116" s="221">
        <f>+(34.5+782)</f>
        <v>816.5</v>
      </c>
      <c r="F2116" s="222" t="s">
        <v>113</v>
      </c>
      <c r="G2116" s="42">
        <v>30</v>
      </c>
      <c r="H2116" s="206" t="s">
        <v>1204</v>
      </c>
      <c r="I2116" s="506">
        <f>+E2116*G2116/H2107</f>
        <v>2.1705804164820557</v>
      </c>
      <c r="J2116" s="47">
        <v>1.03</v>
      </c>
      <c r="K2116" s="221">
        <f t="shared" si="51"/>
        <v>2.2356978289765173</v>
      </c>
      <c r="L2116" s="47" t="s">
        <v>35</v>
      </c>
      <c r="M2116" s="25"/>
      <c r="N2116" s="26"/>
      <c r="O2116" s="2"/>
      <c r="P2116" s="27"/>
      <c r="Q2116" s="26"/>
      <c r="R2116" s="28"/>
    </row>
    <row r="2117" spans="1:18" ht="30" customHeight="1" x14ac:dyDescent="0.45">
      <c r="A2117" s="47" t="s">
        <v>1055</v>
      </c>
      <c r="B2117" s="1018" t="s">
        <v>1297</v>
      </c>
      <c r="C2117" s="1019"/>
      <c r="D2117" s="1020"/>
      <c r="E2117" s="221">
        <f>+(6450+12300)/2</f>
        <v>9375</v>
      </c>
      <c r="F2117" s="222" t="s">
        <v>88</v>
      </c>
      <c r="G2117" s="42">
        <v>3</v>
      </c>
      <c r="H2117" s="206" t="s">
        <v>1061</v>
      </c>
      <c r="I2117" s="506">
        <f>+E2117*3/H2107</f>
        <v>2.4922463447053609</v>
      </c>
      <c r="J2117" s="47">
        <v>1.03</v>
      </c>
      <c r="K2117" s="221">
        <f t="shared" si="51"/>
        <v>2.5670137350465216</v>
      </c>
      <c r="L2117" s="47" t="s">
        <v>35</v>
      </c>
      <c r="M2117" s="25"/>
      <c r="N2117" s="26"/>
      <c r="O2117" s="2"/>
      <c r="P2117" s="27"/>
      <c r="Q2117" s="26"/>
      <c r="R2117" s="28"/>
    </row>
    <row r="2118" spans="1:18" ht="30" customHeight="1" x14ac:dyDescent="0.45">
      <c r="A2118" s="47" t="s">
        <v>1055</v>
      </c>
      <c r="B2118" s="1018" t="s">
        <v>1298</v>
      </c>
      <c r="C2118" s="1019"/>
      <c r="D2118" s="1020"/>
      <c r="E2118" s="1">
        <f>+(660+1010)/2</f>
        <v>835</v>
      </c>
      <c r="F2118" s="222" t="s">
        <v>88</v>
      </c>
      <c r="G2118" s="42">
        <v>3</v>
      </c>
      <c r="H2118" s="206" t="s">
        <v>1061</v>
      </c>
      <c r="I2118" s="506">
        <f>+E2118*3/H2107</f>
        <v>0.22197607443509082</v>
      </c>
      <c r="J2118" s="47">
        <v>1.03</v>
      </c>
      <c r="K2118" s="221">
        <f t="shared" si="51"/>
        <v>0.22863535666814355</v>
      </c>
      <c r="L2118" s="47" t="s">
        <v>35</v>
      </c>
      <c r="M2118" s="25"/>
      <c r="N2118" s="26"/>
      <c r="O2118" s="2"/>
      <c r="P2118" s="27"/>
      <c r="Q2118" s="26"/>
      <c r="R2118" s="28"/>
    </row>
    <row r="2119" spans="1:18" ht="30" customHeight="1" x14ac:dyDescent="0.45">
      <c r="A2119" s="47" t="s">
        <v>1055</v>
      </c>
      <c r="B2119" s="1018" t="s">
        <v>1299</v>
      </c>
      <c r="C2119" s="1019"/>
      <c r="D2119" s="1020"/>
      <c r="E2119" s="221">
        <f>+(1160+3475)/2</f>
        <v>2317.5</v>
      </c>
      <c r="F2119" s="222" t="s">
        <v>88</v>
      </c>
      <c r="G2119" s="42">
        <v>3</v>
      </c>
      <c r="H2119" s="206" t="s">
        <v>1061</v>
      </c>
      <c r="I2119" s="506">
        <f>+E2119*3/H2107</f>
        <v>0.61608329641116522</v>
      </c>
      <c r="J2119" s="47">
        <v>1.03</v>
      </c>
      <c r="K2119" s="221">
        <f t="shared" si="51"/>
        <v>0.63456579530350021</v>
      </c>
      <c r="L2119" s="47" t="s">
        <v>35</v>
      </c>
      <c r="M2119" s="25"/>
      <c r="N2119" s="26"/>
      <c r="O2119" s="2"/>
      <c r="P2119" s="27"/>
      <c r="Q2119" s="26"/>
      <c r="R2119" s="28"/>
    </row>
    <row r="2120" spans="1:18" ht="30" customHeight="1" x14ac:dyDescent="0.45">
      <c r="A2120" s="47"/>
      <c r="B2120" s="1092"/>
      <c r="C2120" s="1092"/>
      <c r="D2120" s="1092"/>
      <c r="E2120" s="221"/>
      <c r="F2120" s="47"/>
      <c r="G2120" s="58"/>
      <c r="H2120" s="179"/>
      <c r="I2120" s="179"/>
      <c r="J2120" s="47" t="s">
        <v>360</v>
      </c>
      <c r="K2120" s="221">
        <f>SUM(K2109:K2119)</f>
        <v>131.7891240584847</v>
      </c>
      <c r="L2120" s="47" t="s">
        <v>35</v>
      </c>
      <c r="M2120" s="25"/>
      <c r="N2120" s="26"/>
      <c r="O2120" s="2"/>
      <c r="P2120" s="27"/>
      <c r="Q2120" s="26"/>
      <c r="R2120" s="28"/>
    </row>
    <row r="2121" spans="1:18" ht="30" customHeight="1" x14ac:dyDescent="0.45">
      <c r="A2121" s="47"/>
      <c r="B2121" s="1279"/>
      <c r="C2121" s="1280"/>
      <c r="D2121" s="1281"/>
      <c r="E2121" s="224"/>
      <c r="F2121" s="1011" t="s">
        <v>285</v>
      </c>
      <c r="G2121" s="1306" t="s">
        <v>286</v>
      </c>
      <c r="H2121" s="1307"/>
      <c r="I2121" s="1307"/>
      <c r="J2121" s="1308"/>
      <c r="K2121" s="202">
        <v>1.1000000000000001</v>
      </c>
      <c r="L2121" s="47"/>
      <c r="M2121" s="25"/>
      <c r="N2121" s="26"/>
      <c r="O2121" s="2"/>
      <c r="P2121" s="27"/>
      <c r="Q2121" s="26"/>
      <c r="R2121" s="28"/>
    </row>
    <row r="2122" spans="1:18" ht="30" customHeight="1" x14ac:dyDescent="0.45">
      <c r="A2122" s="47"/>
      <c r="B2122" s="224"/>
      <c r="C2122" s="224"/>
      <c r="D2122" s="224"/>
      <c r="E2122" s="224"/>
      <c r="F2122" s="1012"/>
      <c r="G2122" s="1014" t="s">
        <v>580</v>
      </c>
      <c r="H2122" s="1014"/>
      <c r="I2122" s="1014"/>
      <c r="J2122" s="1014"/>
      <c r="K2122" s="202">
        <v>1.08</v>
      </c>
      <c r="L2122" s="47"/>
      <c r="M2122" s="25"/>
      <c r="N2122" s="26"/>
      <c r="O2122" s="2"/>
      <c r="P2122" s="27"/>
      <c r="Q2122" s="26"/>
      <c r="R2122" s="28"/>
    </row>
    <row r="2123" spans="1:18" ht="30" customHeight="1" x14ac:dyDescent="0.45">
      <c r="A2123" s="560"/>
      <c r="B2123" s="561"/>
      <c r="C2123" s="562"/>
      <c r="D2123" s="562"/>
      <c r="E2123" s="562"/>
      <c r="F2123" s="562"/>
      <c r="G2123" s="562"/>
      <c r="H2123" s="563"/>
      <c r="I2123" s="58"/>
      <c r="J2123" s="47" t="s">
        <v>39</v>
      </c>
      <c r="K2123" s="313">
        <f>+K2120*K2121/K2122</f>
        <v>134.22966339290107</v>
      </c>
      <c r="L2123" s="47" t="s">
        <v>35</v>
      </c>
      <c r="M2123" s="25"/>
      <c r="O2123" s="27"/>
      <c r="P2123" s="26"/>
      <c r="Q2123" s="28"/>
    </row>
    <row r="2124" spans="1:18" ht="30" customHeight="1" x14ac:dyDescent="0.45">
      <c r="A2124" s="560"/>
      <c r="B2124" s="561"/>
      <c r="C2124" s="562"/>
      <c r="D2124" s="562"/>
      <c r="E2124" s="562"/>
      <c r="F2124" s="562"/>
      <c r="G2124" s="1021" t="s">
        <v>288</v>
      </c>
      <c r="H2124" s="1022"/>
      <c r="I2124" s="1023"/>
      <c r="J2124" s="213">
        <f>VLOOKUP(B2107,'[1]Mil Cost Premiums for PUCs'!$A$4:$R$278,18,FALSE)</f>
        <v>1.3319480854780448</v>
      </c>
      <c r="K2124" s="216">
        <f>+K2123*J2124</f>
        <v>178.78694317053697</v>
      </c>
      <c r="L2124" s="47" t="s">
        <v>35</v>
      </c>
      <c r="M2124" s="25"/>
      <c r="O2124" s="27"/>
      <c r="P2124" s="26"/>
      <c r="Q2124" s="28"/>
    </row>
    <row r="2125" spans="1:18" ht="30" customHeight="1" x14ac:dyDescent="0.45">
      <c r="A2125" s="541"/>
      <c r="B2125" s="541"/>
      <c r="C2125" s="542"/>
      <c r="D2125" s="542"/>
      <c r="E2125" s="552"/>
      <c r="F2125" s="1024" t="s">
        <v>581</v>
      </c>
      <c r="G2125" s="1024"/>
      <c r="H2125" s="1024"/>
      <c r="I2125" s="1024"/>
      <c r="J2125" s="543">
        <v>1.0833999999999999</v>
      </c>
      <c r="K2125" s="564">
        <f>K2124*J2125</f>
        <v>193.69777423095974</v>
      </c>
      <c r="L2125" s="225" t="s">
        <v>35</v>
      </c>
      <c r="M2125" s="25"/>
      <c r="O2125" s="27"/>
      <c r="P2125" s="26"/>
      <c r="Q2125" s="28"/>
    </row>
    <row r="2126" spans="1:18" ht="30" customHeight="1" thickBot="1" x14ac:dyDescent="0.5">
      <c r="A2126" s="225"/>
      <c r="B2126" s="225"/>
      <c r="C2126" s="150"/>
      <c r="D2126" s="150"/>
      <c r="E2126" s="150"/>
      <c r="F2126" s="150"/>
      <c r="G2126" s="1025" t="s">
        <v>299</v>
      </c>
      <c r="H2126" s="1026"/>
      <c r="I2126" s="1027"/>
      <c r="J2126" s="226">
        <v>1.1214</v>
      </c>
      <c r="K2126" s="227">
        <f>+K2125*J2126</f>
        <v>217.21268402259824</v>
      </c>
      <c r="L2126" s="225" t="s">
        <v>35</v>
      </c>
      <c r="M2126" s="25"/>
    </row>
    <row r="2127" spans="1:18" ht="30" customHeight="1" thickBot="1" x14ac:dyDescent="0.5">
      <c r="A2127" s="999"/>
      <c r="B2127" s="1000"/>
      <c r="C2127" s="1000"/>
      <c r="D2127" s="1000"/>
      <c r="E2127" s="1000"/>
      <c r="F2127" s="1000"/>
      <c r="G2127" s="1000"/>
      <c r="H2127" s="1000"/>
      <c r="I2127" s="1000"/>
      <c r="J2127" s="1000"/>
      <c r="K2127" s="1000"/>
      <c r="L2127" s="1001"/>
      <c r="M2127" s="25"/>
      <c r="O2127" s="27"/>
      <c r="P2127" s="26"/>
      <c r="Q2127" s="28"/>
    </row>
    <row r="2128" spans="1:18" ht="30" customHeight="1" x14ac:dyDescent="0.45">
      <c r="A2128" s="9" t="s">
        <v>4</v>
      </c>
      <c r="B2128" s="10">
        <v>3151</v>
      </c>
      <c r="C2128" s="983" t="s">
        <v>1315</v>
      </c>
      <c r="D2128" s="984"/>
      <c r="E2128" s="13" t="s">
        <v>7</v>
      </c>
      <c r="F2128" s="14" t="s">
        <v>35</v>
      </c>
      <c r="G2128" s="11" t="s">
        <v>6</v>
      </c>
      <c r="H2128" s="565">
        <v>9811.0075043029192</v>
      </c>
      <c r="I2128" s="13" t="s">
        <v>9</v>
      </c>
      <c r="J2128" s="985" t="s">
        <v>276</v>
      </c>
      <c r="K2128" s="985"/>
      <c r="L2128" s="986"/>
      <c r="M2128" s="25"/>
      <c r="O2128" s="27"/>
      <c r="P2128" s="26"/>
      <c r="Q2128" s="28"/>
    </row>
    <row r="2129" spans="1:18" ht="30" customHeight="1" x14ac:dyDescent="0.45">
      <c r="A2129" s="85" t="s">
        <v>277</v>
      </c>
      <c r="B2129" s="987" t="s">
        <v>293</v>
      </c>
      <c r="C2129" s="988"/>
      <c r="D2129" s="989"/>
      <c r="E2129" s="220" t="s">
        <v>13</v>
      </c>
      <c r="F2129" s="220" t="s">
        <v>14</v>
      </c>
      <c r="G2129" s="990" t="s">
        <v>15</v>
      </c>
      <c r="H2129" s="991"/>
      <c r="I2129" s="504" t="s">
        <v>1316</v>
      </c>
      <c r="J2129" s="19" t="s">
        <v>278</v>
      </c>
      <c r="K2129" s="992" t="s">
        <v>17</v>
      </c>
      <c r="L2129" s="993"/>
      <c r="M2129" s="25"/>
      <c r="O2129" s="27"/>
      <c r="P2129" s="26"/>
      <c r="Q2129" s="28"/>
    </row>
    <row r="2130" spans="1:18" ht="30" customHeight="1" x14ac:dyDescent="0.45">
      <c r="A2130" s="47" t="s">
        <v>363</v>
      </c>
      <c r="B2130" s="1018" t="s">
        <v>1258</v>
      </c>
      <c r="C2130" s="1019"/>
      <c r="D2130" s="1020"/>
      <c r="E2130" s="221">
        <v>297</v>
      </c>
      <c r="F2130" s="222" t="s">
        <v>35</v>
      </c>
      <c r="G2130" s="222"/>
      <c r="H2130" s="223"/>
      <c r="I2130" s="58"/>
      <c r="J2130" s="47">
        <v>1.1299999999999999</v>
      </c>
      <c r="K2130" s="221">
        <f>+E2130*J2130</f>
        <v>335.60999999999996</v>
      </c>
      <c r="L2130" s="47" t="s">
        <v>35</v>
      </c>
      <c r="M2130" s="25"/>
      <c r="O2130" s="27"/>
      <c r="P2130" s="26"/>
      <c r="Q2130" s="28"/>
    </row>
    <row r="2131" spans="1:18" ht="38.25" customHeight="1" x14ac:dyDescent="0.45">
      <c r="A2131" s="47" t="s">
        <v>363</v>
      </c>
      <c r="B2131" s="1008" t="s">
        <v>1259</v>
      </c>
      <c r="C2131" s="1009"/>
      <c r="D2131" s="1010"/>
      <c r="E2131" s="221">
        <v>46.25</v>
      </c>
      <c r="F2131" s="222" t="s">
        <v>35</v>
      </c>
      <c r="G2131" s="222"/>
      <c r="H2131" s="223"/>
      <c r="I2131" s="58"/>
      <c r="J2131" s="47">
        <v>1.1299999999999999</v>
      </c>
      <c r="K2131" s="221">
        <f>+E2131*J2131</f>
        <v>52.262499999999996</v>
      </c>
      <c r="L2131" s="47" t="s">
        <v>35</v>
      </c>
      <c r="M2131" s="25"/>
      <c r="O2131" s="27"/>
      <c r="P2131" s="26"/>
      <c r="Q2131" s="28"/>
    </row>
    <row r="2132" spans="1:18" ht="30" customHeight="1" x14ac:dyDescent="0.45">
      <c r="A2132" s="47" t="s">
        <v>358</v>
      </c>
      <c r="B2132" s="1008" t="s">
        <v>1250</v>
      </c>
      <c r="C2132" s="1009"/>
      <c r="D2132" s="1010"/>
      <c r="E2132" s="221">
        <v>5.38</v>
      </c>
      <c r="F2132" s="222" t="s">
        <v>35</v>
      </c>
      <c r="G2132" s="222"/>
      <c r="H2132" s="223"/>
      <c r="I2132" s="58"/>
      <c r="J2132" s="47">
        <v>1.1299999999999999</v>
      </c>
      <c r="K2132" s="221">
        <f>+E2132*J2132</f>
        <v>6.0793999999999997</v>
      </c>
      <c r="L2132" s="47" t="s">
        <v>35</v>
      </c>
      <c r="M2132" s="25"/>
      <c r="O2132" s="27"/>
      <c r="P2132" s="26"/>
      <c r="Q2132" s="28"/>
    </row>
    <row r="2133" spans="1:18" ht="30" customHeight="1" x14ac:dyDescent="0.45">
      <c r="A2133" s="47" t="s">
        <v>358</v>
      </c>
      <c r="B2133" s="1018" t="s">
        <v>1047</v>
      </c>
      <c r="C2133" s="1019"/>
      <c r="D2133" s="1020"/>
      <c r="E2133" s="216">
        <f>0.15*E2132</f>
        <v>0.80699999999999994</v>
      </c>
      <c r="F2133" s="222" t="s">
        <v>35</v>
      </c>
      <c r="G2133" s="42"/>
      <c r="H2133" s="206"/>
      <c r="I2133" s="506"/>
      <c r="J2133" s="47">
        <v>1.1299999999999999</v>
      </c>
      <c r="K2133" s="221">
        <f>+E2133*J2133</f>
        <v>0.91190999999999989</v>
      </c>
      <c r="L2133" s="47" t="s">
        <v>35</v>
      </c>
      <c r="M2133" s="25"/>
      <c r="O2133" s="27"/>
      <c r="P2133" s="26"/>
      <c r="Q2133" s="28"/>
    </row>
    <row r="2134" spans="1:18" ht="30" customHeight="1" x14ac:dyDescent="0.45">
      <c r="A2134" s="47" t="s">
        <v>358</v>
      </c>
      <c r="B2134" s="1092" t="s">
        <v>1048</v>
      </c>
      <c r="C2134" s="1092"/>
      <c r="D2134" s="1092"/>
      <c r="E2134" s="216">
        <f xml:space="preserve"> 0.72+((1.42+2.11)/2)</f>
        <v>2.4849999999999999</v>
      </c>
      <c r="F2134" s="47" t="s">
        <v>35</v>
      </c>
      <c r="G2134" s="42"/>
      <c r="H2134" s="206"/>
      <c r="I2134" s="506"/>
      <c r="J2134" s="47">
        <v>1.1299999999999999</v>
      </c>
      <c r="K2134" s="221">
        <f>+E2134*J2134</f>
        <v>2.8080499999999997</v>
      </c>
      <c r="L2134" s="47" t="s">
        <v>35</v>
      </c>
      <c r="M2134" s="25"/>
      <c r="O2134" s="27"/>
      <c r="P2134" s="26"/>
      <c r="Q2134" s="28"/>
    </row>
    <row r="2135" spans="1:18" ht="30" customHeight="1" x14ac:dyDescent="0.45">
      <c r="A2135" s="47" t="s">
        <v>470</v>
      </c>
      <c r="B2135" s="1018" t="s">
        <v>1317</v>
      </c>
      <c r="C2135" s="1019"/>
      <c r="D2135" s="1020"/>
      <c r="E2135" s="221">
        <v>162000</v>
      </c>
      <c r="F2135" s="47" t="s">
        <v>88</v>
      </c>
      <c r="G2135" s="500">
        <f>+H2128</f>
        <v>9811.0075043029192</v>
      </c>
      <c r="H2135" s="179" t="s">
        <v>1157</v>
      </c>
      <c r="I2135" s="179"/>
      <c r="J2135" s="47">
        <v>1.26</v>
      </c>
      <c r="K2135" s="221">
        <f>+E2135/G2135*J2135</f>
        <v>20.805202718525788</v>
      </c>
      <c r="L2135" s="47" t="s">
        <v>35</v>
      </c>
      <c r="M2135" s="25"/>
      <c r="O2135" s="27"/>
      <c r="P2135" s="26"/>
      <c r="Q2135" s="28"/>
    </row>
    <row r="2136" spans="1:18" ht="30" customHeight="1" x14ac:dyDescent="0.45">
      <c r="A2136" s="47" t="s">
        <v>470</v>
      </c>
      <c r="B2136" s="1018" t="s">
        <v>1318</v>
      </c>
      <c r="C2136" s="1019"/>
      <c r="D2136" s="1020"/>
      <c r="E2136" s="221">
        <f>+(281+307)/2</f>
        <v>294</v>
      </c>
      <c r="F2136" s="222" t="s">
        <v>113</v>
      </c>
      <c r="G2136" s="213">
        <f>150/H2128</f>
        <v>1.5288949675577446E-2</v>
      </c>
      <c r="H2136" s="179" t="s">
        <v>1319</v>
      </c>
      <c r="I2136" s="179"/>
      <c r="J2136" s="47">
        <v>1.26</v>
      </c>
      <c r="K2136" s="221">
        <f>+E2136*G2136*J2136</f>
        <v>5.6636385178209094</v>
      </c>
      <c r="L2136" s="47" t="s">
        <v>35</v>
      </c>
      <c r="M2136" s="25"/>
      <c r="O2136" s="27"/>
      <c r="P2136" s="26"/>
      <c r="Q2136" s="28"/>
    </row>
    <row r="2137" spans="1:18" ht="30" customHeight="1" x14ac:dyDescent="0.45">
      <c r="A2137" s="47" t="s">
        <v>470</v>
      </c>
      <c r="B2137" s="1018" t="s">
        <v>472</v>
      </c>
      <c r="C2137" s="1019"/>
      <c r="D2137" s="1020"/>
      <c r="E2137" s="221">
        <f>+(27.25+55)/2</f>
        <v>41.125</v>
      </c>
      <c r="F2137" s="222" t="s">
        <v>113</v>
      </c>
      <c r="G2137" s="213">
        <f>150/H2128</f>
        <v>1.5288949675577446E-2</v>
      </c>
      <c r="H2137" s="179" t="s">
        <v>1319</v>
      </c>
      <c r="I2137" s="179"/>
      <c r="J2137" s="47">
        <v>1.26</v>
      </c>
      <c r="K2137" s="221">
        <f>+E2137*G2137*J2137</f>
        <v>0.79223514981423426</v>
      </c>
      <c r="L2137" s="47" t="s">
        <v>35</v>
      </c>
      <c r="M2137" s="25"/>
      <c r="O2137" s="27"/>
      <c r="P2137" s="26"/>
      <c r="Q2137" s="28"/>
    </row>
    <row r="2138" spans="1:18" ht="30" customHeight="1" x14ac:dyDescent="0.45">
      <c r="A2138" s="47" t="s">
        <v>1050</v>
      </c>
      <c r="B2138" s="1018" t="s">
        <v>1210</v>
      </c>
      <c r="C2138" s="1019"/>
      <c r="D2138" s="1020"/>
      <c r="E2138" s="221">
        <f>(24+37.25)/2</f>
        <v>30.625</v>
      </c>
      <c r="F2138" s="222" t="s">
        <v>35</v>
      </c>
      <c r="G2138" s="42">
        <f>120*4</f>
        <v>480</v>
      </c>
      <c r="H2138" s="206" t="s">
        <v>479</v>
      </c>
      <c r="I2138" s="506">
        <f>+E2138*G2138/H2128</f>
        <v>1.4983170682065896</v>
      </c>
      <c r="J2138" s="47">
        <v>1.22</v>
      </c>
      <c r="K2138" s="378">
        <f>+I2138*J2138</f>
        <v>1.8279468232120393</v>
      </c>
      <c r="L2138" s="47" t="s">
        <v>35</v>
      </c>
      <c r="O2138" s="27"/>
      <c r="P2138" s="26"/>
      <c r="Q2138" s="28"/>
    </row>
    <row r="2139" spans="1:18" ht="30" customHeight="1" x14ac:dyDescent="0.45">
      <c r="A2139" s="47" t="s">
        <v>1050</v>
      </c>
      <c r="B2139" s="1018" t="s">
        <v>1211</v>
      </c>
      <c r="C2139" s="1019"/>
      <c r="D2139" s="1020"/>
      <c r="E2139" s="221">
        <f>(2020+2850)/2</f>
        <v>2435</v>
      </c>
      <c r="F2139" s="222" t="s">
        <v>88</v>
      </c>
      <c r="G2139" s="42"/>
      <c r="H2139" s="206"/>
      <c r="I2139" s="506">
        <f>4*E2139/H2128</f>
        <v>0.99276246560082881</v>
      </c>
      <c r="J2139" s="47">
        <v>1.22</v>
      </c>
      <c r="K2139" s="378">
        <f>+I2139*J2139</f>
        <v>1.2111702080330111</v>
      </c>
      <c r="L2139" s="47" t="s">
        <v>35</v>
      </c>
      <c r="M2139" s="25"/>
      <c r="N2139" s="26"/>
      <c r="O2139" s="2"/>
      <c r="P2139" s="27"/>
      <c r="Q2139" s="26"/>
      <c r="R2139" s="28"/>
    </row>
    <row r="2140" spans="1:18" ht="30" customHeight="1" x14ac:dyDescent="0.45">
      <c r="A2140" s="47" t="s">
        <v>1055</v>
      </c>
      <c r="B2140" s="1018" t="s">
        <v>1203</v>
      </c>
      <c r="C2140" s="1019"/>
      <c r="D2140" s="1020"/>
      <c r="E2140" s="221">
        <v>72.38</v>
      </c>
      <c r="F2140" s="222" t="s">
        <v>113</v>
      </c>
      <c r="G2140" s="42">
        <f>4*10</f>
        <v>40</v>
      </c>
      <c r="H2140" s="206" t="s">
        <v>1204</v>
      </c>
      <c r="I2140" s="506">
        <f>+E2140*G2140/H2128</f>
        <v>0.29509711400487876</v>
      </c>
      <c r="J2140" s="47">
        <v>1.1200000000000001</v>
      </c>
      <c r="K2140" s="378">
        <f>+I2140*J2140</f>
        <v>0.33050876768546422</v>
      </c>
      <c r="L2140" s="47" t="s">
        <v>35</v>
      </c>
      <c r="M2140" s="25"/>
      <c r="O2140" s="27"/>
      <c r="P2140" s="26"/>
      <c r="Q2140" s="28"/>
    </row>
    <row r="2141" spans="1:18" ht="30" customHeight="1" x14ac:dyDescent="0.45">
      <c r="A2141" s="47"/>
      <c r="B2141" s="79"/>
      <c r="C2141" s="79"/>
      <c r="D2141" s="79"/>
      <c r="E2141" s="221"/>
      <c r="F2141" s="47"/>
      <c r="G2141" s="58"/>
      <c r="H2141" s="179"/>
      <c r="I2141" s="179"/>
      <c r="J2141" s="47" t="s">
        <v>38</v>
      </c>
      <c r="K2141" s="221">
        <f>SUM(K2130:K2140)</f>
        <v>428.30256218509135</v>
      </c>
      <c r="L2141" s="47" t="s">
        <v>35</v>
      </c>
      <c r="M2141" s="25"/>
      <c r="O2141" s="27"/>
      <c r="P2141" s="26"/>
      <c r="Q2141" s="28"/>
    </row>
    <row r="2142" spans="1:18" ht="30" customHeight="1" x14ac:dyDescent="0.45">
      <c r="A2142" s="47"/>
      <c r="B2142" s="224"/>
      <c r="C2142" s="224"/>
      <c r="D2142" s="224"/>
      <c r="E2142" s="224"/>
      <c r="F2142" s="1011" t="s">
        <v>285</v>
      </c>
      <c r="G2142" s="1013" t="s">
        <v>286</v>
      </c>
      <c r="H2142" s="1013"/>
      <c r="I2142" s="1013"/>
      <c r="J2142" s="1013"/>
      <c r="K2142" s="202">
        <v>1.04</v>
      </c>
      <c r="L2142" s="47"/>
      <c r="M2142" s="25"/>
      <c r="O2142" s="27"/>
      <c r="P2142" s="26"/>
      <c r="Q2142" s="28"/>
    </row>
    <row r="2143" spans="1:18" ht="30" customHeight="1" x14ac:dyDescent="0.45">
      <c r="A2143" s="47"/>
      <c r="B2143" s="224"/>
      <c r="C2143" s="224"/>
      <c r="D2143" s="224"/>
      <c r="E2143" s="224"/>
      <c r="F2143" s="1012"/>
      <c r="G2143" s="1014" t="s">
        <v>287</v>
      </c>
      <c r="H2143" s="1014"/>
      <c r="I2143" s="1014"/>
      <c r="J2143" s="1014"/>
      <c r="K2143" s="202">
        <v>1.05</v>
      </c>
      <c r="L2143" s="47"/>
      <c r="M2143" s="25"/>
      <c r="O2143" s="27"/>
      <c r="P2143" s="26"/>
      <c r="Q2143" s="28"/>
    </row>
    <row r="2144" spans="1:18" ht="30" customHeight="1" x14ac:dyDescent="0.45">
      <c r="A2144" s="47"/>
      <c r="B2144" s="47"/>
      <c r="C2144" s="58"/>
      <c r="D2144" s="58"/>
      <c r="E2144" s="58"/>
      <c r="F2144" s="58"/>
      <c r="G2144" s="58"/>
      <c r="H2144" s="58"/>
      <c r="I2144" s="58"/>
      <c r="J2144" s="47" t="s">
        <v>39</v>
      </c>
      <c r="K2144" s="216">
        <f>+K2141*K2142/K2143</f>
        <v>424.22349016428092</v>
      </c>
      <c r="L2144" s="47" t="s">
        <v>35</v>
      </c>
      <c r="M2144" s="25"/>
      <c r="N2144" s="26"/>
      <c r="O2144" s="2"/>
      <c r="P2144" s="27"/>
      <c r="Q2144" s="26"/>
      <c r="R2144" s="28"/>
    </row>
    <row r="2145" spans="1:18" ht="30" customHeight="1" thickBot="1" x14ac:dyDescent="0.5">
      <c r="A2145" s="47"/>
      <c r="B2145" s="47"/>
      <c r="C2145" s="58"/>
      <c r="D2145" s="58"/>
      <c r="E2145" s="58"/>
      <c r="F2145" s="58"/>
      <c r="H2145" s="58"/>
      <c r="I2145" s="183" t="s">
        <v>288</v>
      </c>
      <c r="J2145" s="213">
        <f>VLOOKUP(B2128,'[1]Mil Cost Premiums for PUCs'!$A$4:$R$278,18,FALSE)</f>
        <v>1.3319480854780448</v>
      </c>
      <c r="K2145" s="216">
        <f>+K2144*J2145</f>
        <v>565.04366553912814</v>
      </c>
      <c r="L2145" s="47" t="s">
        <v>35</v>
      </c>
      <c r="M2145" s="25"/>
      <c r="N2145" s="26"/>
      <c r="O2145" s="2"/>
      <c r="P2145" s="27"/>
      <c r="Q2145" s="26"/>
      <c r="R2145" s="28"/>
    </row>
    <row r="2146" spans="1:18" ht="30" customHeight="1" thickBot="1" x14ac:dyDescent="0.5">
      <c r="A2146" s="999"/>
      <c r="B2146" s="1000"/>
      <c r="C2146" s="1000"/>
      <c r="D2146" s="1000"/>
      <c r="E2146" s="1000"/>
      <c r="F2146" s="1000"/>
      <c r="G2146" s="1000"/>
      <c r="H2146" s="1000"/>
      <c r="I2146" s="1000"/>
      <c r="J2146" s="1000"/>
      <c r="K2146" s="1000"/>
      <c r="L2146" s="1001"/>
      <c r="M2146" s="25"/>
      <c r="N2146" s="26"/>
      <c r="O2146" s="2"/>
      <c r="P2146" s="27"/>
      <c r="Q2146" s="26"/>
      <c r="R2146" s="28"/>
    </row>
    <row r="2147" spans="1:18" ht="30" customHeight="1" x14ac:dyDescent="0.45">
      <c r="A2147" s="174" t="s">
        <v>4</v>
      </c>
      <c r="B2147" s="175">
        <v>3161</v>
      </c>
      <c r="C2147" s="1002" t="s">
        <v>1320</v>
      </c>
      <c r="D2147" s="1003"/>
      <c r="E2147" s="11" t="s">
        <v>7</v>
      </c>
      <c r="F2147" s="16" t="s">
        <v>35</v>
      </c>
      <c r="G2147" s="11" t="s">
        <v>6</v>
      </c>
      <c r="H2147" s="566">
        <v>3642</v>
      </c>
      <c r="I2147" s="11" t="s">
        <v>9</v>
      </c>
      <c r="J2147" s="985" t="s">
        <v>276</v>
      </c>
      <c r="K2147" s="985"/>
      <c r="L2147" s="986"/>
      <c r="O2147" s="27"/>
      <c r="P2147" s="26"/>
      <c r="Q2147" s="28"/>
    </row>
    <row r="2148" spans="1:18" ht="30" customHeight="1" x14ac:dyDescent="0.45">
      <c r="A2148" s="85" t="s">
        <v>277</v>
      </c>
      <c r="B2148" s="987" t="s">
        <v>293</v>
      </c>
      <c r="C2148" s="988"/>
      <c r="D2148" s="989"/>
      <c r="E2148" s="220" t="s">
        <v>13</v>
      </c>
      <c r="F2148" s="220" t="s">
        <v>14</v>
      </c>
      <c r="G2148" s="990" t="s">
        <v>15</v>
      </c>
      <c r="H2148" s="991"/>
      <c r="I2148" s="504" t="s">
        <v>1316</v>
      </c>
      <c r="J2148" s="19" t="s">
        <v>278</v>
      </c>
      <c r="K2148" s="992" t="s">
        <v>17</v>
      </c>
      <c r="L2148" s="993"/>
      <c r="M2148" s="25"/>
      <c r="N2148" s="26"/>
      <c r="O2148" s="2"/>
      <c r="P2148" s="27"/>
      <c r="Q2148" s="26"/>
      <c r="R2148" s="28"/>
    </row>
    <row r="2149" spans="1:18" ht="30" customHeight="1" x14ac:dyDescent="0.45">
      <c r="A2149" s="47" t="s">
        <v>363</v>
      </c>
      <c r="B2149" s="1018" t="s">
        <v>1321</v>
      </c>
      <c r="C2149" s="1019"/>
      <c r="D2149" s="1020"/>
      <c r="E2149" s="221">
        <f>297-3.32</f>
        <v>293.68</v>
      </c>
      <c r="F2149" s="222" t="s">
        <v>35</v>
      </c>
      <c r="G2149" s="222"/>
      <c r="H2149" s="223"/>
      <c r="I2149" s="58"/>
      <c r="J2149" s="47">
        <v>1.1299999999999999</v>
      </c>
      <c r="K2149" s="221">
        <f>+E2149*J2149</f>
        <v>331.85839999999996</v>
      </c>
      <c r="L2149" s="47" t="s">
        <v>35</v>
      </c>
      <c r="M2149" s="25"/>
      <c r="O2149" s="27"/>
      <c r="P2149" s="26"/>
      <c r="Q2149" s="28"/>
    </row>
    <row r="2150" spans="1:18" ht="50.25" customHeight="1" x14ac:dyDescent="0.45">
      <c r="A2150" s="47" t="s">
        <v>363</v>
      </c>
      <c r="B2150" s="1008" t="s">
        <v>1259</v>
      </c>
      <c r="C2150" s="1009"/>
      <c r="D2150" s="1010"/>
      <c r="E2150" s="221">
        <v>46.25</v>
      </c>
      <c r="F2150" s="222" t="s">
        <v>35</v>
      </c>
      <c r="G2150" s="222"/>
      <c r="H2150" s="223"/>
      <c r="I2150" s="58"/>
      <c r="J2150" s="47">
        <v>1.1299999999999999</v>
      </c>
      <c r="K2150" s="221">
        <f>+E2150*J2150</f>
        <v>52.262499999999996</v>
      </c>
      <c r="L2150" s="47" t="s">
        <v>35</v>
      </c>
      <c r="M2150" s="25"/>
      <c r="O2150" s="27"/>
      <c r="P2150" s="26"/>
      <c r="Q2150" s="28"/>
    </row>
    <row r="2151" spans="1:18" ht="30" customHeight="1" x14ac:dyDescent="0.45">
      <c r="A2151" s="47" t="s">
        <v>358</v>
      </c>
      <c r="B2151" s="1008" t="s">
        <v>1322</v>
      </c>
      <c r="C2151" s="1009"/>
      <c r="D2151" s="1010"/>
      <c r="E2151" s="221">
        <v>6.79</v>
      </c>
      <c r="F2151" s="222" t="s">
        <v>35</v>
      </c>
      <c r="G2151" s="222"/>
      <c r="H2151" s="223"/>
      <c r="I2151" s="58"/>
      <c r="J2151" s="47">
        <v>1.1299999999999999</v>
      </c>
      <c r="K2151" s="221">
        <f>+E2151*J2151</f>
        <v>7.672699999999999</v>
      </c>
      <c r="L2151" s="47" t="s">
        <v>35</v>
      </c>
      <c r="M2151" s="25"/>
      <c r="O2151" s="27"/>
      <c r="P2151" s="26"/>
      <c r="Q2151" s="28"/>
    </row>
    <row r="2152" spans="1:18" ht="30" customHeight="1" x14ac:dyDescent="0.45">
      <c r="A2152" s="47" t="s">
        <v>358</v>
      </c>
      <c r="B2152" s="1018" t="s">
        <v>1047</v>
      </c>
      <c r="C2152" s="1019"/>
      <c r="D2152" s="1020"/>
      <c r="E2152" s="216">
        <f>0.15*E2151</f>
        <v>1.0185</v>
      </c>
      <c r="F2152" s="222" t="s">
        <v>35</v>
      </c>
      <c r="G2152" s="42"/>
      <c r="H2152" s="206"/>
      <c r="I2152" s="506"/>
      <c r="J2152" s="47">
        <v>1.1299999999999999</v>
      </c>
      <c r="K2152" s="221">
        <f>+E2152*J2152</f>
        <v>1.1509049999999998</v>
      </c>
      <c r="L2152" s="47" t="s">
        <v>35</v>
      </c>
      <c r="M2152" s="37"/>
      <c r="O2152" s="27"/>
      <c r="P2152" s="26"/>
      <c r="Q2152" s="28"/>
    </row>
    <row r="2153" spans="1:18" ht="30" customHeight="1" x14ac:dyDescent="0.45">
      <c r="A2153" s="47" t="s">
        <v>358</v>
      </c>
      <c r="B2153" s="1092" t="s">
        <v>1048</v>
      </c>
      <c r="C2153" s="1092"/>
      <c r="D2153" s="1092"/>
      <c r="E2153" s="216">
        <f xml:space="preserve"> 0.72+((1.42+2.11)/2)</f>
        <v>2.4849999999999999</v>
      </c>
      <c r="F2153" s="47" t="s">
        <v>35</v>
      </c>
      <c r="G2153" s="42"/>
      <c r="H2153" s="206"/>
      <c r="I2153" s="506"/>
      <c r="J2153" s="47">
        <v>1.1299999999999999</v>
      </c>
      <c r="K2153" s="221">
        <f>+E2153*J2153</f>
        <v>2.8080499999999997</v>
      </c>
      <c r="L2153" s="47" t="s">
        <v>35</v>
      </c>
      <c r="M2153" s="25"/>
      <c r="O2153" s="27"/>
      <c r="P2153" s="26"/>
      <c r="Q2153" s="28"/>
    </row>
    <row r="2154" spans="1:18" ht="30" customHeight="1" x14ac:dyDescent="0.45">
      <c r="A2154" s="47" t="s">
        <v>1323</v>
      </c>
      <c r="B2154" s="1092" t="s">
        <v>1324</v>
      </c>
      <c r="C2154" s="1092"/>
      <c r="D2154" s="1092"/>
      <c r="E2154" s="221">
        <f>+(5000+11300)/2</f>
        <v>8150</v>
      </c>
      <c r="F2154" s="222" t="s">
        <v>88</v>
      </c>
      <c r="G2154" s="42"/>
      <c r="H2154" s="206"/>
      <c r="I2154" s="221">
        <f>+E2154*4/H2147</f>
        <v>8.9511257550796266</v>
      </c>
      <c r="J2154" s="47">
        <v>1.1200000000000001</v>
      </c>
      <c r="K2154" s="221">
        <f>+I2154*J2154</f>
        <v>10.025260845689182</v>
      </c>
      <c r="L2154" s="47" t="s">
        <v>35</v>
      </c>
      <c r="M2154" s="25"/>
      <c r="O2154" s="27"/>
      <c r="P2154" s="26"/>
      <c r="Q2154" s="28"/>
    </row>
    <row r="2155" spans="1:18" ht="30" customHeight="1" x14ac:dyDescent="0.45">
      <c r="A2155" s="47" t="s">
        <v>1050</v>
      </c>
      <c r="B2155" s="1018" t="s">
        <v>1325</v>
      </c>
      <c r="C2155" s="1019"/>
      <c r="D2155" s="1020"/>
      <c r="E2155" s="221">
        <f>(24+37.25)/2</f>
        <v>30.625</v>
      </c>
      <c r="F2155" s="222" t="s">
        <v>35</v>
      </c>
      <c r="G2155" s="42">
        <f>120*2</f>
        <v>240</v>
      </c>
      <c r="H2155" s="206" t="s">
        <v>479</v>
      </c>
      <c r="I2155" s="506">
        <f>+E2155*G2155/H2147</f>
        <v>2.0181219110378912</v>
      </c>
      <c r="J2155" s="47">
        <v>1.22</v>
      </c>
      <c r="K2155" s="378">
        <f>+I2155*J2155</f>
        <v>2.4621087314662273</v>
      </c>
      <c r="L2155" s="47" t="s">
        <v>35</v>
      </c>
      <c r="M2155" s="25"/>
      <c r="O2155" s="27"/>
      <c r="P2155" s="26"/>
      <c r="Q2155" s="28"/>
    </row>
    <row r="2156" spans="1:18" ht="30" customHeight="1" x14ac:dyDescent="0.45">
      <c r="A2156" s="47" t="s">
        <v>1050</v>
      </c>
      <c r="B2156" s="1018" t="s">
        <v>1326</v>
      </c>
      <c r="C2156" s="1019"/>
      <c r="D2156" s="1020"/>
      <c r="E2156" s="221">
        <f>(2020+2850)/2</f>
        <v>2435</v>
      </c>
      <c r="F2156" s="222" t="s">
        <v>88</v>
      </c>
      <c r="G2156" s="42"/>
      <c r="H2156" s="206"/>
      <c r="I2156" s="506">
        <f>2*E2156/H2147</f>
        <v>1.3371773750686435</v>
      </c>
      <c r="J2156" s="47">
        <v>1.22</v>
      </c>
      <c r="K2156" s="378">
        <f>+I2156*J2156</f>
        <v>1.6313563975837451</v>
      </c>
      <c r="L2156" s="47" t="s">
        <v>35</v>
      </c>
      <c r="M2156" s="25"/>
      <c r="O2156" s="27"/>
      <c r="P2156" s="26"/>
      <c r="Q2156" s="28"/>
    </row>
    <row r="2157" spans="1:18" ht="30" customHeight="1" x14ac:dyDescent="0.45">
      <c r="A2157" s="47" t="s">
        <v>1055</v>
      </c>
      <c r="B2157" s="1018" t="s">
        <v>1203</v>
      </c>
      <c r="C2157" s="1019"/>
      <c r="D2157" s="1020"/>
      <c r="E2157" s="221">
        <v>72.38</v>
      </c>
      <c r="F2157" s="222" t="s">
        <v>113</v>
      </c>
      <c r="G2157" s="42">
        <v>20</v>
      </c>
      <c r="H2157" s="206" t="s">
        <v>1204</v>
      </c>
      <c r="I2157" s="506">
        <f>+E2157*G2157/H2147</f>
        <v>0.39747391543108179</v>
      </c>
      <c r="J2157" s="47">
        <v>1.1200000000000001</v>
      </c>
      <c r="K2157" s="378">
        <f>+I2157*J2157</f>
        <v>0.44517078528281168</v>
      </c>
      <c r="L2157" s="47" t="s">
        <v>35</v>
      </c>
      <c r="M2157" s="25"/>
      <c r="O2157" s="27"/>
      <c r="P2157" s="26"/>
      <c r="Q2157" s="28"/>
    </row>
    <row r="2158" spans="1:18" ht="30" customHeight="1" x14ac:dyDescent="0.45">
      <c r="A2158" s="47"/>
      <c r="B2158" s="1092"/>
      <c r="C2158" s="1092"/>
      <c r="D2158" s="1092"/>
      <c r="E2158" s="221"/>
      <c r="F2158" s="47"/>
      <c r="G2158" s="58"/>
      <c r="H2158" s="38"/>
      <c r="I2158" s="47"/>
      <c r="J2158" s="47" t="s">
        <v>38</v>
      </c>
      <c r="K2158" s="221">
        <f>SUM(K2149:K2157)</f>
        <v>410.31645176002195</v>
      </c>
      <c r="L2158" s="47" t="s">
        <v>35</v>
      </c>
      <c r="M2158" s="25"/>
      <c r="O2158" s="27"/>
      <c r="P2158" s="26"/>
      <c r="Q2158" s="28"/>
    </row>
    <row r="2159" spans="1:18" ht="30" customHeight="1" x14ac:dyDescent="0.45">
      <c r="A2159" s="47"/>
      <c r="B2159" s="224"/>
      <c r="C2159" s="224"/>
      <c r="D2159" s="224"/>
      <c r="E2159" s="221"/>
      <c r="F2159" s="1011" t="s">
        <v>285</v>
      </c>
      <c r="G2159" s="1013" t="s">
        <v>286</v>
      </c>
      <c r="H2159" s="1013"/>
      <c r="I2159" s="1013"/>
      <c r="J2159" s="1013"/>
      <c r="K2159" s="365">
        <v>1.04</v>
      </c>
      <c r="L2159" s="47"/>
      <c r="M2159" s="25"/>
      <c r="O2159" s="27"/>
      <c r="P2159" s="26"/>
      <c r="Q2159" s="28"/>
    </row>
    <row r="2160" spans="1:18" ht="30" customHeight="1" x14ac:dyDescent="0.45">
      <c r="A2160" s="47"/>
      <c r="B2160" s="224"/>
      <c r="C2160" s="224"/>
      <c r="D2160" s="224"/>
      <c r="E2160" s="221"/>
      <c r="F2160" s="1012"/>
      <c r="G2160" s="1014" t="s">
        <v>287</v>
      </c>
      <c r="H2160" s="1014"/>
      <c r="I2160" s="1014"/>
      <c r="J2160" s="1014"/>
      <c r="K2160" s="278">
        <v>1.05</v>
      </c>
      <c r="L2160" s="47"/>
      <c r="M2160" s="25"/>
      <c r="O2160" s="27"/>
      <c r="P2160" s="26"/>
      <c r="Q2160" s="28"/>
    </row>
    <row r="2161" spans="1:18" ht="30" customHeight="1" x14ac:dyDescent="0.45">
      <c r="A2161" s="47"/>
      <c r="B2161" s="47"/>
      <c r="C2161" s="58"/>
      <c r="D2161" s="58"/>
      <c r="E2161" s="58"/>
      <c r="F2161" s="58"/>
      <c r="G2161" s="58"/>
      <c r="H2161" s="29"/>
      <c r="I2161" s="58"/>
      <c r="J2161" s="47" t="s">
        <v>39</v>
      </c>
      <c r="K2161" s="216">
        <f>+K2158*K2159/K2160</f>
        <v>406.40867602897413</v>
      </c>
      <c r="L2161" s="47" t="s">
        <v>35</v>
      </c>
      <c r="M2161" s="25"/>
      <c r="O2161" s="27"/>
      <c r="P2161" s="26"/>
      <c r="Q2161" s="28"/>
    </row>
    <row r="2162" spans="1:18" ht="30" customHeight="1" thickBot="1" x14ac:dyDescent="0.5">
      <c r="A2162" s="301"/>
      <c r="B2162" s="301"/>
      <c r="C2162" s="302"/>
      <c r="D2162" s="302"/>
      <c r="E2162" s="302"/>
      <c r="F2162" s="302"/>
      <c r="H2162" s="567"/>
      <c r="I2162" s="568" t="s">
        <v>288</v>
      </c>
      <c r="J2162" s="213">
        <f>VLOOKUP(B2147,'[1]Mil Cost Premiums for PUCs'!$A$4:$R$278,18,FALSE)</f>
        <v>1.3319480854780448</v>
      </c>
      <c r="K2162" s="216">
        <f>+K2161*J2162</f>
        <v>541.31525795845903</v>
      </c>
      <c r="L2162" s="47" t="s">
        <v>35</v>
      </c>
      <c r="M2162" s="25"/>
      <c r="O2162" s="27"/>
      <c r="P2162" s="26"/>
      <c r="Q2162" s="28"/>
    </row>
    <row r="2163" spans="1:18" ht="30" customHeight="1" thickBot="1" x14ac:dyDescent="0.5">
      <c r="A2163" s="999"/>
      <c r="B2163" s="1000"/>
      <c r="C2163" s="1000"/>
      <c r="D2163" s="1000"/>
      <c r="E2163" s="1000"/>
      <c r="F2163" s="1000"/>
      <c r="G2163" s="1000"/>
      <c r="H2163" s="1000"/>
      <c r="I2163" s="1000"/>
      <c r="J2163" s="1000"/>
      <c r="K2163" s="1000"/>
      <c r="L2163" s="1001"/>
      <c r="M2163" s="25"/>
      <c r="N2163" s="26"/>
      <c r="O2163" s="2"/>
      <c r="P2163" s="27"/>
      <c r="Q2163" s="26"/>
      <c r="R2163" s="28"/>
    </row>
    <row r="2164" spans="1:18" ht="30" customHeight="1" x14ac:dyDescent="0.45">
      <c r="A2164" s="9" t="s">
        <v>4</v>
      </c>
      <c r="B2164" s="10">
        <v>3171</v>
      </c>
      <c r="C2164" s="1125" t="s">
        <v>1327</v>
      </c>
      <c r="D2164" s="1125"/>
      <c r="E2164" s="13" t="s">
        <v>7</v>
      </c>
      <c r="F2164" s="14" t="s">
        <v>35</v>
      </c>
      <c r="G2164" s="11" t="s">
        <v>6</v>
      </c>
      <c r="H2164" s="569">
        <v>10554.285004035501</v>
      </c>
      <c r="I2164" s="13" t="s">
        <v>9</v>
      </c>
      <c r="J2164" s="985" t="s">
        <v>276</v>
      </c>
      <c r="K2164" s="985"/>
      <c r="L2164" s="986"/>
      <c r="M2164" s="25"/>
      <c r="N2164" s="26"/>
      <c r="O2164" s="2"/>
      <c r="P2164" s="27"/>
      <c r="Q2164" s="26"/>
      <c r="R2164" s="28"/>
    </row>
    <row r="2165" spans="1:18" ht="30" customHeight="1" x14ac:dyDescent="0.45">
      <c r="A2165" s="85" t="s">
        <v>277</v>
      </c>
      <c r="B2165" s="987" t="s">
        <v>293</v>
      </c>
      <c r="C2165" s="988"/>
      <c r="D2165" s="989"/>
      <c r="E2165" s="220" t="s">
        <v>13</v>
      </c>
      <c r="F2165" s="220" t="s">
        <v>14</v>
      </c>
      <c r="G2165" s="992" t="s">
        <v>15</v>
      </c>
      <c r="H2165" s="993"/>
      <c r="I2165" s="504" t="s">
        <v>1044</v>
      </c>
      <c r="J2165" s="19" t="s">
        <v>278</v>
      </c>
      <c r="K2165" s="992" t="s">
        <v>17</v>
      </c>
      <c r="L2165" s="993"/>
      <c r="N2165" s="26"/>
      <c r="O2165" s="2"/>
      <c r="P2165" s="27"/>
      <c r="Q2165" s="26"/>
      <c r="R2165" s="28"/>
    </row>
    <row r="2166" spans="1:18" ht="30" customHeight="1" x14ac:dyDescent="0.45">
      <c r="A2166" s="47" t="s">
        <v>1289</v>
      </c>
      <c r="B2166" s="1018" t="s">
        <v>1328</v>
      </c>
      <c r="C2166" s="1019"/>
      <c r="D2166" s="1020"/>
      <c r="E2166" s="221">
        <f>117-3.32</f>
        <v>113.68</v>
      </c>
      <c r="F2166" s="47" t="s">
        <v>35</v>
      </c>
      <c r="G2166" s="348"/>
      <c r="H2166" s="349"/>
      <c r="I2166" s="505">
        <f>+E2166</f>
        <v>113.68</v>
      </c>
      <c r="J2166" s="47">
        <v>1.1399999999999999</v>
      </c>
      <c r="K2166" s="378">
        <f t="shared" ref="K2166:K2171" si="52">+I2166*J2166</f>
        <v>129.59520000000001</v>
      </c>
      <c r="L2166" s="47" t="s">
        <v>35</v>
      </c>
      <c r="M2166" s="25"/>
      <c r="N2166" s="26"/>
      <c r="O2166" s="2"/>
      <c r="P2166" s="27"/>
      <c r="Q2166" s="26"/>
      <c r="R2166" s="28"/>
    </row>
    <row r="2167" spans="1:18" ht="50.25" customHeight="1" x14ac:dyDescent="0.45">
      <c r="A2167" s="47" t="s">
        <v>358</v>
      </c>
      <c r="B2167" s="1018" t="s">
        <v>365</v>
      </c>
      <c r="C2167" s="1019"/>
      <c r="D2167" s="1020"/>
      <c r="E2167" s="1">
        <v>5.38</v>
      </c>
      <c r="F2167" s="47" t="s">
        <v>35</v>
      </c>
      <c r="G2167" s="42"/>
      <c r="H2167" s="206"/>
      <c r="I2167" s="506">
        <f>+E2167</f>
        <v>5.38</v>
      </c>
      <c r="J2167" s="47">
        <v>1.1399999999999999</v>
      </c>
      <c r="K2167" s="378">
        <f t="shared" si="52"/>
        <v>6.1331999999999995</v>
      </c>
      <c r="L2167" s="47" t="s">
        <v>35</v>
      </c>
      <c r="M2167" s="25"/>
      <c r="N2167" s="26"/>
      <c r="O2167" s="2"/>
      <c r="P2167" s="27"/>
      <c r="Q2167" s="26"/>
      <c r="R2167" s="28"/>
    </row>
    <row r="2168" spans="1:18" ht="30" customHeight="1" x14ac:dyDescent="0.45">
      <c r="A2168" s="47" t="s">
        <v>1050</v>
      </c>
      <c r="B2168" s="1018" t="s">
        <v>1325</v>
      </c>
      <c r="C2168" s="1019"/>
      <c r="D2168" s="1020"/>
      <c r="E2168" s="221">
        <f>(24+37.25)/2</f>
        <v>30.625</v>
      </c>
      <c r="F2168" s="222" t="s">
        <v>35</v>
      </c>
      <c r="G2168" s="42">
        <f>120*2</f>
        <v>240</v>
      </c>
      <c r="H2168" s="206" t="s">
        <v>479</v>
      </c>
      <c r="I2168" s="506">
        <f>+E2168*G2168/H2164</f>
        <v>0.69639961372936954</v>
      </c>
      <c r="J2168" s="47">
        <v>1.22</v>
      </c>
      <c r="K2168" s="378">
        <f>+I2168*J2168</f>
        <v>0.84960752874983081</v>
      </c>
      <c r="L2168" s="47" t="s">
        <v>35</v>
      </c>
      <c r="M2168" s="25"/>
      <c r="O2168" s="27"/>
      <c r="P2168" s="26"/>
      <c r="Q2168" s="28"/>
    </row>
    <row r="2169" spans="1:18" ht="30" customHeight="1" x14ac:dyDescent="0.45">
      <c r="A2169" s="47" t="s">
        <v>1050</v>
      </c>
      <c r="B2169" s="1018" t="s">
        <v>1326</v>
      </c>
      <c r="C2169" s="1019"/>
      <c r="D2169" s="1020"/>
      <c r="E2169" s="221">
        <f>(2020+2850)/2</f>
        <v>2435</v>
      </c>
      <c r="F2169" s="222" t="s">
        <v>88</v>
      </c>
      <c r="G2169" s="42"/>
      <c r="H2169" s="206"/>
      <c r="I2169" s="506">
        <f>2*E2169/H2164</f>
        <v>0.461423961749936</v>
      </c>
      <c r="J2169" s="47">
        <v>1.22</v>
      </c>
      <c r="K2169" s="378">
        <f>+I2169*J2169</f>
        <v>0.56293723333492185</v>
      </c>
      <c r="L2169" s="47" t="s">
        <v>35</v>
      </c>
      <c r="M2169" s="25"/>
      <c r="O2169" s="27"/>
      <c r="P2169" s="26"/>
      <c r="Q2169" s="28"/>
    </row>
    <row r="2170" spans="1:18" ht="30" customHeight="1" x14ac:dyDescent="0.45">
      <c r="A2170" s="47" t="s">
        <v>1055</v>
      </c>
      <c r="B2170" s="1018" t="s">
        <v>1203</v>
      </c>
      <c r="C2170" s="1019"/>
      <c r="D2170" s="1020"/>
      <c r="E2170" s="221">
        <v>72.38</v>
      </c>
      <c r="F2170" s="222" t="s">
        <v>113</v>
      </c>
      <c r="G2170" s="42">
        <v>20</v>
      </c>
      <c r="H2170" s="206" t="s">
        <v>1204</v>
      </c>
      <c r="I2170" s="506">
        <f>+E2170*G2170/H2164</f>
        <v>0.13715756201831772</v>
      </c>
      <c r="J2170" s="47">
        <v>1.1200000000000001</v>
      </c>
      <c r="K2170" s="378">
        <f>+I2170*J2170</f>
        <v>0.15361646946051585</v>
      </c>
      <c r="L2170" s="47" t="s">
        <v>35</v>
      </c>
      <c r="M2170" s="25"/>
      <c r="O2170" s="27"/>
      <c r="P2170" s="26"/>
      <c r="Q2170" s="28"/>
    </row>
    <row r="2171" spans="1:18" ht="30" customHeight="1" x14ac:dyDescent="0.45">
      <c r="A2171" s="47" t="s">
        <v>1055</v>
      </c>
      <c r="B2171" s="1018" t="s">
        <v>1066</v>
      </c>
      <c r="C2171" s="1019"/>
      <c r="D2171" s="1020"/>
      <c r="E2171" s="221">
        <f>+(8000+15300)/2</f>
        <v>11650</v>
      </c>
      <c r="F2171" s="222" t="s">
        <v>88</v>
      </c>
      <c r="G2171" s="42">
        <v>2</v>
      </c>
      <c r="H2171" s="206" t="s">
        <v>1061</v>
      </c>
      <c r="I2171" s="506">
        <f>+E2171*2/H2164</f>
        <v>2.2076341496454845</v>
      </c>
      <c r="J2171" s="47">
        <v>1.1200000000000001</v>
      </c>
      <c r="K2171" s="378">
        <f t="shared" si="52"/>
        <v>2.4725502476029431</v>
      </c>
      <c r="L2171" s="47" t="s">
        <v>35</v>
      </c>
      <c r="M2171" s="25"/>
      <c r="O2171" s="27"/>
      <c r="P2171" s="26"/>
      <c r="Q2171" s="28"/>
    </row>
    <row r="2172" spans="1:18" ht="30" customHeight="1" x14ac:dyDescent="0.45">
      <c r="A2172" s="47"/>
      <c r="B2172" s="1092"/>
      <c r="C2172" s="1092"/>
      <c r="D2172" s="1092"/>
      <c r="E2172" s="221"/>
      <c r="F2172" s="47"/>
      <c r="G2172" s="58"/>
      <c r="H2172" s="179"/>
      <c r="I2172" s="179"/>
      <c r="J2172" s="47" t="s">
        <v>360</v>
      </c>
      <c r="K2172" s="221">
        <f>SUM(K2166:K2171)</f>
        <v>139.76711147914821</v>
      </c>
      <c r="L2172" s="47" t="s">
        <v>35</v>
      </c>
      <c r="M2172" s="25"/>
      <c r="O2172" s="27"/>
      <c r="P2172" s="26"/>
      <c r="Q2172" s="28"/>
    </row>
    <row r="2173" spans="1:18" ht="30" customHeight="1" x14ac:dyDescent="0.45">
      <c r="A2173" s="47"/>
      <c r="B2173" s="224"/>
      <c r="C2173" s="224"/>
      <c r="D2173" s="224"/>
      <c r="E2173" s="224"/>
      <c r="F2173" s="1011" t="s">
        <v>285</v>
      </c>
      <c r="G2173" s="1013" t="s">
        <v>286</v>
      </c>
      <c r="H2173" s="1013"/>
      <c r="I2173" s="1013"/>
      <c r="J2173" s="1013"/>
      <c r="K2173" s="202">
        <v>1.08</v>
      </c>
      <c r="L2173" s="47"/>
      <c r="M2173" s="25"/>
      <c r="O2173" s="27"/>
      <c r="P2173" s="26"/>
      <c r="Q2173" s="28"/>
    </row>
    <row r="2174" spans="1:18" ht="30" customHeight="1" x14ac:dyDescent="0.45">
      <c r="A2174" s="47"/>
      <c r="B2174" s="224"/>
      <c r="C2174" s="224"/>
      <c r="D2174" s="224"/>
      <c r="E2174" s="224"/>
      <c r="F2174" s="1012"/>
      <c r="G2174" s="1014" t="s">
        <v>287</v>
      </c>
      <c r="H2174" s="1014"/>
      <c r="I2174" s="1014"/>
      <c r="J2174" s="1014"/>
      <c r="K2174" s="202">
        <v>1.05</v>
      </c>
      <c r="L2174" s="47"/>
      <c r="M2174" s="25"/>
      <c r="O2174" s="27"/>
      <c r="P2174" s="26"/>
      <c r="Q2174" s="28"/>
    </row>
    <row r="2175" spans="1:18" ht="30" customHeight="1" x14ac:dyDescent="0.45">
      <c r="A2175" s="560"/>
      <c r="B2175" s="561"/>
      <c r="C2175" s="562"/>
      <c r="D2175" s="562"/>
      <c r="E2175" s="562"/>
      <c r="F2175" s="562"/>
      <c r="G2175" s="570"/>
      <c r="H2175" s="58"/>
      <c r="I2175" s="58"/>
      <c r="J2175" s="58" t="s">
        <v>39</v>
      </c>
      <c r="K2175" s="216">
        <f>+K2172*K2173/K2174</f>
        <v>143.76045752140959</v>
      </c>
      <c r="L2175" s="47" t="s">
        <v>35</v>
      </c>
      <c r="M2175" s="25"/>
      <c r="O2175" s="27"/>
      <c r="P2175" s="26"/>
      <c r="Q2175" s="28"/>
    </row>
    <row r="2176" spans="1:18" ht="30" customHeight="1" thickBot="1" x14ac:dyDescent="0.5">
      <c r="A2176" s="560"/>
      <c r="B2176" s="561"/>
      <c r="C2176" s="562"/>
      <c r="D2176" s="562"/>
      <c r="E2176" s="562"/>
      <c r="F2176" s="562"/>
      <c r="H2176" s="58"/>
      <c r="I2176" s="527" t="s">
        <v>288</v>
      </c>
      <c r="J2176" s="213">
        <f>VLOOKUP(B2164,'[1]Mil Cost Premiums for PUCs'!$A$4:$R$278,18,FALSE)</f>
        <v>1.3319480854780448</v>
      </c>
      <c r="K2176" s="216">
        <f>+K2175*J2176</f>
        <v>191.48146616308929</v>
      </c>
      <c r="L2176" s="47" t="s">
        <v>35</v>
      </c>
      <c r="M2176" s="25"/>
      <c r="O2176" s="27"/>
      <c r="P2176" s="26"/>
      <c r="Q2176" s="28"/>
    </row>
    <row r="2177" spans="1:24" ht="30" customHeight="1" thickBot="1" x14ac:dyDescent="0.5">
      <c r="A2177" s="999"/>
      <c r="B2177" s="1000"/>
      <c r="C2177" s="1000"/>
      <c r="D2177" s="1000"/>
      <c r="E2177" s="1000"/>
      <c r="F2177" s="1000"/>
      <c r="G2177" s="1000"/>
      <c r="H2177" s="1000"/>
      <c r="I2177" s="1000"/>
      <c r="J2177" s="1000"/>
      <c r="K2177" s="1000"/>
      <c r="L2177" s="1001"/>
      <c r="M2177" s="25"/>
      <c r="O2177" s="27"/>
      <c r="P2177" s="26"/>
      <c r="Q2177" s="28"/>
    </row>
    <row r="2178" spans="1:24" ht="30" customHeight="1" x14ac:dyDescent="0.45">
      <c r="A2178" s="9" t="s">
        <v>4</v>
      </c>
      <c r="B2178" s="10">
        <v>3181</v>
      </c>
      <c r="C2178" s="983" t="s">
        <v>1329</v>
      </c>
      <c r="D2178" s="984"/>
      <c r="E2178" s="13" t="s">
        <v>7</v>
      </c>
      <c r="F2178" s="14" t="s">
        <v>35</v>
      </c>
      <c r="G2178" s="11" t="s">
        <v>1330</v>
      </c>
      <c r="H2178" s="300">
        <v>10146.9545233265</v>
      </c>
      <c r="I2178" s="13" t="s">
        <v>9</v>
      </c>
      <c r="J2178" s="985" t="s">
        <v>276</v>
      </c>
      <c r="K2178" s="985"/>
      <c r="L2178" s="986"/>
      <c r="M2178" s="25"/>
      <c r="N2178" s="26"/>
      <c r="O2178" s="2"/>
      <c r="P2178" s="27"/>
      <c r="Q2178" s="26"/>
      <c r="R2178" s="28"/>
    </row>
    <row r="2179" spans="1:24" ht="30" customHeight="1" x14ac:dyDescent="0.45">
      <c r="A2179" s="85" t="s">
        <v>277</v>
      </c>
      <c r="B2179" s="987" t="s">
        <v>293</v>
      </c>
      <c r="C2179" s="988"/>
      <c r="D2179" s="989"/>
      <c r="E2179" s="220" t="s">
        <v>13</v>
      </c>
      <c r="F2179" s="220" t="s">
        <v>14</v>
      </c>
      <c r="G2179" s="990" t="s">
        <v>15</v>
      </c>
      <c r="H2179" s="991"/>
      <c r="I2179" s="504" t="s">
        <v>1316</v>
      </c>
      <c r="J2179" s="19" t="s">
        <v>278</v>
      </c>
      <c r="K2179" s="992" t="s">
        <v>17</v>
      </c>
      <c r="L2179" s="993"/>
      <c r="M2179" s="25"/>
      <c r="N2179" s="26"/>
      <c r="O2179" s="2"/>
      <c r="P2179" s="27"/>
      <c r="Q2179" s="26"/>
      <c r="R2179" s="28"/>
    </row>
    <row r="2180" spans="1:24" ht="30" customHeight="1" x14ac:dyDescent="0.45">
      <c r="A2180" s="47" t="s">
        <v>363</v>
      </c>
      <c r="B2180" s="1018" t="s">
        <v>1321</v>
      </c>
      <c r="C2180" s="1019"/>
      <c r="D2180" s="1020"/>
      <c r="E2180" s="221">
        <f>297-3.32</f>
        <v>293.68</v>
      </c>
      <c r="F2180" s="222" t="s">
        <v>35</v>
      </c>
      <c r="G2180" s="222"/>
      <c r="H2180" s="223"/>
      <c r="I2180" s="58"/>
      <c r="J2180" s="47">
        <v>1.1299999999999999</v>
      </c>
      <c r="K2180" s="221">
        <f>+E2180*J2180</f>
        <v>331.85839999999996</v>
      </c>
      <c r="L2180" s="47" t="s">
        <v>35</v>
      </c>
      <c r="M2180" s="25"/>
      <c r="N2180" s="26"/>
      <c r="O2180" s="2"/>
      <c r="P2180" s="27"/>
      <c r="Q2180" s="26"/>
      <c r="R2180" s="28"/>
    </row>
    <row r="2181" spans="1:24" ht="38.25" customHeight="1" x14ac:dyDescent="0.45">
      <c r="A2181" s="47" t="s">
        <v>363</v>
      </c>
      <c r="B2181" s="1008" t="s">
        <v>1259</v>
      </c>
      <c r="C2181" s="1009"/>
      <c r="D2181" s="1010"/>
      <c r="E2181" s="221">
        <v>46.25</v>
      </c>
      <c r="F2181" s="222" t="s">
        <v>35</v>
      </c>
      <c r="G2181" s="222"/>
      <c r="H2181" s="223"/>
      <c r="I2181" s="58"/>
      <c r="J2181" s="47">
        <v>1.1299999999999999</v>
      </c>
      <c r="K2181" s="221">
        <f>+E2181*J2181</f>
        <v>52.262499999999996</v>
      </c>
      <c r="L2181" s="47" t="s">
        <v>35</v>
      </c>
      <c r="M2181" s="25"/>
      <c r="N2181" s="26"/>
      <c r="O2181" s="2"/>
      <c r="P2181" s="27"/>
      <c r="Q2181" s="26"/>
      <c r="R2181" s="28"/>
    </row>
    <row r="2182" spans="1:24" ht="30" customHeight="1" x14ac:dyDescent="0.45">
      <c r="A2182" s="47" t="s">
        <v>358</v>
      </c>
      <c r="B2182" s="1008" t="s">
        <v>1322</v>
      </c>
      <c r="C2182" s="1009"/>
      <c r="D2182" s="1010"/>
      <c r="E2182" s="221">
        <v>6.79</v>
      </c>
      <c r="F2182" s="222" t="s">
        <v>35</v>
      </c>
      <c r="G2182" s="222"/>
      <c r="H2182" s="223"/>
      <c r="I2182" s="58"/>
      <c r="J2182" s="47">
        <v>1.1299999999999999</v>
      </c>
      <c r="K2182" s="221">
        <f>+E2182*J2182</f>
        <v>7.672699999999999</v>
      </c>
      <c r="L2182" s="47" t="s">
        <v>35</v>
      </c>
      <c r="M2182" s="25"/>
      <c r="N2182" s="229"/>
      <c r="O2182" s="5"/>
      <c r="P2182" s="18"/>
      <c r="Q2182" s="18"/>
      <c r="R2182" s="18"/>
      <c r="S2182" s="18"/>
      <c r="T2182" s="18"/>
    </row>
    <row r="2183" spans="1:24" ht="30" customHeight="1" x14ac:dyDescent="0.45">
      <c r="A2183" s="47" t="s">
        <v>358</v>
      </c>
      <c r="B2183" s="1018" t="s">
        <v>1047</v>
      </c>
      <c r="C2183" s="1019"/>
      <c r="D2183" s="1020"/>
      <c r="E2183" s="216">
        <f>0.15*E2182</f>
        <v>1.0185</v>
      </c>
      <c r="F2183" s="222" t="s">
        <v>35</v>
      </c>
      <c r="G2183" s="42"/>
      <c r="H2183" s="206"/>
      <c r="I2183" s="506"/>
      <c r="J2183" s="47">
        <v>1.1299999999999999</v>
      </c>
      <c r="K2183" s="221">
        <f>+E2183*J2183</f>
        <v>1.1509049999999998</v>
      </c>
      <c r="L2183" s="47" t="s">
        <v>35</v>
      </c>
      <c r="M2183" s="25"/>
    </row>
    <row r="2184" spans="1:24" ht="30" customHeight="1" x14ac:dyDescent="0.45">
      <c r="A2184" s="47" t="s">
        <v>358</v>
      </c>
      <c r="B2184" s="1092" t="s">
        <v>1048</v>
      </c>
      <c r="C2184" s="1092"/>
      <c r="D2184" s="1092"/>
      <c r="E2184" s="216">
        <f xml:space="preserve"> 0.72+((1.42+2.11)/2)</f>
        <v>2.4849999999999999</v>
      </c>
      <c r="F2184" s="47" t="s">
        <v>35</v>
      </c>
      <c r="G2184" s="42"/>
      <c r="H2184" s="206"/>
      <c r="I2184" s="506"/>
      <c r="J2184" s="47">
        <v>1.1299999999999999</v>
      </c>
      <c r="K2184" s="221">
        <f>+E2184*J2184</f>
        <v>2.8080499999999997</v>
      </c>
      <c r="L2184" s="47" t="s">
        <v>35</v>
      </c>
    </row>
    <row r="2185" spans="1:24" ht="30" customHeight="1" x14ac:dyDescent="0.45">
      <c r="A2185" s="47" t="s">
        <v>1050</v>
      </c>
      <c r="B2185" s="1018" t="s">
        <v>1325</v>
      </c>
      <c r="C2185" s="1019"/>
      <c r="D2185" s="1020"/>
      <c r="E2185" s="221">
        <f>(24+37.25)/2</f>
        <v>30.625</v>
      </c>
      <c r="F2185" s="222" t="s">
        <v>35</v>
      </c>
      <c r="G2185" s="42">
        <f>120*2</f>
        <v>240</v>
      </c>
      <c r="H2185" s="206" t="s">
        <v>479</v>
      </c>
      <c r="I2185" s="506">
        <f>+E2185*G2185/H2178</f>
        <v>0.72435527163380176</v>
      </c>
      <c r="J2185" s="47">
        <v>1.22</v>
      </c>
      <c r="K2185" s="378">
        <f>+I2185*J2185</f>
        <v>0.8837134313932381</v>
      </c>
      <c r="L2185" s="47" t="s">
        <v>35</v>
      </c>
      <c r="M2185" s="25"/>
      <c r="N2185" s="26"/>
      <c r="O2185" s="2"/>
      <c r="P2185" s="27"/>
      <c r="Q2185" s="26"/>
      <c r="R2185" s="28"/>
      <c r="U2185" s="18"/>
      <c r="V2185" s="18"/>
      <c r="W2185" s="18"/>
      <c r="X2185" s="18"/>
    </row>
    <row r="2186" spans="1:24" ht="30" customHeight="1" x14ac:dyDescent="0.45">
      <c r="A2186" s="47" t="s">
        <v>1050</v>
      </c>
      <c r="B2186" s="1018" t="s">
        <v>1326</v>
      </c>
      <c r="C2186" s="1019"/>
      <c r="D2186" s="1020"/>
      <c r="E2186" s="221">
        <f>(2020+2850)/2</f>
        <v>2435</v>
      </c>
      <c r="F2186" s="222" t="s">
        <v>88</v>
      </c>
      <c r="G2186" s="42"/>
      <c r="H2186" s="206"/>
      <c r="I2186" s="506">
        <f>2*E2186/H2178</f>
        <v>0.47994696229341693</v>
      </c>
      <c r="J2186" s="47">
        <v>1.22</v>
      </c>
      <c r="K2186" s="378">
        <f>+I2186*J2186</f>
        <v>0.58553529399796866</v>
      </c>
      <c r="L2186" s="47" t="s">
        <v>35</v>
      </c>
      <c r="M2186" s="25"/>
      <c r="S2186" s="41"/>
      <c r="T2186" s="41"/>
    </row>
    <row r="2187" spans="1:24" ht="30" customHeight="1" x14ac:dyDescent="0.45">
      <c r="A2187" s="47" t="s">
        <v>1055</v>
      </c>
      <c r="B2187" s="1018" t="s">
        <v>1203</v>
      </c>
      <c r="C2187" s="1019"/>
      <c r="D2187" s="1020"/>
      <c r="E2187" s="221">
        <v>72.38</v>
      </c>
      <c r="F2187" s="222" t="s">
        <v>113</v>
      </c>
      <c r="G2187" s="42">
        <v>20</v>
      </c>
      <c r="H2187" s="206" t="s">
        <v>1204</v>
      </c>
      <c r="I2187" s="506">
        <f>+E2187*G2187/H2178</f>
        <v>0.14266349540368589</v>
      </c>
      <c r="J2187" s="47">
        <v>1.1200000000000001</v>
      </c>
      <c r="K2187" s="378">
        <f>+I2187*J2187</f>
        <v>0.15978311485212821</v>
      </c>
      <c r="L2187" s="47" t="s">
        <v>35</v>
      </c>
      <c r="M2187" s="25"/>
      <c r="S2187" s="41"/>
      <c r="T2187" s="41"/>
    </row>
    <row r="2188" spans="1:24" ht="30" customHeight="1" x14ac:dyDescent="0.45">
      <c r="A2188" s="47" t="s">
        <v>470</v>
      </c>
      <c r="B2188" s="1018" t="s">
        <v>1317</v>
      </c>
      <c r="C2188" s="1019"/>
      <c r="D2188" s="1020"/>
      <c r="E2188" s="221">
        <v>162000</v>
      </c>
      <c r="F2188" s="47" t="s">
        <v>88</v>
      </c>
      <c r="G2188" s="500">
        <f>+H2178</f>
        <v>10146.9545233265</v>
      </c>
      <c r="H2188" s="179" t="s">
        <v>1157</v>
      </c>
      <c r="I2188" s="179"/>
      <c r="J2188" s="47">
        <v>1.26</v>
      </c>
      <c r="K2188" s="221">
        <f>+E2188/G2188*J2188</f>
        <v>20.116380686515864</v>
      </c>
      <c r="L2188" s="47" t="s">
        <v>35</v>
      </c>
      <c r="M2188" s="25"/>
      <c r="N2188" s="229"/>
      <c r="O2188" s="5"/>
      <c r="P2188" s="18"/>
      <c r="Q2188" s="18"/>
      <c r="R2188" s="18"/>
      <c r="S2188" s="18"/>
      <c r="T2188" s="18"/>
    </row>
    <row r="2189" spans="1:24" ht="30" customHeight="1" x14ac:dyDescent="0.45">
      <c r="A2189" s="47" t="s">
        <v>470</v>
      </c>
      <c r="B2189" s="1018" t="s">
        <v>1318</v>
      </c>
      <c r="C2189" s="1019"/>
      <c r="D2189" s="1020"/>
      <c r="E2189" s="221">
        <f>+(281+307)/2</f>
        <v>294</v>
      </c>
      <c r="F2189" s="222" t="s">
        <v>113</v>
      </c>
      <c r="G2189" s="213">
        <f>150/H2178</f>
        <v>1.4782760645587791E-2</v>
      </c>
      <c r="H2189" s="179" t="s">
        <v>1319</v>
      </c>
      <c r="I2189" s="179"/>
      <c r="J2189" s="47">
        <v>1.26</v>
      </c>
      <c r="K2189" s="221">
        <f>+E2189*G2189*J2189</f>
        <v>5.4761258535515411</v>
      </c>
      <c r="L2189" s="47" t="s">
        <v>35</v>
      </c>
      <c r="M2189" s="121"/>
      <c r="N2189" s="229"/>
      <c r="O2189" s="41"/>
      <c r="P2189" s="18"/>
      <c r="Q2189" s="18"/>
      <c r="R2189" s="18"/>
      <c r="S2189" s="18"/>
      <c r="T2189" s="18"/>
    </row>
    <row r="2190" spans="1:24" ht="30" customHeight="1" x14ac:dyDescent="0.45">
      <c r="A2190" s="47" t="s">
        <v>470</v>
      </c>
      <c r="B2190" s="1018" t="s">
        <v>472</v>
      </c>
      <c r="C2190" s="1019"/>
      <c r="D2190" s="1020"/>
      <c r="E2190" s="221">
        <f>+(27.25+55)/2</f>
        <v>41.125</v>
      </c>
      <c r="F2190" s="222" t="s">
        <v>113</v>
      </c>
      <c r="G2190" s="213">
        <f>150/H2178</f>
        <v>1.4782760645587791E-2</v>
      </c>
      <c r="H2190" s="179" t="s">
        <v>1319</v>
      </c>
      <c r="I2190" s="179"/>
      <c r="J2190" s="47">
        <v>1.26</v>
      </c>
      <c r="K2190" s="221">
        <f>+E2190*G2190*J2190</f>
        <v>0.76600569975274524</v>
      </c>
      <c r="L2190" s="47" t="s">
        <v>35</v>
      </c>
      <c r="M2190" s="25"/>
      <c r="N2190" s="229"/>
      <c r="O2190" s="5"/>
      <c r="P2190" s="18"/>
      <c r="Q2190" s="18"/>
      <c r="R2190" s="18"/>
      <c r="S2190" s="18"/>
      <c r="T2190" s="18"/>
      <c r="U2190" s="18"/>
      <c r="V2190" s="18"/>
      <c r="W2190" s="18"/>
      <c r="X2190" s="18"/>
    </row>
    <row r="2191" spans="1:24" s="18" customFormat="1" ht="30" customHeight="1" x14ac:dyDescent="0.45">
      <c r="A2191" s="47"/>
      <c r="B2191" s="1092"/>
      <c r="C2191" s="1092"/>
      <c r="D2191" s="1092"/>
      <c r="E2191" s="221"/>
      <c r="F2191" s="47"/>
      <c r="G2191" s="58"/>
      <c r="H2191" s="179"/>
      <c r="I2191" s="179"/>
      <c r="J2191" s="47" t="s">
        <v>38</v>
      </c>
      <c r="K2191" s="221">
        <f>SUM(K2180:K2190)</f>
        <v>423.74009908006343</v>
      </c>
      <c r="L2191" s="47" t="s">
        <v>35</v>
      </c>
      <c r="M2191" s="25"/>
      <c r="N2191" s="2"/>
      <c r="O2191" s="3"/>
      <c r="P2191" s="2"/>
      <c r="Q2191" s="2"/>
      <c r="R2191" s="2"/>
      <c r="S2191" s="2"/>
      <c r="T2191" s="2"/>
      <c r="U2191" s="2"/>
      <c r="V2191" s="2"/>
      <c r="W2191" s="2"/>
      <c r="X2191" s="2"/>
    </row>
    <row r="2192" spans="1:24" s="18" customFormat="1" ht="30" customHeight="1" x14ac:dyDescent="0.45">
      <c r="A2192" s="47"/>
      <c r="B2192" s="224"/>
      <c r="C2192" s="224"/>
      <c r="D2192" s="224"/>
      <c r="E2192" s="224"/>
      <c r="F2192" s="1011" t="s">
        <v>285</v>
      </c>
      <c r="G2192" s="1013" t="s">
        <v>286</v>
      </c>
      <c r="H2192" s="1013"/>
      <c r="I2192" s="1013"/>
      <c r="J2192" s="1013"/>
      <c r="K2192" s="278">
        <v>1.04</v>
      </c>
      <c r="L2192" s="47"/>
      <c r="M2192" s="25"/>
      <c r="N2192" s="2"/>
      <c r="O2192" s="3"/>
      <c r="P2192" s="2"/>
      <c r="Q2192" s="2"/>
      <c r="R2192" s="2"/>
      <c r="S2192" s="2"/>
      <c r="T2192" s="2"/>
    </row>
    <row r="2193" spans="1:24" s="18" customFormat="1" ht="30" customHeight="1" x14ac:dyDescent="0.45">
      <c r="A2193" s="47"/>
      <c r="B2193" s="224"/>
      <c r="C2193" s="224"/>
      <c r="D2193" s="224"/>
      <c r="E2193" s="224"/>
      <c r="F2193" s="1012"/>
      <c r="G2193" s="1014" t="s">
        <v>287</v>
      </c>
      <c r="H2193" s="1014"/>
      <c r="I2193" s="1014"/>
      <c r="J2193" s="1014"/>
      <c r="K2193" s="278">
        <v>1.05</v>
      </c>
      <c r="L2193" s="47"/>
      <c r="M2193" s="25"/>
      <c r="N2193" s="2"/>
      <c r="O2193" s="3"/>
      <c r="P2193" s="2"/>
      <c r="Q2193" s="2"/>
      <c r="R2193" s="2"/>
      <c r="S2193" s="41"/>
      <c r="T2193" s="41"/>
      <c r="U2193" s="2"/>
      <c r="V2193" s="2"/>
      <c r="W2193" s="2"/>
      <c r="X2193" s="2"/>
    </row>
    <row r="2194" spans="1:24" ht="30" customHeight="1" x14ac:dyDescent="0.45">
      <c r="A2194" s="47"/>
      <c r="B2194" s="47"/>
      <c r="C2194" s="58"/>
      <c r="D2194" s="58"/>
      <c r="E2194" s="58"/>
      <c r="F2194" s="58"/>
      <c r="G2194" s="58"/>
      <c r="H2194" s="58"/>
      <c r="I2194" s="58"/>
      <c r="J2194" s="47" t="s">
        <v>39</v>
      </c>
      <c r="K2194" s="216">
        <f>+K2191*K2192/K2193</f>
        <v>419.70447908882471</v>
      </c>
      <c r="L2194" s="47" t="s">
        <v>35</v>
      </c>
      <c r="M2194" s="121"/>
      <c r="S2194" s="41"/>
      <c r="T2194" s="41"/>
    </row>
    <row r="2195" spans="1:24" ht="30" customHeight="1" thickBot="1" x14ac:dyDescent="0.5">
      <c r="A2195" s="47"/>
      <c r="B2195" s="47"/>
      <c r="C2195" s="58"/>
      <c r="D2195" s="58"/>
      <c r="E2195" s="58"/>
      <c r="G2195" s="58"/>
      <c r="H2195" s="58"/>
      <c r="I2195" s="183" t="s">
        <v>288</v>
      </c>
      <c r="J2195" s="213">
        <f>VLOOKUP(B2178,'[1]Mil Cost Premiums for PUCs'!$A$4:$R$278,18,FALSE)</f>
        <v>1.2969309498325658</v>
      </c>
      <c r="K2195" s="216">
        <f>+K2194*J2195</f>
        <v>544.32772871365171</v>
      </c>
      <c r="L2195" s="47" t="s">
        <v>35</v>
      </c>
      <c r="M2195" s="25"/>
      <c r="N2195" s="229"/>
      <c r="O2195" s="5"/>
      <c r="P2195" s="18"/>
      <c r="Q2195" s="18"/>
      <c r="R2195" s="18"/>
      <c r="S2195" s="18"/>
      <c r="T2195" s="18"/>
    </row>
    <row r="2196" spans="1:24" ht="30" customHeight="1" thickBot="1" x14ac:dyDescent="0.5">
      <c r="A2196" s="999"/>
      <c r="B2196" s="1000"/>
      <c r="C2196" s="1000"/>
      <c r="D2196" s="1000"/>
      <c r="E2196" s="1000"/>
      <c r="F2196" s="1000"/>
      <c r="G2196" s="1000"/>
      <c r="H2196" s="1000"/>
      <c r="I2196" s="1000"/>
      <c r="J2196" s="1000"/>
      <c r="K2196" s="1000"/>
      <c r="L2196" s="1001"/>
      <c r="M2196" s="25"/>
      <c r="N2196" s="229"/>
      <c r="O2196" s="41"/>
      <c r="P2196" s="18"/>
      <c r="Q2196" s="18"/>
      <c r="R2196" s="18"/>
      <c r="S2196" s="18"/>
      <c r="T2196" s="18"/>
    </row>
    <row r="2197" spans="1:24" ht="30" customHeight="1" x14ac:dyDescent="0.45">
      <c r="A2197" s="9" t="s">
        <v>4</v>
      </c>
      <c r="B2197" s="10">
        <v>3191</v>
      </c>
      <c r="C2197" s="1125" t="s">
        <v>1331</v>
      </c>
      <c r="D2197" s="1125"/>
      <c r="E2197" s="13" t="s">
        <v>7</v>
      </c>
      <c r="F2197" s="14" t="s">
        <v>35</v>
      </c>
      <c r="G2197" s="11" t="s">
        <v>6</v>
      </c>
      <c r="H2197" s="512">
        <v>8995.2765366317708</v>
      </c>
      <c r="I2197" s="13" t="s">
        <v>9</v>
      </c>
      <c r="J2197" s="985" t="s">
        <v>276</v>
      </c>
      <c r="K2197" s="985"/>
      <c r="L2197" s="986"/>
      <c r="M2197" s="25"/>
      <c r="O2197" s="2"/>
    </row>
    <row r="2198" spans="1:24" ht="30" customHeight="1" x14ac:dyDescent="0.45">
      <c r="A2198" s="85" t="s">
        <v>277</v>
      </c>
      <c r="B2198" s="987" t="s">
        <v>293</v>
      </c>
      <c r="C2198" s="988"/>
      <c r="D2198" s="989"/>
      <c r="E2198" s="220" t="s">
        <v>13</v>
      </c>
      <c r="F2198" s="220" t="s">
        <v>14</v>
      </c>
      <c r="G2198" s="992" t="s">
        <v>15</v>
      </c>
      <c r="H2198" s="993"/>
      <c r="I2198" s="504" t="s">
        <v>1044</v>
      </c>
      <c r="J2198" s="19" t="s">
        <v>278</v>
      </c>
      <c r="K2198" s="992" t="s">
        <v>17</v>
      </c>
      <c r="L2198" s="993"/>
      <c r="M2198" s="25"/>
      <c r="O2198" s="2"/>
    </row>
    <row r="2199" spans="1:24" ht="30" customHeight="1" x14ac:dyDescent="0.45">
      <c r="A2199" s="47" t="s">
        <v>1289</v>
      </c>
      <c r="B2199" s="1018" t="s">
        <v>1332</v>
      </c>
      <c r="C2199" s="1019"/>
      <c r="D2199" s="1020"/>
      <c r="E2199" s="445">
        <f>117-3.32</f>
        <v>113.68</v>
      </c>
      <c r="F2199" s="47" t="s">
        <v>35</v>
      </c>
      <c r="G2199" s="348"/>
      <c r="H2199" s="349"/>
      <c r="I2199" s="571">
        <f>+E2199</f>
        <v>113.68</v>
      </c>
      <c r="J2199" s="47">
        <v>1.1399999999999999</v>
      </c>
      <c r="K2199" s="572">
        <f>+I2199*J2199</f>
        <v>129.59520000000001</v>
      </c>
      <c r="L2199" s="47" t="s">
        <v>35</v>
      </c>
      <c r="M2199" s="25"/>
      <c r="O2199" s="2"/>
    </row>
    <row r="2200" spans="1:24" ht="45" customHeight="1" x14ac:dyDescent="0.45">
      <c r="A2200" s="47" t="s">
        <v>358</v>
      </c>
      <c r="B2200" s="1018" t="s">
        <v>365</v>
      </c>
      <c r="C2200" s="1019"/>
      <c r="D2200" s="1020"/>
      <c r="E2200" s="573">
        <v>5.38</v>
      </c>
      <c r="F2200" s="47" t="s">
        <v>35</v>
      </c>
      <c r="G2200" s="42"/>
      <c r="H2200" s="206"/>
      <c r="I2200" s="574">
        <f>+E2200</f>
        <v>5.38</v>
      </c>
      <c r="J2200" s="47">
        <v>1.01</v>
      </c>
      <c r="K2200" s="445">
        <f>+I2200*J2200</f>
        <v>5.4337999999999997</v>
      </c>
      <c r="L2200" s="47" t="s">
        <v>35</v>
      </c>
      <c r="M2200" s="121"/>
      <c r="O2200" s="2"/>
    </row>
    <row r="2201" spans="1:24" ht="30" customHeight="1" x14ac:dyDescent="0.45">
      <c r="A2201" s="47" t="s">
        <v>358</v>
      </c>
      <c r="B2201" s="1018" t="s">
        <v>1047</v>
      </c>
      <c r="C2201" s="1019"/>
      <c r="D2201" s="1020"/>
      <c r="E2201" s="216">
        <f>0.15*E2200</f>
        <v>0.80699999999999994</v>
      </c>
      <c r="F2201" s="222" t="s">
        <v>35</v>
      </c>
      <c r="G2201" s="42"/>
      <c r="H2201" s="206"/>
      <c r="I2201" s="506"/>
      <c r="J2201" s="47">
        <v>1.1299999999999999</v>
      </c>
      <c r="K2201" s="221">
        <f>+E2201*J2201</f>
        <v>0.91190999999999989</v>
      </c>
      <c r="L2201" s="47" t="s">
        <v>35</v>
      </c>
      <c r="N2201" s="229"/>
      <c r="O2201" s="5"/>
      <c r="P2201" s="18"/>
      <c r="Q2201" s="18"/>
      <c r="R2201" s="18"/>
      <c r="S2201" s="18"/>
    </row>
    <row r="2202" spans="1:24" ht="30" customHeight="1" x14ac:dyDescent="0.45">
      <c r="A2202" s="47" t="s">
        <v>470</v>
      </c>
      <c r="B2202" s="1018" t="s">
        <v>1317</v>
      </c>
      <c r="C2202" s="1019"/>
      <c r="D2202" s="1020"/>
      <c r="E2202" s="221">
        <v>162000</v>
      </c>
      <c r="F2202" s="47" t="s">
        <v>88</v>
      </c>
      <c r="G2202" s="500">
        <f>+H2197</f>
        <v>8995.2765366317708</v>
      </c>
      <c r="H2202" s="179" t="s">
        <v>1157</v>
      </c>
      <c r="I2202" s="179"/>
      <c r="J2202" s="47">
        <v>1.26</v>
      </c>
      <c r="K2202" s="221">
        <f>+E2202/G2202*J2202</f>
        <v>22.691909378078059</v>
      </c>
      <c r="L2202" s="47" t="s">
        <v>35</v>
      </c>
      <c r="N2202" s="229"/>
      <c r="O2202" s="5"/>
      <c r="P2202" s="18"/>
      <c r="Q2202" s="18"/>
      <c r="R2202" s="18"/>
      <c r="S2202" s="18"/>
    </row>
    <row r="2203" spans="1:24" ht="30" customHeight="1" x14ac:dyDescent="0.45">
      <c r="A2203" s="47" t="s">
        <v>470</v>
      </c>
      <c r="B2203" s="1018" t="s">
        <v>1318</v>
      </c>
      <c r="C2203" s="1019"/>
      <c r="D2203" s="1020"/>
      <c r="E2203" s="221">
        <f>+(281+307)/2</f>
        <v>294</v>
      </c>
      <c r="F2203" s="222" t="s">
        <v>113</v>
      </c>
      <c r="G2203" s="213">
        <f>150/H2197</f>
        <v>1.6675418414225499E-2</v>
      </c>
      <c r="H2203" s="179" t="s">
        <v>1319</v>
      </c>
      <c r="I2203" s="179"/>
      <c r="J2203" s="47">
        <v>1.26</v>
      </c>
      <c r="K2203" s="221">
        <f>+E2203*G2203*J2203</f>
        <v>6.1772419973656936</v>
      </c>
      <c r="L2203" s="47" t="s">
        <v>35</v>
      </c>
      <c r="M2203" s="25"/>
      <c r="N2203" s="26"/>
      <c r="O2203" s="2"/>
      <c r="P2203" s="27"/>
      <c r="Q2203" s="26"/>
      <c r="R2203" s="28"/>
      <c r="T2203" s="18"/>
    </row>
    <row r="2204" spans="1:24" ht="30" customHeight="1" x14ac:dyDescent="0.45">
      <c r="A2204" s="47" t="s">
        <v>470</v>
      </c>
      <c r="B2204" s="1018" t="s">
        <v>472</v>
      </c>
      <c r="C2204" s="1019"/>
      <c r="D2204" s="1020"/>
      <c r="E2204" s="221">
        <f>+(27.25+55)/2</f>
        <v>41.125</v>
      </c>
      <c r="F2204" s="222" t="s">
        <v>113</v>
      </c>
      <c r="G2204" s="213">
        <f>150/H2197</f>
        <v>1.6675418414225499E-2</v>
      </c>
      <c r="H2204" s="179" t="s">
        <v>1319</v>
      </c>
      <c r="I2204" s="179"/>
      <c r="J2204" s="47">
        <v>1.26</v>
      </c>
      <c r="K2204" s="221">
        <f>+E2204*G2204*J2204</f>
        <v>0.8640784936791297</v>
      </c>
      <c r="L2204" s="47" t="s">
        <v>35</v>
      </c>
      <c r="M2204" s="25"/>
    </row>
    <row r="2205" spans="1:24" ht="30" customHeight="1" x14ac:dyDescent="0.45">
      <c r="A2205" s="47" t="s">
        <v>1050</v>
      </c>
      <c r="B2205" s="1018" t="s">
        <v>1210</v>
      </c>
      <c r="C2205" s="1019"/>
      <c r="D2205" s="1020"/>
      <c r="E2205" s="221">
        <f>(24+37.25)/2</f>
        <v>30.625</v>
      </c>
      <c r="F2205" s="222" t="s">
        <v>35</v>
      </c>
      <c r="G2205" s="42">
        <f>120*4</f>
        <v>480</v>
      </c>
      <c r="H2205" s="206" t="s">
        <v>479</v>
      </c>
      <c r="I2205" s="506">
        <f>+E2205*G2205/H2197</f>
        <v>1.6341910045940988</v>
      </c>
      <c r="J2205" s="47">
        <v>1.22</v>
      </c>
      <c r="K2205" s="378">
        <f>+I2205*J2205</f>
        <v>1.9937130256048006</v>
      </c>
      <c r="L2205" s="47" t="s">
        <v>35</v>
      </c>
      <c r="M2205" s="25"/>
      <c r="N2205" s="3"/>
      <c r="S2205" s="41"/>
      <c r="T2205" s="41"/>
    </row>
    <row r="2206" spans="1:24" ht="30" customHeight="1" x14ac:dyDescent="0.45">
      <c r="A2206" s="47" t="s">
        <v>1050</v>
      </c>
      <c r="B2206" s="1018" t="s">
        <v>1211</v>
      </c>
      <c r="C2206" s="1019"/>
      <c r="D2206" s="1020"/>
      <c r="E2206" s="221">
        <f>(2020+2850)/2</f>
        <v>2435</v>
      </c>
      <c r="F2206" s="222" t="s">
        <v>88</v>
      </c>
      <c r="G2206" s="42"/>
      <c r="H2206" s="206"/>
      <c r="I2206" s="506">
        <f>4*E2206/H2197</f>
        <v>1.082790502363709</v>
      </c>
      <c r="J2206" s="47">
        <v>1.22</v>
      </c>
      <c r="K2206" s="378">
        <f>+I2206*J2206</f>
        <v>1.3210044128837251</v>
      </c>
      <c r="L2206" s="47" t="s">
        <v>35</v>
      </c>
      <c r="M2206" s="25"/>
      <c r="S2206" s="90"/>
      <c r="T2206" s="90"/>
    </row>
    <row r="2207" spans="1:24" ht="30" customHeight="1" x14ac:dyDescent="0.45">
      <c r="A2207" s="47" t="s">
        <v>1055</v>
      </c>
      <c r="B2207" s="1018" t="s">
        <v>1203</v>
      </c>
      <c r="C2207" s="1019"/>
      <c r="D2207" s="1020"/>
      <c r="E2207" s="221">
        <v>72.38</v>
      </c>
      <c r="F2207" s="222" t="s">
        <v>113</v>
      </c>
      <c r="G2207" s="42">
        <f>4*10</f>
        <v>40</v>
      </c>
      <c r="H2207" s="206" t="s">
        <v>1204</v>
      </c>
      <c r="I2207" s="506">
        <f>+E2207*G2207/H2197</f>
        <v>0.32185780928577107</v>
      </c>
      <c r="J2207" s="47">
        <v>1.1200000000000001</v>
      </c>
      <c r="K2207" s="378">
        <f>+I2207*J2207</f>
        <v>0.36048074640006361</v>
      </c>
      <c r="L2207" s="47" t="s">
        <v>35</v>
      </c>
      <c r="M2207" s="25"/>
      <c r="N2207" s="26"/>
      <c r="U2207" s="41"/>
      <c r="V2207" s="41"/>
    </row>
    <row r="2208" spans="1:24" ht="30" customHeight="1" x14ac:dyDescent="0.45">
      <c r="A2208" s="47"/>
      <c r="B2208" s="1092"/>
      <c r="C2208" s="1092"/>
      <c r="D2208" s="1092"/>
      <c r="E2208" s="221"/>
      <c r="F2208" s="58"/>
      <c r="G2208" s="179"/>
      <c r="H2208" s="179"/>
      <c r="I2208" s="47"/>
      <c r="J2208" s="47" t="s">
        <v>360</v>
      </c>
      <c r="K2208" s="445">
        <f>SUM(K2199:K2207)</f>
        <v>169.34933805401147</v>
      </c>
      <c r="L2208" s="47" t="s">
        <v>35</v>
      </c>
      <c r="M2208" s="25"/>
      <c r="S2208" s="41"/>
      <c r="T2208" s="41"/>
    </row>
    <row r="2209" spans="1:20" ht="30" customHeight="1" x14ac:dyDescent="0.45">
      <c r="A2209" s="47"/>
      <c r="B2209" s="224"/>
      <c r="C2209" s="224"/>
      <c r="D2209" s="224"/>
      <c r="E2209" s="224"/>
      <c r="F2209" s="1011" t="s">
        <v>285</v>
      </c>
      <c r="G2209" s="1013" t="s">
        <v>286</v>
      </c>
      <c r="H2209" s="1013"/>
      <c r="I2209" s="1013"/>
      <c r="J2209" s="1013"/>
      <c r="K2209" s="365">
        <v>1.08</v>
      </c>
      <c r="L2209" s="47"/>
      <c r="M2209" s="25"/>
      <c r="N2209" s="131"/>
      <c r="S2209" s="41"/>
      <c r="T2209" s="41"/>
    </row>
    <row r="2210" spans="1:20" ht="30" customHeight="1" x14ac:dyDescent="0.45">
      <c r="A2210" s="47"/>
      <c r="B2210" s="224"/>
      <c r="C2210" s="224"/>
      <c r="D2210" s="224"/>
      <c r="E2210" s="224"/>
      <c r="F2210" s="1012"/>
      <c r="G2210" s="1014" t="s">
        <v>287</v>
      </c>
      <c r="H2210" s="1014"/>
      <c r="I2210" s="1014"/>
      <c r="J2210" s="1014"/>
      <c r="K2210" s="278">
        <v>1.05</v>
      </c>
      <c r="L2210" s="47"/>
      <c r="M2210" s="25"/>
      <c r="N2210" s="131"/>
      <c r="S2210" s="41"/>
      <c r="T2210" s="41"/>
    </row>
    <row r="2211" spans="1:20" ht="30" customHeight="1" x14ac:dyDescent="0.45">
      <c r="A2211" s="560"/>
      <c r="B2211" s="575"/>
      <c r="C2211" s="575"/>
      <c r="D2211" s="575"/>
      <c r="E2211" s="575"/>
      <c r="F2211" s="575"/>
      <c r="G2211" s="575"/>
      <c r="H2211" s="58"/>
      <c r="I2211" s="58"/>
      <c r="J2211" s="58" t="s">
        <v>39</v>
      </c>
      <c r="K2211" s="55">
        <f>+K2208*K2209/K2210</f>
        <v>174.18789056984036</v>
      </c>
      <c r="L2211" s="47" t="s">
        <v>35</v>
      </c>
      <c r="M2211" s="25"/>
      <c r="S2211" s="41"/>
      <c r="T2211" s="41"/>
    </row>
    <row r="2212" spans="1:20" ht="30" customHeight="1" thickBot="1" x14ac:dyDescent="0.5">
      <c r="A2212" s="560"/>
      <c r="B2212" s="576"/>
      <c r="C2212" s="576"/>
      <c r="D2212" s="576"/>
      <c r="E2212" s="576"/>
      <c r="G2212" s="576"/>
      <c r="H2212" s="58"/>
      <c r="I2212" s="183" t="s">
        <v>288</v>
      </c>
      <c r="J2212" s="213">
        <f>VLOOKUP(B2197,'[1]Mil Cost Premiums for PUCs'!$A$4:$R$278,18,FALSE)</f>
        <v>1.3319480854780448</v>
      </c>
      <c r="K2212" s="55">
        <f>+K2211*J2212</f>
        <v>232.00922735795805</v>
      </c>
      <c r="L2212" s="47" t="s">
        <v>35</v>
      </c>
      <c r="M2212" s="25"/>
      <c r="S2212" s="41"/>
      <c r="T2212" s="41"/>
    </row>
    <row r="2213" spans="1:20" ht="30" customHeight="1" thickBot="1" x14ac:dyDescent="0.5">
      <c r="A2213" s="999"/>
      <c r="B2213" s="1000"/>
      <c r="C2213" s="1000"/>
      <c r="D2213" s="1000"/>
      <c r="E2213" s="1000"/>
      <c r="F2213" s="1000"/>
      <c r="G2213" s="1000"/>
      <c r="H2213" s="1000"/>
      <c r="I2213" s="1000"/>
      <c r="J2213" s="1000"/>
      <c r="K2213" s="1000"/>
      <c r="L2213" s="1001"/>
      <c r="M2213" s="25"/>
      <c r="S2213" s="41"/>
      <c r="T2213" s="41"/>
    </row>
    <row r="2214" spans="1:20" ht="30" customHeight="1" x14ac:dyDescent="0.45">
      <c r="A2214" s="93" t="s">
        <v>4</v>
      </c>
      <c r="B2214" s="76">
        <v>3201</v>
      </c>
      <c r="C2214" s="1196" t="s">
        <v>1333</v>
      </c>
      <c r="D2214" s="1196"/>
      <c r="E2214" s="94" t="s">
        <v>7</v>
      </c>
      <c r="F2214" s="95" t="s">
        <v>35</v>
      </c>
      <c r="G2214" s="102" t="s">
        <v>6</v>
      </c>
      <c r="H2214" s="508">
        <v>10205</v>
      </c>
      <c r="I2214" s="94" t="s">
        <v>9</v>
      </c>
      <c r="J2214" s="985" t="s">
        <v>575</v>
      </c>
      <c r="K2214" s="985"/>
      <c r="L2214" s="986"/>
      <c r="M2214" s="121"/>
      <c r="N2214" s="131"/>
      <c r="S2214" s="41"/>
      <c r="T2214" s="41"/>
    </row>
    <row r="2215" spans="1:20" ht="30" customHeight="1" x14ac:dyDescent="0.45">
      <c r="A2215" s="85" t="s">
        <v>277</v>
      </c>
      <c r="B2215" s="987" t="s">
        <v>293</v>
      </c>
      <c r="C2215" s="988"/>
      <c r="D2215" s="989"/>
      <c r="E2215" s="220" t="s">
        <v>13</v>
      </c>
      <c r="F2215" s="220" t="s">
        <v>14</v>
      </c>
      <c r="G2215" s="992" t="s">
        <v>15</v>
      </c>
      <c r="H2215" s="993"/>
      <c r="I2215" s="504" t="s">
        <v>1044</v>
      </c>
      <c r="J2215" s="19" t="s">
        <v>278</v>
      </c>
      <c r="K2215" s="992" t="s">
        <v>17</v>
      </c>
      <c r="L2215" s="993"/>
      <c r="M2215" s="25"/>
      <c r="N2215" s="131"/>
      <c r="S2215" s="41"/>
      <c r="T2215" s="41"/>
    </row>
    <row r="2216" spans="1:20" ht="30" customHeight="1" x14ac:dyDescent="0.45">
      <c r="A2216" s="47" t="s">
        <v>1289</v>
      </c>
      <c r="B2216" s="1018" t="s">
        <v>1290</v>
      </c>
      <c r="C2216" s="1019"/>
      <c r="D2216" s="1020"/>
      <c r="E2216" s="445">
        <v>97.5</v>
      </c>
      <c r="F2216" s="47" t="s">
        <v>35</v>
      </c>
      <c r="G2216" s="348"/>
      <c r="H2216" s="349"/>
      <c r="I2216" s="577">
        <f>+E2216</f>
        <v>97.5</v>
      </c>
      <c r="J2216" s="47">
        <v>1.01</v>
      </c>
      <c r="K2216" s="578">
        <f t="shared" ref="K2216:K2226" si="53">+I2216*J2216</f>
        <v>98.474999999999994</v>
      </c>
      <c r="L2216" s="47" t="s">
        <v>35</v>
      </c>
      <c r="M2216" s="25"/>
      <c r="N2216" s="131"/>
      <c r="S2216" s="41"/>
      <c r="T2216" s="41"/>
    </row>
    <row r="2217" spans="1:20" ht="30" customHeight="1" x14ac:dyDescent="0.45">
      <c r="A2217" s="47" t="s">
        <v>358</v>
      </c>
      <c r="B2217" s="1018" t="s">
        <v>365</v>
      </c>
      <c r="C2217" s="1019"/>
      <c r="D2217" s="1020"/>
      <c r="E2217" s="573">
        <v>4.38</v>
      </c>
      <c r="F2217" s="47" t="s">
        <v>35</v>
      </c>
      <c r="G2217" s="42"/>
      <c r="H2217" s="206"/>
      <c r="I2217" s="579">
        <f>+E2217</f>
        <v>4.38</v>
      </c>
      <c r="J2217" s="47">
        <v>1.01</v>
      </c>
      <c r="K2217" s="578">
        <f t="shared" si="53"/>
        <v>4.4238</v>
      </c>
      <c r="L2217" s="47" t="s">
        <v>35</v>
      </c>
      <c r="M2217" s="25"/>
      <c r="S2217" s="41"/>
      <c r="T2217" s="41"/>
    </row>
    <row r="2218" spans="1:20" ht="30" customHeight="1" x14ac:dyDescent="0.45">
      <c r="A2218" s="47" t="s">
        <v>470</v>
      </c>
      <c r="B2218" s="1018" t="s">
        <v>1334</v>
      </c>
      <c r="C2218" s="1019"/>
      <c r="D2218" s="1020"/>
      <c r="E2218" s="445">
        <v>141000</v>
      </c>
      <c r="F2218" s="222" t="s">
        <v>88</v>
      </c>
      <c r="G2218" s="580">
        <f>+E2218/H2214</f>
        <v>13.816756491915728</v>
      </c>
      <c r="H2218" s="206" t="s">
        <v>1061</v>
      </c>
      <c r="I2218" s="579">
        <f>+G2218</f>
        <v>13.816756491915728</v>
      </c>
      <c r="J2218" s="47">
        <v>1.02</v>
      </c>
      <c r="K2218" s="578">
        <f t="shared" si="53"/>
        <v>14.093091621754043</v>
      </c>
      <c r="L2218" s="47" t="s">
        <v>35</v>
      </c>
      <c r="S2218" s="41"/>
    </row>
    <row r="2219" spans="1:20" ht="30" customHeight="1" x14ac:dyDescent="0.45">
      <c r="A2219" s="47" t="s">
        <v>470</v>
      </c>
      <c r="B2219" s="1018" t="s">
        <v>1335</v>
      </c>
      <c r="C2219" s="1019"/>
      <c r="D2219" s="1020"/>
      <c r="E2219" s="445">
        <f>+(244+267)/2</f>
        <v>255.5</v>
      </c>
      <c r="F2219" s="222" t="s">
        <v>113</v>
      </c>
      <c r="G2219" s="580">
        <f>200*E2219/H2214</f>
        <v>5.0073493385595294</v>
      </c>
      <c r="H2219" s="206" t="s">
        <v>1061</v>
      </c>
      <c r="I2219" s="579">
        <f>+G2219</f>
        <v>5.0073493385595294</v>
      </c>
      <c r="J2219" s="47">
        <v>1.02</v>
      </c>
      <c r="K2219" s="578">
        <f t="shared" si="53"/>
        <v>5.10749632533072</v>
      </c>
      <c r="L2219" s="47" t="s">
        <v>35</v>
      </c>
      <c r="M2219" s="25"/>
      <c r="N2219" s="26"/>
      <c r="O2219" s="2"/>
      <c r="P2219" s="27"/>
      <c r="Q2219" s="26"/>
      <c r="R2219" s="28"/>
      <c r="T2219" s="41"/>
    </row>
    <row r="2220" spans="1:20" ht="30" customHeight="1" x14ac:dyDescent="0.45">
      <c r="A2220" s="47" t="s">
        <v>470</v>
      </c>
      <c r="B2220" s="1018" t="s">
        <v>1336</v>
      </c>
      <c r="C2220" s="1019"/>
      <c r="D2220" s="1020"/>
      <c r="E2220" s="445">
        <f>(23.75+47.75)/2</f>
        <v>35.75</v>
      </c>
      <c r="F2220" s="222" t="s">
        <v>113</v>
      </c>
      <c r="G2220" s="580">
        <f>200*E2220/H2214</f>
        <v>0.70063694267515919</v>
      </c>
      <c r="H2220" s="206" t="s">
        <v>1061</v>
      </c>
      <c r="I2220" s="579">
        <f>+G2220</f>
        <v>0.70063694267515919</v>
      </c>
      <c r="J2220" s="47">
        <v>1.02</v>
      </c>
      <c r="K2220" s="578">
        <f t="shared" si="53"/>
        <v>0.71464968152866237</v>
      </c>
      <c r="L2220" s="47" t="s">
        <v>35</v>
      </c>
      <c r="M2220" s="25"/>
      <c r="S2220" s="41"/>
      <c r="T2220" s="41"/>
    </row>
    <row r="2221" spans="1:20" ht="30" customHeight="1" x14ac:dyDescent="0.45">
      <c r="A2221" s="47" t="s">
        <v>1050</v>
      </c>
      <c r="B2221" s="1018" t="s">
        <v>1337</v>
      </c>
      <c r="C2221" s="1019"/>
      <c r="D2221" s="1020"/>
      <c r="E2221" s="445">
        <f>(20.3+31.5)/2</f>
        <v>25.9</v>
      </c>
      <c r="F2221" s="222" t="s">
        <v>35</v>
      </c>
      <c r="G2221" s="581">
        <f>81*E2221</f>
        <v>2097.9</v>
      </c>
      <c r="H2221" s="206"/>
      <c r="I2221" s="579">
        <f>+G2221/H2214</f>
        <v>0.20557569818716318</v>
      </c>
      <c r="J2221" s="47">
        <v>1.03</v>
      </c>
      <c r="K2221" s="578">
        <f t="shared" si="53"/>
        <v>0.21174296913277807</v>
      </c>
      <c r="L2221" s="47" t="s">
        <v>35</v>
      </c>
      <c r="M2221" s="25"/>
      <c r="S2221" s="41"/>
      <c r="T2221" s="41"/>
    </row>
    <row r="2222" spans="1:20" ht="30" customHeight="1" x14ac:dyDescent="0.45">
      <c r="A2222" s="47" t="s">
        <v>1050</v>
      </c>
      <c r="B2222" s="1018" t="s">
        <v>1338</v>
      </c>
      <c r="C2222" s="1019"/>
      <c r="D2222" s="1020"/>
      <c r="E2222" s="445">
        <f>(1710+2420)/2</f>
        <v>2065</v>
      </c>
      <c r="F2222" s="222"/>
      <c r="G2222" s="580">
        <f>+E2222</f>
        <v>2065</v>
      </c>
      <c r="H2222" s="206"/>
      <c r="I2222" s="579">
        <f>+G2222/H2214</f>
        <v>0.20235178833904949</v>
      </c>
      <c r="J2222" s="47">
        <v>1.03</v>
      </c>
      <c r="K2222" s="578">
        <f t="shared" si="53"/>
        <v>0.20842234198922097</v>
      </c>
      <c r="L2222" s="47" t="s">
        <v>35</v>
      </c>
      <c r="M2222" s="25"/>
      <c r="S2222" s="41"/>
      <c r="T2222" s="41"/>
    </row>
    <row r="2223" spans="1:20" ht="30" customHeight="1" x14ac:dyDescent="0.45">
      <c r="A2223" s="47" t="s">
        <v>1055</v>
      </c>
      <c r="B2223" s="1018" t="s">
        <v>1339</v>
      </c>
      <c r="C2223" s="1019"/>
      <c r="D2223" s="1020"/>
      <c r="E2223" s="221">
        <f>(34.5+82)/2</f>
        <v>58.25</v>
      </c>
      <c r="F2223" s="222" t="s">
        <v>113</v>
      </c>
      <c r="G2223" s="42">
        <v>10</v>
      </c>
      <c r="H2223" s="206" t="s">
        <v>1204</v>
      </c>
      <c r="I2223" s="579">
        <f>+E2223*G2223/H2214</f>
        <v>5.7079862812346886E-2</v>
      </c>
      <c r="J2223" s="47">
        <v>1.03</v>
      </c>
      <c r="K2223" s="578">
        <f t="shared" si="53"/>
        <v>5.8792258696717295E-2</v>
      </c>
      <c r="L2223" s="47" t="s">
        <v>35</v>
      </c>
      <c r="M2223" s="121"/>
      <c r="S2223" s="41"/>
      <c r="T2223" s="41"/>
    </row>
    <row r="2224" spans="1:20" ht="30" customHeight="1" x14ac:dyDescent="0.45">
      <c r="A2224" s="47" t="s">
        <v>1055</v>
      </c>
      <c r="B2224" s="1018" t="s">
        <v>1340</v>
      </c>
      <c r="C2224" s="1019"/>
      <c r="D2224" s="1020"/>
      <c r="E2224" s="221">
        <f>(6450+12300)/2</f>
        <v>9375</v>
      </c>
      <c r="F2224" s="222" t="s">
        <v>88</v>
      </c>
      <c r="G2224" s="42">
        <v>1</v>
      </c>
      <c r="H2224" s="206" t="s">
        <v>1061</v>
      </c>
      <c r="I2224" s="579">
        <f>+E2224/H2214</f>
        <v>0.91866731994120532</v>
      </c>
      <c r="J2224" s="47">
        <v>1.03</v>
      </c>
      <c r="K2224" s="578">
        <f t="shared" si="53"/>
        <v>0.94622733953944149</v>
      </c>
      <c r="L2224" s="47" t="s">
        <v>35</v>
      </c>
      <c r="M2224" s="25"/>
      <c r="S2224" s="90"/>
      <c r="T2224" s="90"/>
    </row>
    <row r="2225" spans="1:22" ht="30" customHeight="1" x14ac:dyDescent="0.45">
      <c r="A2225" s="47" t="s">
        <v>1055</v>
      </c>
      <c r="B2225" s="1018" t="s">
        <v>1341</v>
      </c>
      <c r="C2225" s="1019"/>
      <c r="D2225" s="1020"/>
      <c r="E2225" s="221">
        <f>(660+1010)/2</f>
        <v>835</v>
      </c>
      <c r="F2225" s="222" t="s">
        <v>88</v>
      </c>
      <c r="G2225" s="42">
        <v>1</v>
      </c>
      <c r="H2225" s="206" t="s">
        <v>1061</v>
      </c>
      <c r="I2225" s="579">
        <f>+E2225/H2214</f>
        <v>8.1822635962763346E-2</v>
      </c>
      <c r="J2225" s="47">
        <v>1.03</v>
      </c>
      <c r="K2225" s="578">
        <f t="shared" si="53"/>
        <v>8.4277315041646247E-2</v>
      </c>
      <c r="L2225" s="47" t="s">
        <v>35</v>
      </c>
      <c r="M2225" s="25"/>
      <c r="N2225" s="26"/>
      <c r="U2225" s="41"/>
      <c r="V2225" s="41"/>
    </row>
    <row r="2226" spans="1:22" ht="30" customHeight="1" x14ac:dyDescent="0.45">
      <c r="A2226" s="47" t="s">
        <v>1055</v>
      </c>
      <c r="B2226" s="1018" t="s">
        <v>1342</v>
      </c>
      <c r="C2226" s="1019"/>
      <c r="D2226" s="1020"/>
      <c r="E2226" s="221">
        <f>+(1160+3475)/2</f>
        <v>2317.5</v>
      </c>
      <c r="F2226" s="222" t="s">
        <v>88</v>
      </c>
      <c r="G2226" s="42">
        <v>1</v>
      </c>
      <c r="H2226" s="206" t="s">
        <v>1061</v>
      </c>
      <c r="I2226" s="579">
        <f>+E2226/H2214</f>
        <v>0.22709456148946594</v>
      </c>
      <c r="J2226" s="47">
        <v>1.03</v>
      </c>
      <c r="K2226" s="578">
        <f t="shared" si="53"/>
        <v>0.23390739833414992</v>
      </c>
      <c r="L2226" s="47" t="s">
        <v>35</v>
      </c>
      <c r="M2226" s="25"/>
      <c r="S2226" s="41"/>
      <c r="T2226" s="41"/>
    </row>
    <row r="2227" spans="1:22" ht="30" customHeight="1" x14ac:dyDescent="0.45">
      <c r="A2227" s="47"/>
      <c r="B2227" s="1092"/>
      <c r="C2227" s="1092"/>
      <c r="D2227" s="1092"/>
      <c r="E2227" s="311"/>
      <c r="F2227" s="58"/>
      <c r="G2227" s="179"/>
      <c r="H2227" s="179"/>
      <c r="I2227" s="47"/>
      <c r="J2227" s="47" t="s">
        <v>360</v>
      </c>
      <c r="K2227" s="578">
        <f>SUM(K2216:K2226)</f>
        <v>124.55740725134736</v>
      </c>
      <c r="L2227" s="47" t="s">
        <v>35</v>
      </c>
      <c r="M2227" s="25"/>
      <c r="N2227" s="131"/>
      <c r="S2227" s="41"/>
      <c r="T2227" s="41"/>
    </row>
    <row r="2228" spans="1:22" s="306" customFormat="1" ht="30" customHeight="1" x14ac:dyDescent="0.45">
      <c r="A2228" s="47"/>
      <c r="B2228" s="224"/>
      <c r="C2228" s="224"/>
      <c r="D2228" s="224"/>
      <c r="E2228" s="224"/>
      <c r="F2228" s="1011" t="s">
        <v>285</v>
      </c>
      <c r="G2228" s="1013" t="s">
        <v>286</v>
      </c>
      <c r="H2228" s="1013"/>
      <c r="I2228" s="1013"/>
      <c r="J2228" s="1013"/>
      <c r="K2228" s="365">
        <v>1.1000000000000001</v>
      </c>
      <c r="L2228" s="47"/>
      <c r="M2228" s="429"/>
      <c r="N2228" s="131"/>
      <c r="O2228" s="3"/>
      <c r="P2228" s="2"/>
      <c r="Q2228" s="2"/>
      <c r="R2228" s="2"/>
      <c r="S2228" s="41"/>
      <c r="T2228" s="582"/>
    </row>
    <row r="2229" spans="1:22" s="306" customFormat="1" ht="30" customHeight="1" x14ac:dyDescent="0.45">
      <c r="A2229" s="47"/>
      <c r="B2229" s="224"/>
      <c r="C2229" s="224"/>
      <c r="D2229" s="224"/>
      <c r="E2229" s="224"/>
      <c r="F2229" s="1012"/>
      <c r="G2229" s="1014" t="s">
        <v>580</v>
      </c>
      <c r="H2229" s="1014"/>
      <c r="I2229" s="1014"/>
      <c r="J2229" s="1014"/>
      <c r="K2229" s="278">
        <v>1.08</v>
      </c>
      <c r="L2229" s="47"/>
      <c r="M2229" s="462"/>
      <c r="N2229" s="583"/>
      <c r="O2229" s="144"/>
      <c r="S2229" s="582"/>
      <c r="T2229" s="582"/>
    </row>
    <row r="2230" spans="1:22" s="306" customFormat="1" ht="30" customHeight="1" x14ac:dyDescent="0.45">
      <c r="A2230" s="560"/>
      <c r="B2230" s="575"/>
      <c r="C2230" s="575"/>
      <c r="D2230" s="575"/>
      <c r="E2230" s="575"/>
      <c r="F2230" s="575"/>
      <c r="G2230" s="575"/>
      <c r="H2230" s="58"/>
      <c r="I2230" s="58"/>
      <c r="J2230" s="47" t="s">
        <v>39</v>
      </c>
      <c r="K2230" s="55">
        <f>+K2227*K2228/K2229</f>
        <v>126.8640259041501</v>
      </c>
      <c r="L2230" s="47" t="s">
        <v>35</v>
      </c>
      <c r="M2230" s="462"/>
      <c r="O2230" s="144"/>
      <c r="S2230" s="582"/>
      <c r="T2230" s="582"/>
    </row>
    <row r="2231" spans="1:22" ht="30" customHeight="1" x14ac:dyDescent="0.45">
      <c r="A2231" s="560"/>
      <c r="B2231" s="576"/>
      <c r="C2231" s="576"/>
      <c r="D2231" s="576"/>
      <c r="E2231" s="576"/>
      <c r="G2231" s="1021" t="s">
        <v>288</v>
      </c>
      <c r="H2231" s="1022"/>
      <c r="I2231" s="1023"/>
      <c r="J2231" s="213">
        <f>VLOOKUP(B2214,'[1]Mil Cost Premiums for PUCs'!$A$4:$R$278,18,FALSE)</f>
        <v>1.3319480854780448</v>
      </c>
      <c r="K2231" s="55">
        <f>+K2230*J2231</f>
        <v>168.9762964190698</v>
      </c>
      <c r="L2231" s="47" t="s">
        <v>35</v>
      </c>
      <c r="M2231" s="25"/>
      <c r="N2231" s="306"/>
      <c r="O2231" s="144"/>
      <c r="P2231" s="306"/>
      <c r="Q2231" s="306"/>
      <c r="R2231" s="306"/>
      <c r="S2231" s="582"/>
      <c r="T2231" s="41"/>
    </row>
    <row r="2232" spans="1:22" ht="30" customHeight="1" x14ac:dyDescent="0.45">
      <c r="A2232" s="531"/>
      <c r="B2232" s="531"/>
      <c r="C2232" s="538"/>
      <c r="D2232" s="538"/>
      <c r="E2232" s="552"/>
      <c r="F2232" s="1024" t="s">
        <v>581</v>
      </c>
      <c r="G2232" s="1024"/>
      <c r="H2232" s="1024"/>
      <c r="I2232" s="1024"/>
      <c r="J2232" s="543">
        <v>1.0833999999999999</v>
      </c>
      <c r="K2232" s="363">
        <f>K2231*J2232</f>
        <v>183.06891954042021</v>
      </c>
      <c r="L2232" s="225" t="s">
        <v>35</v>
      </c>
      <c r="M2232" s="84"/>
      <c r="S2232" s="41"/>
      <c r="T2232" s="41"/>
    </row>
    <row r="2233" spans="1:22" ht="30" customHeight="1" x14ac:dyDescent="0.45">
      <c r="A2233" s="225"/>
      <c r="B2233" s="225"/>
      <c r="C2233" s="150"/>
      <c r="D2233" s="150"/>
      <c r="E2233" s="150"/>
      <c r="F2233" s="150"/>
      <c r="G2233" s="1025" t="s">
        <v>299</v>
      </c>
      <c r="H2233" s="1026"/>
      <c r="I2233" s="1027"/>
      <c r="J2233" s="226">
        <v>1.1214</v>
      </c>
      <c r="K2233" s="227">
        <f>+K2232*J2233</f>
        <v>205.29348637262723</v>
      </c>
      <c r="L2233" s="225" t="s">
        <v>35</v>
      </c>
      <c r="M2233" s="25"/>
    </row>
    <row r="2234" spans="1:22" ht="68.099999999999994" customHeight="1" x14ac:dyDescent="0.45">
      <c r="A2234" s="1181" t="s">
        <v>366</v>
      </c>
      <c r="B2234" s="1182"/>
      <c r="C2234" s="1182"/>
      <c r="D2234" s="1182"/>
      <c r="E2234" s="1182"/>
      <c r="F2234" s="1182"/>
      <c r="G2234" s="1182"/>
      <c r="H2234" s="1182"/>
      <c r="I2234" s="1182"/>
      <c r="J2234" s="1182"/>
      <c r="K2234" s="1182"/>
      <c r="L2234" s="1183"/>
      <c r="M2234" s="25"/>
      <c r="S2234" s="41"/>
      <c r="T2234" s="41"/>
    </row>
    <row r="2235" spans="1:22" ht="75" customHeight="1" x14ac:dyDescent="0.45">
      <c r="A2235" s="1142" t="s">
        <v>367</v>
      </c>
      <c r="B2235" s="1117"/>
      <c r="C2235" s="1118"/>
      <c r="D2235" s="1181" t="s">
        <v>1343</v>
      </c>
      <c r="E2235" s="1182"/>
      <c r="F2235" s="1182"/>
      <c r="G2235" s="1182"/>
      <c r="H2235" s="1182"/>
      <c r="I2235" s="1182"/>
      <c r="J2235" s="1182"/>
      <c r="K2235" s="1182"/>
      <c r="L2235" s="1183"/>
      <c r="M2235" s="25"/>
      <c r="S2235" s="41"/>
      <c r="T2235" s="41"/>
    </row>
    <row r="2236" spans="1:22" ht="30" customHeight="1" x14ac:dyDescent="0.45">
      <c r="A2236" s="1142" t="s">
        <v>369</v>
      </c>
      <c r="B2236" s="1117"/>
      <c r="C2236" s="1118"/>
      <c r="D2236" s="1181" t="s">
        <v>1344</v>
      </c>
      <c r="E2236" s="1182"/>
      <c r="F2236" s="1182"/>
      <c r="G2236" s="1182"/>
      <c r="H2236" s="1182"/>
      <c r="I2236" s="1182"/>
      <c r="J2236" s="1182"/>
      <c r="K2236" s="1182"/>
      <c r="L2236" s="1183"/>
      <c r="M2236" s="25"/>
      <c r="S2236" s="41"/>
      <c r="T2236" s="41"/>
    </row>
    <row r="2237" spans="1:22" ht="30" customHeight="1" x14ac:dyDescent="0.45">
      <c r="A2237" s="1142" t="s">
        <v>371</v>
      </c>
      <c r="B2237" s="1117"/>
      <c r="C2237" s="1118"/>
      <c r="D2237" s="1181" t="s">
        <v>1345</v>
      </c>
      <c r="E2237" s="1182"/>
      <c r="F2237" s="1182"/>
      <c r="G2237" s="1182"/>
      <c r="H2237" s="1182"/>
      <c r="I2237" s="1182"/>
      <c r="J2237" s="1182"/>
      <c r="K2237" s="1182"/>
      <c r="L2237" s="1183"/>
      <c r="M2237" s="25"/>
    </row>
    <row r="2238" spans="1:22" ht="30" customHeight="1" x14ac:dyDescent="0.45">
      <c r="A2238" s="1142" t="s">
        <v>373</v>
      </c>
      <c r="B2238" s="1117"/>
      <c r="C2238" s="1118"/>
      <c r="D2238" s="1181" t="s">
        <v>1346</v>
      </c>
      <c r="E2238" s="1182"/>
      <c r="F2238" s="1182"/>
      <c r="G2238" s="1182"/>
      <c r="H2238" s="1182"/>
      <c r="I2238" s="1182"/>
      <c r="J2238" s="1182"/>
      <c r="K2238" s="1182"/>
      <c r="L2238" s="1183"/>
      <c r="M2238" s="25"/>
      <c r="S2238" s="41"/>
      <c r="T2238" s="41"/>
    </row>
    <row r="2239" spans="1:22" ht="30" customHeight="1" x14ac:dyDescent="0.45">
      <c r="A2239" s="1142" t="s">
        <v>375</v>
      </c>
      <c r="B2239" s="1117"/>
      <c r="C2239" s="1118"/>
      <c r="D2239" s="1181" t="s">
        <v>1347</v>
      </c>
      <c r="E2239" s="1182"/>
      <c r="F2239" s="1182"/>
      <c r="G2239" s="1182"/>
      <c r="H2239" s="1182"/>
      <c r="I2239" s="1182"/>
      <c r="J2239" s="1182"/>
      <c r="K2239" s="1182"/>
      <c r="L2239" s="1183"/>
      <c r="M2239" s="25"/>
      <c r="S2239" s="41"/>
      <c r="T2239" s="41"/>
    </row>
    <row r="2240" spans="1:22" ht="75" customHeight="1" x14ac:dyDescent="0.45">
      <c r="A2240" s="1142" t="s">
        <v>377</v>
      </c>
      <c r="B2240" s="1117"/>
      <c r="C2240" s="1118"/>
      <c r="D2240" s="1181" t="s">
        <v>1348</v>
      </c>
      <c r="E2240" s="1182"/>
      <c r="F2240" s="1182"/>
      <c r="G2240" s="1182"/>
      <c r="H2240" s="1182"/>
      <c r="I2240" s="1182"/>
      <c r="J2240" s="1182"/>
      <c r="K2240" s="1182"/>
      <c r="L2240" s="1183"/>
      <c r="M2240" s="25"/>
      <c r="S2240" s="41"/>
      <c r="T2240" s="41"/>
    </row>
    <row r="2241" spans="1:22" ht="30" customHeight="1" x14ac:dyDescent="0.45">
      <c r="A2241" s="1142" t="s">
        <v>379</v>
      </c>
      <c r="B2241" s="1117"/>
      <c r="C2241" s="1118"/>
      <c r="D2241" s="1181" t="s">
        <v>1075</v>
      </c>
      <c r="E2241" s="1182"/>
      <c r="F2241" s="1182"/>
      <c r="G2241" s="1182"/>
      <c r="H2241" s="1182"/>
      <c r="I2241" s="1182"/>
      <c r="J2241" s="1182"/>
      <c r="K2241" s="1182"/>
      <c r="L2241" s="1183"/>
      <c r="M2241" s="84"/>
    </row>
    <row r="2242" spans="1:22" ht="30" customHeight="1" x14ac:dyDescent="0.45">
      <c r="A2242" s="1142" t="s">
        <v>381</v>
      </c>
      <c r="B2242" s="1117"/>
      <c r="C2242" s="1118"/>
      <c r="D2242" s="1181" t="s">
        <v>382</v>
      </c>
      <c r="E2242" s="1182"/>
      <c r="F2242" s="1182"/>
      <c r="G2242" s="1182"/>
      <c r="H2242" s="1182"/>
      <c r="I2242" s="1182"/>
      <c r="J2242" s="1182"/>
      <c r="K2242" s="1182"/>
      <c r="L2242" s="1183"/>
      <c r="M2242" s="25"/>
      <c r="S2242" s="41"/>
      <c r="T2242" s="41"/>
    </row>
    <row r="2243" spans="1:22" ht="75" customHeight="1" thickBot="1" x14ac:dyDescent="0.5">
      <c r="A2243" s="1142" t="s">
        <v>513</v>
      </c>
      <c r="B2243" s="1117"/>
      <c r="C2243" s="1118"/>
      <c r="D2243" s="1187" t="s">
        <v>1349</v>
      </c>
      <c r="E2243" s="1188"/>
      <c r="F2243" s="1188"/>
      <c r="G2243" s="1188"/>
      <c r="H2243" s="1188"/>
      <c r="I2243" s="1188"/>
      <c r="J2243" s="1188"/>
      <c r="K2243" s="1188"/>
      <c r="L2243" s="1189"/>
      <c r="M2243" s="25"/>
      <c r="S2243" s="41"/>
      <c r="T2243" s="41"/>
    </row>
    <row r="2244" spans="1:22" ht="30" customHeight="1" thickBot="1" x14ac:dyDescent="0.5">
      <c r="A2244" s="999"/>
      <c r="B2244" s="1000"/>
      <c r="C2244" s="1000"/>
      <c r="D2244" s="1000"/>
      <c r="E2244" s="1000"/>
      <c r="F2244" s="1000"/>
      <c r="G2244" s="1000"/>
      <c r="H2244" s="1000"/>
      <c r="I2244" s="1000"/>
      <c r="J2244" s="1000"/>
      <c r="K2244" s="1000"/>
      <c r="L2244" s="1001"/>
      <c r="M2244" s="25"/>
      <c r="S2244" s="41"/>
      <c r="T2244" s="41"/>
    </row>
    <row r="2245" spans="1:22" ht="30" customHeight="1" x14ac:dyDescent="0.45">
      <c r="A2245" s="9" t="s">
        <v>4</v>
      </c>
      <c r="B2245" s="10">
        <v>3211</v>
      </c>
      <c r="C2245" s="1138" t="s">
        <v>1350</v>
      </c>
      <c r="D2245" s="1139"/>
      <c r="E2245" s="13" t="s">
        <v>7</v>
      </c>
      <c r="F2245" s="14" t="s">
        <v>35</v>
      </c>
      <c r="G2245" s="11" t="s">
        <v>6</v>
      </c>
      <c r="H2245" s="184">
        <v>14691</v>
      </c>
      <c r="I2245" s="13" t="s">
        <v>9</v>
      </c>
      <c r="J2245" s="985" t="s">
        <v>1351</v>
      </c>
      <c r="K2245" s="985"/>
      <c r="L2245" s="986"/>
      <c r="M2245" s="121"/>
    </row>
    <row r="2246" spans="1:22" ht="30" customHeight="1" x14ac:dyDescent="0.45">
      <c r="A2246" s="19"/>
      <c r="B2246" s="1005" t="s">
        <v>12</v>
      </c>
      <c r="C2246" s="1005"/>
      <c r="D2246" s="1005"/>
      <c r="E2246" s="19" t="s">
        <v>13</v>
      </c>
      <c r="F2246" s="19" t="s">
        <v>14</v>
      </c>
      <c r="G2246" s="990" t="s">
        <v>15</v>
      </c>
      <c r="H2246" s="991"/>
      <c r="I2246" s="19" t="s">
        <v>59</v>
      </c>
      <c r="J2246" s="19" t="s">
        <v>60</v>
      </c>
      <c r="K2246" s="992" t="s">
        <v>39</v>
      </c>
      <c r="L2246" s="993"/>
      <c r="M2246" s="25"/>
      <c r="S2246" s="41"/>
      <c r="T2246" s="41"/>
    </row>
    <row r="2247" spans="1:22" ht="30" customHeight="1" thickBot="1" x14ac:dyDescent="0.5">
      <c r="A2247" s="38"/>
      <c r="B2247" s="1203" t="s">
        <v>1352</v>
      </c>
      <c r="C2247" s="1203"/>
      <c r="D2247" s="1203"/>
      <c r="E2247" s="350">
        <f>+K2005</f>
        <v>524.01654004479087</v>
      </c>
      <c r="F2247" s="105"/>
      <c r="G2247" s="1084"/>
      <c r="H2247" s="1085"/>
      <c r="I2247" s="105"/>
      <c r="J2247" s="106" t="s">
        <v>676</v>
      </c>
      <c r="K2247" s="108">
        <f>E2247</f>
        <v>524.01654004479087</v>
      </c>
      <c r="L2247" s="105" t="s">
        <v>35</v>
      </c>
      <c r="M2247" s="25"/>
      <c r="S2247" s="41"/>
      <c r="T2247" s="41"/>
    </row>
    <row r="2248" spans="1:22" ht="30" customHeight="1" thickBot="1" x14ac:dyDescent="0.5">
      <c r="A2248" s="999"/>
      <c r="B2248" s="1000"/>
      <c r="C2248" s="1000"/>
      <c r="D2248" s="1000"/>
      <c r="E2248" s="1000"/>
      <c r="F2248" s="1000"/>
      <c r="G2248" s="1000"/>
      <c r="H2248" s="1000"/>
      <c r="I2248" s="1000"/>
      <c r="J2248" s="1000"/>
      <c r="K2248" s="1000"/>
      <c r="L2248" s="1001"/>
      <c r="M2248" s="25"/>
      <c r="S2248" s="41"/>
      <c r="T2248" s="41"/>
    </row>
    <row r="2249" spans="1:22" ht="30" customHeight="1" x14ac:dyDescent="0.45">
      <c r="A2249" s="9" t="s">
        <v>4</v>
      </c>
      <c r="B2249" s="10">
        <v>3711</v>
      </c>
      <c r="C2249" s="1138" t="s">
        <v>1353</v>
      </c>
      <c r="D2249" s="1139"/>
      <c r="E2249" s="13" t="s">
        <v>7</v>
      </c>
      <c r="F2249" s="14" t="s">
        <v>35</v>
      </c>
      <c r="G2249" s="11" t="s">
        <v>6</v>
      </c>
      <c r="H2249" s="184">
        <v>3167.080125</v>
      </c>
      <c r="I2249" s="13" t="s">
        <v>9</v>
      </c>
      <c r="J2249" s="985" t="s">
        <v>10</v>
      </c>
      <c r="K2249" s="985"/>
      <c r="L2249" s="986"/>
      <c r="M2249" s="25"/>
      <c r="S2249" s="90"/>
      <c r="T2249" s="90"/>
    </row>
    <row r="2250" spans="1:22" ht="30" customHeight="1" x14ac:dyDescent="0.45">
      <c r="A2250" s="19" t="s">
        <v>11</v>
      </c>
      <c r="B2250" s="1005" t="s">
        <v>12</v>
      </c>
      <c r="C2250" s="1005"/>
      <c r="D2250" s="1005"/>
      <c r="E2250" s="20" t="s">
        <v>13</v>
      </c>
      <c r="F2250" s="19" t="s">
        <v>267</v>
      </c>
      <c r="G2250" s="1114"/>
      <c r="H2250" s="1115"/>
      <c r="I2250" s="1068" t="s">
        <v>16</v>
      </c>
      <c r="J2250" s="1069"/>
      <c r="K2250" s="992" t="s">
        <v>17</v>
      </c>
      <c r="L2250" s="993"/>
      <c r="M2250" s="25"/>
      <c r="N2250" s="26"/>
      <c r="U2250" s="41"/>
      <c r="V2250" s="41"/>
    </row>
    <row r="2251" spans="1:22" ht="30" customHeight="1" x14ac:dyDescent="0.45">
      <c r="A2251" s="47">
        <v>17123</v>
      </c>
      <c r="B2251" s="1018" t="s">
        <v>1354</v>
      </c>
      <c r="C2251" s="1019"/>
      <c r="D2251" s="1020"/>
      <c r="E2251" s="445">
        <v>481</v>
      </c>
      <c r="F2251" s="584">
        <v>800</v>
      </c>
      <c r="G2251" s="203"/>
      <c r="H2251" s="203"/>
      <c r="I2251" s="1084">
        <f>+'[1]2023 MILCON Inflation Table'!F22</f>
        <v>0.93771935922451721</v>
      </c>
      <c r="J2251" s="1085"/>
      <c r="K2251" s="393">
        <f>+I2251*E2251</f>
        <v>451.04301178699279</v>
      </c>
      <c r="L2251" s="29" t="s">
        <v>35</v>
      </c>
      <c r="M2251" s="25"/>
      <c r="N2251" s="26"/>
      <c r="T2251" s="41"/>
    </row>
    <row r="2252" spans="1:22" ht="30" customHeight="1" x14ac:dyDescent="0.45">
      <c r="A2252" s="47">
        <v>17213</v>
      </c>
      <c r="B2252" s="1018" t="s">
        <v>1355</v>
      </c>
      <c r="C2252" s="1019"/>
      <c r="D2252" s="1020"/>
      <c r="E2252" s="445">
        <v>616</v>
      </c>
      <c r="F2252" s="584">
        <v>46000</v>
      </c>
      <c r="G2252" s="303"/>
      <c r="H2252" s="292"/>
      <c r="I2252" s="1084">
        <f>+'[1]2023 MILCON Inflation Table'!F22</f>
        <v>0.93771935922451721</v>
      </c>
      <c r="J2252" s="1085"/>
      <c r="K2252" s="393">
        <f>+I2252*E2252</f>
        <v>577.63512528230262</v>
      </c>
      <c r="L2252" s="29" t="s">
        <v>35</v>
      </c>
      <c r="M2252" s="25"/>
      <c r="S2252" s="41"/>
      <c r="T2252" s="41"/>
    </row>
    <row r="2253" spans="1:22" ht="30" customHeight="1" x14ac:dyDescent="0.45">
      <c r="A2253" s="47"/>
      <c r="B2253" s="204"/>
      <c r="C2253" s="205"/>
      <c r="D2253" s="206"/>
      <c r="E2253" s="585"/>
      <c r="F2253" s="586"/>
      <c r="G2253" s="303"/>
      <c r="H2253" s="292"/>
      <c r="I2253" s="587"/>
      <c r="J2253" s="588" t="s">
        <v>56</v>
      </c>
      <c r="K2253" s="393">
        <f>AVERAGE(K2251:K2252)</f>
        <v>514.33906853464771</v>
      </c>
      <c r="L2253" s="29" t="s">
        <v>35</v>
      </c>
      <c r="M2253" s="25"/>
      <c r="S2253" s="41"/>
      <c r="T2253" s="41"/>
    </row>
    <row r="2254" spans="1:22" ht="30" customHeight="1" thickBot="1" x14ac:dyDescent="0.5">
      <c r="A2254" s="224"/>
      <c r="B2254" s="1008"/>
      <c r="C2254" s="1009"/>
      <c r="D2254" s="1010"/>
      <c r="E2254" s="137"/>
      <c r="F2254" s="589"/>
      <c r="G2254" s="137"/>
      <c r="H2254" s="138"/>
      <c r="I2254" s="224"/>
      <c r="J2254" s="85" t="s">
        <v>39</v>
      </c>
      <c r="K2254" s="393">
        <f>+K2253</f>
        <v>514.33906853464771</v>
      </c>
      <c r="L2254" s="29" t="s">
        <v>35</v>
      </c>
      <c r="M2254" s="84"/>
      <c r="N2254" s="131"/>
      <c r="S2254" s="41"/>
      <c r="T2254" s="41"/>
    </row>
    <row r="2255" spans="1:22" ht="30" customHeight="1" thickBot="1" x14ac:dyDescent="0.5">
      <c r="A2255" s="999"/>
      <c r="B2255" s="1000"/>
      <c r="C2255" s="1000"/>
      <c r="D2255" s="1000"/>
      <c r="E2255" s="1000"/>
      <c r="F2255" s="1000"/>
      <c r="G2255" s="1000"/>
      <c r="H2255" s="1000"/>
      <c r="I2255" s="1000"/>
      <c r="J2255" s="1000"/>
      <c r="K2255" s="1000"/>
      <c r="L2255" s="1001"/>
      <c r="M2255" s="25"/>
      <c r="N2255" s="131"/>
      <c r="S2255" s="41"/>
      <c r="T2255" s="41"/>
    </row>
    <row r="2256" spans="1:22" ht="30" customHeight="1" x14ac:dyDescent="0.45">
      <c r="A2256" s="9" t="s">
        <v>4</v>
      </c>
      <c r="B2256" s="10">
        <v>3712</v>
      </c>
      <c r="C2256" s="1138" t="s">
        <v>1356</v>
      </c>
      <c r="D2256" s="1139"/>
      <c r="E2256" s="13" t="s">
        <v>7</v>
      </c>
      <c r="F2256" s="14" t="s">
        <v>88</v>
      </c>
      <c r="G2256" s="173" t="s">
        <v>148</v>
      </c>
      <c r="H2256" s="184">
        <v>1</v>
      </c>
      <c r="I2256" s="13" t="s">
        <v>9</v>
      </c>
      <c r="J2256" s="985" t="s">
        <v>526</v>
      </c>
      <c r="K2256" s="985"/>
      <c r="L2256" s="986"/>
      <c r="M2256" s="121"/>
      <c r="N2256" s="131"/>
      <c r="S2256" s="41"/>
      <c r="T2256" s="41"/>
    </row>
    <row r="2257" spans="1:24" ht="30" customHeight="1" x14ac:dyDescent="0.45">
      <c r="A2257" s="19" t="s">
        <v>11</v>
      </c>
      <c r="B2257" s="1005" t="s">
        <v>12</v>
      </c>
      <c r="C2257" s="1005"/>
      <c r="D2257" s="1005"/>
      <c r="E2257" s="20" t="s">
        <v>13</v>
      </c>
      <c r="F2257" s="19" t="s">
        <v>267</v>
      </c>
      <c r="G2257" s="1114" t="s">
        <v>79</v>
      </c>
      <c r="H2257" s="1115"/>
      <c r="I2257" s="1068" t="s">
        <v>16</v>
      </c>
      <c r="J2257" s="1069"/>
      <c r="K2257" s="992" t="s">
        <v>17</v>
      </c>
      <c r="L2257" s="993"/>
      <c r="M2257" s="25"/>
      <c r="S2257" s="41"/>
      <c r="T2257" s="41"/>
    </row>
    <row r="2258" spans="1:24" ht="30" customHeight="1" x14ac:dyDescent="0.45">
      <c r="A2258" s="47">
        <v>62010</v>
      </c>
      <c r="B2258" s="994" t="s">
        <v>664</v>
      </c>
      <c r="C2258" s="994"/>
      <c r="D2258" s="994"/>
      <c r="E2258" s="445">
        <v>235</v>
      </c>
      <c r="F2258" s="446">
        <v>230</v>
      </c>
      <c r="G2258" s="47" t="s">
        <v>35</v>
      </c>
      <c r="H2258" s="590"/>
      <c r="I2258" s="1090">
        <f>+'[1]2023 MILCON Inflation Table'!F8</f>
        <v>1.6732905027856291</v>
      </c>
      <c r="J2258" s="1091"/>
      <c r="K2258" s="393">
        <f>+E2258*F2258*I2258</f>
        <v>90441.351675563244</v>
      </c>
      <c r="L2258" s="29" t="s">
        <v>88</v>
      </c>
      <c r="M2258" s="84"/>
      <c r="S2258" s="41"/>
      <c r="T2258" s="41"/>
    </row>
    <row r="2259" spans="1:24" ht="30" customHeight="1" x14ac:dyDescent="0.45">
      <c r="A2259" s="47">
        <v>17971</v>
      </c>
      <c r="B2259" s="1018" t="s">
        <v>1357</v>
      </c>
      <c r="C2259" s="1019"/>
      <c r="D2259" s="1020"/>
      <c r="E2259" s="591">
        <v>882949</v>
      </c>
      <c r="F2259" s="592">
        <v>1</v>
      </c>
      <c r="G2259" s="29" t="s">
        <v>88</v>
      </c>
      <c r="H2259" s="29"/>
      <c r="I2259" s="1084">
        <f>+'[1]2023 MILCON Inflation Table'!F22</f>
        <v>0.93771935922451721</v>
      </c>
      <c r="J2259" s="1085"/>
      <c r="K2259" s="393">
        <f>+E2259*I2259</f>
        <v>827958.37050792819</v>
      </c>
      <c r="L2259" s="29" t="s">
        <v>88</v>
      </c>
      <c r="M2259" s="25"/>
      <c r="N2259" s="229"/>
      <c r="O2259" s="5"/>
      <c r="P2259" s="18"/>
      <c r="Q2259" s="18"/>
      <c r="R2259" s="18"/>
      <c r="S2259" s="18"/>
      <c r="T2259" s="41"/>
    </row>
    <row r="2260" spans="1:24" ht="30" customHeight="1" x14ac:dyDescent="0.45">
      <c r="A2260" s="47" t="s">
        <v>1358</v>
      </c>
      <c r="B2260" s="1018" t="s">
        <v>1359</v>
      </c>
      <c r="C2260" s="1019"/>
      <c r="D2260" s="1020"/>
      <c r="E2260" s="445">
        <f>K316</f>
        <v>40536.645089085723</v>
      </c>
      <c r="F2260" s="394">
        <v>1</v>
      </c>
      <c r="G2260" s="47" t="s">
        <v>88</v>
      </c>
      <c r="H2260" s="29"/>
      <c r="I2260" s="1090"/>
      <c r="J2260" s="1091"/>
      <c r="K2260" s="445">
        <f>+E2260</f>
        <v>40536.645089085723</v>
      </c>
      <c r="L2260" s="29" t="s">
        <v>88</v>
      </c>
      <c r="M2260" s="25"/>
    </row>
    <row r="2261" spans="1:24" ht="30" customHeight="1" x14ac:dyDescent="0.45">
      <c r="A2261" s="47"/>
      <c r="B2261" s="1135"/>
      <c r="C2261" s="1136"/>
      <c r="D2261" s="1137"/>
      <c r="E2261" s="353"/>
      <c r="F2261" s="434"/>
      <c r="G2261" s="356"/>
      <c r="H2261" s="167"/>
      <c r="I2261" s="593"/>
      <c r="J2261" s="392" t="s">
        <v>38</v>
      </c>
      <c r="K2261" s="393">
        <f>SUM(K2258:K2260)</f>
        <v>958936.36727257713</v>
      </c>
      <c r="L2261" s="29" t="s">
        <v>88</v>
      </c>
      <c r="M2261" s="25"/>
      <c r="U2261" s="18"/>
      <c r="V2261" s="18"/>
      <c r="W2261" s="18"/>
      <c r="X2261" s="18"/>
    </row>
    <row r="2262" spans="1:24" s="18" customFormat="1" ht="30" customHeight="1" thickBot="1" x14ac:dyDescent="0.5">
      <c r="A2262" s="47"/>
      <c r="B2262" s="1008"/>
      <c r="C2262" s="1009"/>
      <c r="D2262" s="1010"/>
      <c r="E2262" s="161"/>
      <c r="F2262" s="415"/>
      <c r="G2262" s="161"/>
      <c r="H2262" s="389"/>
      <c r="I2262" s="379"/>
      <c r="J2262" s="85" t="s">
        <v>39</v>
      </c>
      <c r="K2262" s="393">
        <f>+K2261</f>
        <v>958936.36727257713</v>
      </c>
      <c r="L2262" s="29" t="s">
        <v>88</v>
      </c>
      <c r="N2262" s="2"/>
      <c r="O2262" s="3"/>
      <c r="P2262" s="2"/>
      <c r="Q2262" s="2"/>
      <c r="R2262" s="2"/>
      <c r="S2262" s="41"/>
      <c r="T2262" s="90"/>
      <c r="U2262" s="2"/>
      <c r="V2262" s="2"/>
      <c r="W2262" s="2"/>
      <c r="X2262" s="2"/>
    </row>
    <row r="2263" spans="1:24" ht="30" customHeight="1" thickBot="1" x14ac:dyDescent="0.5">
      <c r="A2263" s="999"/>
      <c r="B2263" s="1000"/>
      <c r="C2263" s="1000"/>
      <c r="D2263" s="1000"/>
      <c r="E2263" s="1000"/>
      <c r="F2263" s="1000"/>
      <c r="G2263" s="1000"/>
      <c r="H2263" s="1000"/>
      <c r="I2263" s="1000"/>
      <c r="J2263" s="1000"/>
      <c r="K2263" s="1000"/>
      <c r="L2263" s="1001"/>
      <c r="M2263" s="84"/>
      <c r="S2263" s="90"/>
      <c r="T2263" s="41"/>
    </row>
    <row r="2264" spans="1:24" ht="30" customHeight="1" x14ac:dyDescent="0.45">
      <c r="A2264" s="9" t="s">
        <v>4</v>
      </c>
      <c r="B2264" s="10">
        <v>3713</v>
      </c>
      <c r="C2264" s="1138" t="s">
        <v>1360</v>
      </c>
      <c r="D2264" s="1139"/>
      <c r="E2264" s="13" t="s">
        <v>7</v>
      </c>
      <c r="F2264" s="14" t="s">
        <v>88</v>
      </c>
      <c r="G2264" s="173" t="s">
        <v>148</v>
      </c>
      <c r="H2264" s="184">
        <v>1</v>
      </c>
      <c r="I2264" s="13" t="s">
        <v>9</v>
      </c>
      <c r="J2264" s="985" t="s">
        <v>526</v>
      </c>
      <c r="K2264" s="985"/>
      <c r="L2264" s="986"/>
      <c r="M2264" s="25"/>
      <c r="S2264" s="41"/>
    </row>
    <row r="2265" spans="1:24" ht="30" customHeight="1" x14ac:dyDescent="0.45">
      <c r="A2265" s="19" t="s">
        <v>11</v>
      </c>
      <c r="B2265" s="1005" t="s">
        <v>12</v>
      </c>
      <c r="C2265" s="1005"/>
      <c r="D2265" s="1005"/>
      <c r="E2265" s="20" t="s">
        <v>13</v>
      </c>
      <c r="F2265" s="19" t="s">
        <v>267</v>
      </c>
      <c r="G2265" s="1114" t="s">
        <v>79</v>
      </c>
      <c r="H2265" s="1115"/>
      <c r="I2265" s="1068" t="s">
        <v>16</v>
      </c>
      <c r="J2265" s="1069"/>
      <c r="K2265" s="992" t="s">
        <v>17</v>
      </c>
      <c r="L2265" s="993"/>
      <c r="M2265" s="25"/>
      <c r="N2265" s="26"/>
      <c r="O2265" s="2"/>
      <c r="P2265" s="27"/>
      <c r="Q2265" s="26"/>
      <c r="R2265" s="28"/>
    </row>
    <row r="2266" spans="1:24" ht="30" customHeight="1" x14ac:dyDescent="0.45">
      <c r="A2266" s="47">
        <v>17123</v>
      </c>
      <c r="B2266" s="1018" t="s">
        <v>1361</v>
      </c>
      <c r="C2266" s="1019"/>
      <c r="D2266" s="1020"/>
      <c r="E2266" s="591">
        <v>207</v>
      </c>
      <c r="F2266" s="592">
        <v>2576</v>
      </c>
      <c r="G2266" s="29" t="s">
        <v>35</v>
      </c>
      <c r="H2266" s="29"/>
      <c r="I2266" s="1090">
        <f>+'[1]2023 MILCON Inflation Table'!F10</f>
        <v>1.5845473099763927</v>
      </c>
      <c r="J2266" s="1091"/>
      <c r="K2266" s="393">
        <f>+E2266*F2266*I2266</f>
        <v>844931.33119333186</v>
      </c>
      <c r="L2266" s="29" t="s">
        <v>88</v>
      </c>
      <c r="M2266" s="84"/>
      <c r="N2266" s="26"/>
      <c r="O2266" s="2"/>
      <c r="P2266" s="27"/>
      <c r="Q2266" s="26"/>
      <c r="R2266" s="28"/>
    </row>
    <row r="2267" spans="1:24" ht="30" customHeight="1" x14ac:dyDescent="0.45">
      <c r="A2267" s="47">
        <v>62010</v>
      </c>
      <c r="B2267" s="994" t="s">
        <v>1362</v>
      </c>
      <c r="C2267" s="994"/>
      <c r="D2267" s="994"/>
      <c r="E2267" s="591">
        <v>235</v>
      </c>
      <c r="F2267" s="594">
        <v>230</v>
      </c>
      <c r="G2267" s="29" t="s">
        <v>35</v>
      </c>
      <c r="H2267" s="590"/>
      <c r="I2267" s="1090">
        <f>+'[1]2023 MILCON Inflation Table'!F8</f>
        <v>1.6732905027856291</v>
      </c>
      <c r="J2267" s="1091"/>
      <c r="K2267" s="393">
        <f>+E2267*F2267*I2267</f>
        <v>90441.351675563244</v>
      </c>
      <c r="L2267" s="29" t="s">
        <v>88</v>
      </c>
      <c r="M2267" s="25"/>
      <c r="N2267" s="26"/>
      <c r="O2267" s="2"/>
      <c r="P2267" s="27"/>
      <c r="Q2267" s="26"/>
      <c r="R2267" s="28"/>
    </row>
    <row r="2268" spans="1:24" ht="30" customHeight="1" x14ac:dyDescent="0.45">
      <c r="A2268" s="47">
        <v>17971</v>
      </c>
      <c r="B2268" s="1018" t="s">
        <v>1357</v>
      </c>
      <c r="C2268" s="1019"/>
      <c r="D2268" s="1020"/>
      <c r="E2268" s="591">
        <v>882949</v>
      </c>
      <c r="F2268" s="592">
        <v>1</v>
      </c>
      <c r="G2268" s="29" t="s">
        <v>88</v>
      </c>
      <c r="H2268" s="29"/>
      <c r="I2268" s="1084">
        <f>+'[1]2023 MILCON Inflation Table'!F22</f>
        <v>0.93771935922451721</v>
      </c>
      <c r="J2268" s="1085"/>
      <c r="K2268" s="393">
        <f>+E2268*I2268</f>
        <v>827958.37050792819</v>
      </c>
      <c r="L2268" s="29" t="s">
        <v>88</v>
      </c>
      <c r="M2268" s="121"/>
      <c r="N2268" s="26"/>
      <c r="O2268" s="2"/>
      <c r="P2268" s="27"/>
      <c r="Q2268" s="26"/>
      <c r="R2268" s="28"/>
    </row>
    <row r="2269" spans="1:24" ht="30" customHeight="1" x14ac:dyDescent="0.45">
      <c r="A2269" s="47">
        <v>85110</v>
      </c>
      <c r="B2269" s="1092" t="s">
        <v>1363</v>
      </c>
      <c r="C2269" s="1092"/>
      <c r="D2269" s="1092"/>
      <c r="E2269" s="591">
        <v>148.53</v>
      </c>
      <c r="F2269" s="592">
        <v>147</v>
      </c>
      <c r="G2269" s="29" t="s">
        <v>8</v>
      </c>
      <c r="H2269" s="29"/>
      <c r="I2269" s="1084">
        <f>+'[1]2023 MILCON Inflation Table'!F22</f>
        <v>0.93771935922451721</v>
      </c>
      <c r="J2269" s="1085"/>
      <c r="K2269" s="393">
        <f>+E2269*F2269*I2269</f>
        <v>20474.080094565779</v>
      </c>
      <c r="L2269" s="29" t="s">
        <v>88</v>
      </c>
      <c r="M2269" s="25"/>
      <c r="N2269" s="26"/>
      <c r="O2269" s="2"/>
      <c r="P2269" s="27"/>
      <c r="Q2269" s="26"/>
      <c r="R2269" s="28"/>
    </row>
    <row r="2270" spans="1:24" ht="30" customHeight="1" x14ac:dyDescent="0.45">
      <c r="A2270" s="47" t="s">
        <v>1358</v>
      </c>
      <c r="B2270" s="1092" t="s">
        <v>1364</v>
      </c>
      <c r="C2270" s="1092"/>
      <c r="D2270" s="1092"/>
      <c r="E2270" s="591">
        <f>+K316</f>
        <v>40536.645089085723</v>
      </c>
      <c r="F2270" s="592">
        <v>1</v>
      </c>
      <c r="G2270" s="29" t="s">
        <v>88</v>
      </c>
      <c r="H2270" s="29"/>
      <c r="I2270" s="391"/>
      <c r="J2270" s="392"/>
      <c r="K2270" s="445">
        <f>+E2270</f>
        <v>40536.645089085723</v>
      </c>
      <c r="L2270" s="29" t="s">
        <v>88</v>
      </c>
      <c r="M2270" s="25"/>
      <c r="N2270" s="26"/>
      <c r="O2270" s="2"/>
      <c r="P2270" s="27"/>
      <c r="Q2270" s="26"/>
      <c r="R2270" s="28"/>
    </row>
    <row r="2271" spans="1:24" ht="30" customHeight="1" thickBot="1" x14ac:dyDescent="0.5">
      <c r="A2271" s="47"/>
      <c r="B2271" s="1093"/>
      <c r="C2271" s="1094"/>
      <c r="D2271" s="1095"/>
      <c r="E2271" s="161"/>
      <c r="F2271" s="415"/>
      <c r="G2271" s="161"/>
      <c r="H2271" s="389"/>
      <c r="I2271" s="58" t="s">
        <v>38</v>
      </c>
      <c r="J2271" s="85" t="s">
        <v>39</v>
      </c>
      <c r="K2271" s="393">
        <f>SUM(K2266:K2270)</f>
        <v>1824341.7785604747</v>
      </c>
      <c r="L2271" s="29" t="s">
        <v>88</v>
      </c>
      <c r="M2271" s="25"/>
      <c r="N2271" s="26"/>
      <c r="O2271" s="2"/>
      <c r="P2271" s="27"/>
      <c r="Q2271" s="26"/>
      <c r="R2271" s="28"/>
    </row>
    <row r="2272" spans="1:24" ht="30" customHeight="1" thickBot="1" x14ac:dyDescent="0.5">
      <c r="A2272" s="999"/>
      <c r="B2272" s="1000"/>
      <c r="C2272" s="1000"/>
      <c r="D2272" s="1000"/>
      <c r="E2272" s="1000"/>
      <c r="F2272" s="1000"/>
      <c r="G2272" s="1000"/>
      <c r="H2272" s="1000"/>
      <c r="I2272" s="1000"/>
      <c r="J2272" s="1000"/>
      <c r="K2272" s="1000"/>
      <c r="L2272" s="1001"/>
      <c r="N2272" s="26"/>
      <c r="O2272" s="2"/>
      <c r="P2272" s="27"/>
      <c r="Q2272" s="26"/>
      <c r="R2272" s="28"/>
    </row>
    <row r="2273" spans="1:24" ht="30" customHeight="1" x14ac:dyDescent="0.45">
      <c r="A2273" s="9" t="s">
        <v>4</v>
      </c>
      <c r="B2273" s="10">
        <v>3901</v>
      </c>
      <c r="C2273" s="1138" t="s">
        <v>1365</v>
      </c>
      <c r="D2273" s="1139"/>
      <c r="E2273" s="13" t="s">
        <v>7</v>
      </c>
      <c r="F2273" s="14" t="s">
        <v>88</v>
      </c>
      <c r="G2273" s="11" t="s">
        <v>6</v>
      </c>
      <c r="H2273" s="184">
        <v>1</v>
      </c>
      <c r="I2273" s="13" t="s">
        <v>9</v>
      </c>
      <c r="J2273" s="985" t="s">
        <v>1366</v>
      </c>
      <c r="K2273" s="985"/>
      <c r="L2273" s="986"/>
      <c r="N2273" s="26"/>
      <c r="O2273" s="2"/>
      <c r="P2273" s="27"/>
      <c r="Q2273" s="26"/>
      <c r="R2273" s="28"/>
      <c r="T2273" s="1"/>
    </row>
    <row r="2274" spans="1:24" ht="30" customHeight="1" x14ac:dyDescent="0.45">
      <c r="A2274" s="19"/>
      <c r="B2274" s="1005" t="s">
        <v>12</v>
      </c>
      <c r="C2274" s="1005"/>
      <c r="D2274" s="1005"/>
      <c r="E2274" s="19" t="s">
        <v>13</v>
      </c>
      <c r="F2274" s="19" t="s">
        <v>14</v>
      </c>
      <c r="G2274" s="990" t="s">
        <v>15</v>
      </c>
      <c r="H2274" s="991"/>
      <c r="I2274" s="19" t="s">
        <v>59</v>
      </c>
      <c r="J2274" s="19" t="s">
        <v>60</v>
      </c>
      <c r="K2274" s="992" t="s">
        <v>39</v>
      </c>
      <c r="L2274" s="993"/>
      <c r="M2274" s="25"/>
      <c r="N2274" s="26"/>
      <c r="O2274" s="2"/>
      <c r="P2274" s="27"/>
      <c r="Q2274" s="26"/>
      <c r="R2274" s="28"/>
    </row>
    <row r="2275" spans="1:24" ht="30" customHeight="1" thickBot="1" x14ac:dyDescent="0.5">
      <c r="A2275" s="38"/>
      <c r="B2275" s="1203" t="s">
        <v>1367</v>
      </c>
      <c r="C2275" s="1203"/>
      <c r="D2275" s="1203"/>
      <c r="E2275" s="104">
        <f>K2262</f>
        <v>958936.36727257713</v>
      </c>
      <c r="F2275" s="105" t="s">
        <v>88</v>
      </c>
      <c r="G2275" s="1084"/>
      <c r="H2275" s="1085"/>
      <c r="I2275" s="105"/>
      <c r="J2275" s="106" t="s">
        <v>676</v>
      </c>
      <c r="K2275" s="108">
        <f>E2275</f>
        <v>958936.36727257713</v>
      </c>
      <c r="L2275" s="167" t="s">
        <v>88</v>
      </c>
      <c r="M2275" s="25"/>
      <c r="N2275" s="229"/>
      <c r="O2275" s="5"/>
      <c r="P2275" s="18"/>
      <c r="Q2275" s="18"/>
      <c r="R2275" s="18"/>
      <c r="S2275" s="18"/>
      <c r="T2275" s="18"/>
    </row>
    <row r="2276" spans="1:24" ht="30" customHeight="1" thickBot="1" x14ac:dyDescent="0.5">
      <c r="A2276" s="999"/>
      <c r="B2276" s="1000"/>
      <c r="C2276" s="1000"/>
      <c r="D2276" s="1000"/>
      <c r="E2276" s="1000"/>
      <c r="F2276" s="1000"/>
      <c r="G2276" s="1000"/>
      <c r="H2276" s="1000"/>
      <c r="I2276" s="1000"/>
      <c r="J2276" s="1000"/>
      <c r="K2276" s="1000"/>
      <c r="L2276" s="1001"/>
      <c r="M2276" s="25"/>
    </row>
    <row r="2277" spans="1:24" ht="30" customHeight="1" x14ac:dyDescent="0.45">
      <c r="A2277" s="9" t="s">
        <v>4</v>
      </c>
      <c r="B2277" s="10">
        <v>3902</v>
      </c>
      <c r="C2277" s="1138" t="s">
        <v>1368</v>
      </c>
      <c r="D2277" s="1139"/>
      <c r="E2277" s="13" t="s">
        <v>7</v>
      </c>
      <c r="F2277" s="14" t="s">
        <v>672</v>
      </c>
      <c r="G2277" s="11" t="s">
        <v>6</v>
      </c>
      <c r="H2277" s="184">
        <v>16877</v>
      </c>
      <c r="I2277" s="13" t="s">
        <v>9</v>
      </c>
      <c r="J2277" s="985" t="s">
        <v>673</v>
      </c>
      <c r="K2277" s="985"/>
      <c r="L2277" s="986"/>
      <c r="M2277" s="25"/>
      <c r="U2277" s="18"/>
      <c r="V2277" s="18"/>
      <c r="W2277" s="18"/>
      <c r="X2277" s="18"/>
    </row>
    <row r="2278" spans="1:24" s="18" customFormat="1" ht="30" customHeight="1" x14ac:dyDescent="0.45">
      <c r="A2278" s="19"/>
      <c r="B2278" s="1005" t="s">
        <v>12</v>
      </c>
      <c r="C2278" s="1005"/>
      <c r="D2278" s="1005"/>
      <c r="E2278" s="19" t="s">
        <v>13</v>
      </c>
      <c r="F2278" s="19" t="s">
        <v>14</v>
      </c>
      <c r="G2278" s="990" t="s">
        <v>15</v>
      </c>
      <c r="H2278" s="991"/>
      <c r="I2278" s="19" t="s">
        <v>59</v>
      </c>
      <c r="J2278" s="19" t="s">
        <v>60</v>
      </c>
      <c r="K2278" s="992" t="s">
        <v>39</v>
      </c>
      <c r="L2278" s="993"/>
      <c r="M2278" s="25"/>
      <c r="N2278" s="2"/>
      <c r="O2278" s="3"/>
      <c r="P2278" s="2"/>
      <c r="Q2278" s="2"/>
      <c r="R2278" s="2"/>
      <c r="S2278" s="2"/>
      <c r="T2278" s="2"/>
      <c r="U2278" s="2"/>
      <c r="V2278" s="2"/>
      <c r="W2278" s="2"/>
      <c r="X2278" s="2"/>
    </row>
    <row r="2279" spans="1:24" ht="30" customHeight="1" thickBot="1" x14ac:dyDescent="0.5">
      <c r="A2279" s="38"/>
      <c r="B2279" s="1203" t="s">
        <v>676</v>
      </c>
      <c r="C2279" s="1203"/>
      <c r="D2279" s="1203"/>
      <c r="E2279" s="104"/>
      <c r="F2279" s="105"/>
      <c r="G2279" s="1084"/>
      <c r="H2279" s="1085"/>
      <c r="I2279" s="105"/>
      <c r="J2279" s="106" t="s">
        <v>676</v>
      </c>
      <c r="K2279" s="28" t="s">
        <v>676</v>
      </c>
      <c r="L2279" s="167" t="s">
        <v>672</v>
      </c>
      <c r="M2279" s="25"/>
      <c r="U2279" s="18"/>
      <c r="V2279" s="18"/>
      <c r="W2279" s="18"/>
      <c r="X2279" s="18"/>
    </row>
    <row r="2280" spans="1:24" s="18" customFormat="1" ht="30" customHeight="1" thickBot="1" x14ac:dyDescent="0.5">
      <c r="A2280" s="999"/>
      <c r="B2280" s="1000"/>
      <c r="C2280" s="1000"/>
      <c r="D2280" s="1000"/>
      <c r="E2280" s="1000"/>
      <c r="F2280" s="1000"/>
      <c r="G2280" s="1000"/>
      <c r="H2280" s="1000"/>
      <c r="I2280" s="1000"/>
      <c r="J2280" s="1000"/>
      <c r="K2280" s="1000"/>
      <c r="L2280" s="1001"/>
      <c r="M2280" s="25"/>
      <c r="N2280" s="2"/>
      <c r="O2280" s="3"/>
      <c r="P2280" s="2"/>
      <c r="Q2280" s="2"/>
      <c r="R2280" s="2"/>
      <c r="S2280" s="41"/>
      <c r="T2280" s="41"/>
      <c r="U2280" s="2"/>
      <c r="V2280" s="2"/>
      <c r="W2280" s="2"/>
      <c r="X2280" s="2"/>
    </row>
    <row r="2281" spans="1:24" ht="30" customHeight="1" x14ac:dyDescent="0.45">
      <c r="A2281" s="9" t="s">
        <v>4</v>
      </c>
      <c r="B2281" s="10">
        <v>3903</v>
      </c>
      <c r="C2281" s="1138" t="s">
        <v>1369</v>
      </c>
      <c r="D2281" s="1139"/>
      <c r="E2281" s="13" t="s">
        <v>7</v>
      </c>
      <c r="F2281" s="14" t="s">
        <v>88</v>
      </c>
      <c r="G2281" s="11" t="s">
        <v>6</v>
      </c>
      <c r="H2281" s="184">
        <v>1</v>
      </c>
      <c r="I2281" s="13" t="s">
        <v>9</v>
      </c>
      <c r="J2281" s="985" t="s">
        <v>1370</v>
      </c>
      <c r="K2281" s="985"/>
      <c r="L2281" s="986"/>
      <c r="M2281" s="25"/>
      <c r="S2281" s="41"/>
      <c r="T2281" s="41"/>
    </row>
    <row r="2282" spans="1:24" ht="30" customHeight="1" x14ac:dyDescent="0.45">
      <c r="A2282" s="19" t="s">
        <v>11</v>
      </c>
      <c r="B2282" s="1005" t="s">
        <v>12</v>
      </c>
      <c r="C2282" s="1005"/>
      <c r="D2282" s="1005"/>
      <c r="E2282" s="19" t="s">
        <v>13</v>
      </c>
      <c r="F2282" s="19" t="s">
        <v>14</v>
      </c>
      <c r="G2282" s="990" t="s">
        <v>15</v>
      </c>
      <c r="H2282" s="991"/>
      <c r="I2282" s="19" t="s">
        <v>59</v>
      </c>
      <c r="J2282" s="19" t="s">
        <v>60</v>
      </c>
      <c r="K2282" s="992" t="s">
        <v>39</v>
      </c>
      <c r="L2282" s="993"/>
      <c r="M2282" s="121"/>
      <c r="N2282" s="26"/>
      <c r="O2282" s="2"/>
      <c r="P2282" s="27"/>
      <c r="Q2282" s="26"/>
      <c r="R2282" s="28"/>
    </row>
    <row r="2283" spans="1:24" ht="30" customHeight="1" x14ac:dyDescent="0.45">
      <c r="A2283" s="38"/>
      <c r="B2283" s="1305" t="s">
        <v>1371</v>
      </c>
      <c r="C2283" s="1305"/>
      <c r="D2283" s="1305"/>
      <c r="E2283" s="104">
        <v>43156724</v>
      </c>
      <c r="F2283" s="105" t="s">
        <v>88</v>
      </c>
      <c r="G2283" s="1084"/>
      <c r="H2283" s="1085"/>
      <c r="I2283" s="595">
        <v>0.9</v>
      </c>
      <c r="J2283" s="106">
        <f>+'[1]2023 MILCON Inflation Table'!F17</f>
        <v>1.2152790130673263</v>
      </c>
      <c r="K2283" s="108">
        <f>E2283*I2283*J2283</f>
        <v>47202714.854945101</v>
      </c>
      <c r="L2283" s="105" t="s">
        <v>88</v>
      </c>
      <c r="M2283" s="25"/>
      <c r="N2283" s="26"/>
      <c r="O2283" s="2"/>
      <c r="P2283" s="27"/>
      <c r="Q2283" s="26"/>
      <c r="R2283" s="28"/>
    </row>
    <row r="2284" spans="1:24" ht="30" customHeight="1" x14ac:dyDescent="0.45">
      <c r="A2284" s="596"/>
      <c r="B2284" s="597"/>
      <c r="C2284" s="597"/>
      <c r="D2284" s="597"/>
      <c r="E2284" s="598"/>
      <c r="F2284" s="599"/>
      <c r="G2284" s="58"/>
      <c r="H2284" s="58"/>
      <c r="I2284" s="600" t="s">
        <v>288</v>
      </c>
      <c r="J2284" s="213">
        <f>VLOOKUP(B2281,'[1]Mil Cost Premiums for PUCs'!$A$4:$R$278,18,FALSE)</f>
        <v>1.2185124180109259</v>
      </c>
      <c r="K2284" s="393">
        <f>K2283*J2284</f>
        <v>57517094.214579403</v>
      </c>
      <c r="L2284" s="47" t="s">
        <v>88</v>
      </c>
      <c r="M2284" s="25"/>
      <c r="N2284" s="26"/>
      <c r="O2284" s="2"/>
      <c r="P2284" s="27"/>
      <c r="Q2284" s="26"/>
      <c r="R2284" s="28"/>
    </row>
    <row r="2285" spans="1:24" ht="30" customHeight="1" thickBot="1" x14ac:dyDescent="0.5">
      <c r="A2285" s="1187" t="s">
        <v>1372</v>
      </c>
      <c r="B2285" s="1188"/>
      <c r="C2285" s="1188"/>
      <c r="D2285" s="1188"/>
      <c r="E2285" s="1188"/>
      <c r="F2285" s="1188"/>
      <c r="G2285" s="1188"/>
      <c r="H2285" s="1188"/>
      <c r="I2285" s="1188"/>
      <c r="J2285" s="1188"/>
      <c r="K2285" s="1188"/>
      <c r="L2285" s="1189"/>
      <c r="M2285" s="25"/>
      <c r="N2285" s="26"/>
      <c r="O2285" s="2"/>
      <c r="P2285" s="27"/>
      <c r="Q2285" s="26"/>
      <c r="R2285" s="28"/>
    </row>
    <row r="2286" spans="1:24" ht="30" customHeight="1" thickBot="1" x14ac:dyDescent="0.5">
      <c r="A2286" s="999"/>
      <c r="B2286" s="1000"/>
      <c r="C2286" s="1000"/>
      <c r="D2286" s="1000"/>
      <c r="E2286" s="1000"/>
      <c r="F2286" s="1000"/>
      <c r="G2286" s="1000"/>
      <c r="H2286" s="1000"/>
      <c r="I2286" s="1000"/>
      <c r="J2286" s="1000"/>
      <c r="K2286" s="1000"/>
      <c r="L2286" s="1001"/>
      <c r="M2286" s="25"/>
      <c r="N2286" s="26"/>
      <c r="O2286" s="2"/>
      <c r="P2286" s="27"/>
      <c r="Q2286" s="26"/>
      <c r="R2286" s="28"/>
    </row>
    <row r="2287" spans="1:24" ht="30" customHeight="1" x14ac:dyDescent="0.45">
      <c r="A2287" s="9" t="s">
        <v>4</v>
      </c>
      <c r="B2287" s="10">
        <v>3904</v>
      </c>
      <c r="C2287" s="983" t="s">
        <v>1373</v>
      </c>
      <c r="D2287" s="984"/>
      <c r="E2287" s="13" t="s">
        <v>7</v>
      </c>
      <c r="F2287" s="14" t="s">
        <v>88</v>
      </c>
      <c r="G2287" s="11" t="s">
        <v>6</v>
      </c>
      <c r="H2287" s="163">
        <v>24564</v>
      </c>
      <c r="I2287" s="13" t="s">
        <v>9</v>
      </c>
      <c r="J2287" s="985" t="s">
        <v>1374</v>
      </c>
      <c r="K2287" s="985"/>
      <c r="L2287" s="986"/>
      <c r="M2287" s="84"/>
      <c r="N2287" s="5"/>
      <c r="O2287" s="2"/>
      <c r="P2287" s="27"/>
      <c r="Q2287" s="26"/>
      <c r="R2287" s="28"/>
    </row>
    <row r="2288" spans="1:24" ht="30" customHeight="1" x14ac:dyDescent="0.45">
      <c r="A2288" s="19" t="s">
        <v>11</v>
      </c>
      <c r="B2288" s="1005" t="s">
        <v>12</v>
      </c>
      <c r="C2288" s="1005"/>
      <c r="D2288" s="1005"/>
      <c r="E2288" s="19" t="s">
        <v>534</v>
      </c>
      <c r="F2288" s="19" t="s">
        <v>14</v>
      </c>
      <c r="G2288" s="990" t="s">
        <v>15</v>
      </c>
      <c r="H2288" s="991"/>
      <c r="I2288" s="21" t="s">
        <v>59</v>
      </c>
      <c r="J2288" s="19" t="s">
        <v>60</v>
      </c>
      <c r="K2288" s="992" t="s">
        <v>17</v>
      </c>
      <c r="L2288" s="993"/>
      <c r="M2288" s="25"/>
      <c r="N2288" s="5"/>
      <c r="O2288" s="2"/>
      <c r="P2288" s="27"/>
      <c r="Q2288" s="26"/>
      <c r="R2288" s="28"/>
    </row>
    <row r="2289" spans="1:19" ht="30" customHeight="1" x14ac:dyDescent="0.45">
      <c r="A2289" s="47">
        <v>21140</v>
      </c>
      <c r="B2289" s="1008" t="s">
        <v>1041</v>
      </c>
      <c r="C2289" s="1009"/>
      <c r="D2289" s="1010"/>
      <c r="E2289" s="591">
        <v>229</v>
      </c>
      <c r="F2289" s="592" t="s">
        <v>35</v>
      </c>
      <c r="G2289" s="601">
        <f>H2287</f>
        <v>24564</v>
      </c>
      <c r="H2289" s="29" t="s">
        <v>296</v>
      </c>
      <c r="I2289" s="602"/>
      <c r="J2289" s="35">
        <f>+'[1]2023 MILCON Inflation Table'!F10</f>
        <v>1.5845473099763927</v>
      </c>
      <c r="K2289" s="534">
        <f>+E2289+G2289+J2289</f>
        <v>24794.584547309976</v>
      </c>
      <c r="L2289" s="29" t="s">
        <v>88</v>
      </c>
      <c r="M2289" s="25"/>
      <c r="S2289" s="41"/>
    </row>
    <row r="2290" spans="1:19" ht="30" customHeight="1" x14ac:dyDescent="0.45">
      <c r="A2290" s="105" t="s">
        <v>1375</v>
      </c>
      <c r="B2290" s="1092" t="s">
        <v>1376</v>
      </c>
      <c r="C2290" s="1092"/>
      <c r="D2290" s="1092"/>
      <c r="E2290" s="603">
        <v>9590000</v>
      </c>
      <c r="F2290" s="604" t="s">
        <v>88</v>
      </c>
      <c r="G2290" s="157"/>
      <c r="H2290" s="398"/>
      <c r="I2290" s="602">
        <v>0.98</v>
      </c>
      <c r="J2290" s="374">
        <f>+'[1]2023 MILCON Inflation Table'!F4</f>
        <v>1.6555629516459143</v>
      </c>
      <c r="K2290" s="603">
        <f>+E2290/I2290*J2290</f>
        <v>16200866.026820732</v>
      </c>
      <c r="L2290" s="38" t="s">
        <v>88</v>
      </c>
      <c r="M2290" s="25"/>
      <c r="N2290" s="26"/>
      <c r="O2290" s="2"/>
      <c r="P2290" s="27"/>
      <c r="Q2290" s="26"/>
      <c r="R2290" s="28"/>
    </row>
    <row r="2291" spans="1:19" ht="30" customHeight="1" x14ac:dyDescent="0.45">
      <c r="A2291" s="105" t="s">
        <v>1375</v>
      </c>
      <c r="B2291" s="1092" t="s">
        <v>1376</v>
      </c>
      <c r="C2291" s="1092"/>
      <c r="D2291" s="1092"/>
      <c r="E2291" s="605">
        <v>7130000</v>
      </c>
      <c r="F2291" s="604" t="s">
        <v>88</v>
      </c>
      <c r="G2291" s="157"/>
      <c r="H2291" s="398"/>
      <c r="I2291" s="602">
        <v>1</v>
      </c>
      <c r="J2291" s="374">
        <f>+'[1]2023 MILCON Inflation Table'!F15</f>
        <v>1.2839611975731238</v>
      </c>
      <c r="K2291" s="603">
        <f>+E2291/I2291*J2291</f>
        <v>9154643.3386963718</v>
      </c>
      <c r="L2291" s="38" t="s">
        <v>88</v>
      </c>
      <c r="M2291" s="25"/>
      <c r="N2291" s="26"/>
      <c r="O2291" s="2"/>
      <c r="P2291" s="27"/>
      <c r="Q2291" s="26"/>
      <c r="R2291" s="28"/>
    </row>
    <row r="2292" spans="1:19" ht="30" customHeight="1" x14ac:dyDescent="0.45">
      <c r="A2292" s="38"/>
      <c r="B2292" s="4"/>
      <c r="C2292" s="4"/>
      <c r="D2292" s="4"/>
      <c r="E2292" s="606"/>
      <c r="F2292" s="38"/>
      <c r="G2292" s="58"/>
      <c r="H2292" s="398"/>
      <c r="I2292" s="38"/>
      <c r="J2292" s="38" t="s">
        <v>56</v>
      </c>
      <c r="K2292" s="603">
        <f>AVERAGE(K2289:K2291)</f>
        <v>8460101.3166881371</v>
      </c>
      <c r="L2292" s="38" t="s">
        <v>88</v>
      </c>
      <c r="M2292" s="121"/>
      <c r="N2292" s="26"/>
      <c r="O2292" s="2"/>
      <c r="P2292" s="27"/>
      <c r="Q2292" s="26"/>
      <c r="R2292" s="28"/>
    </row>
    <row r="2293" spans="1:19" ht="30" customHeight="1" x14ac:dyDescent="0.45">
      <c r="A2293" s="47"/>
      <c r="B2293" s="1092" t="s">
        <v>1377</v>
      </c>
      <c r="C2293" s="1092"/>
      <c r="D2293" s="1092"/>
      <c r="F2293" s="58"/>
      <c r="G2293" s="1018" t="s">
        <v>1378</v>
      </c>
      <c r="H2293" s="1019"/>
      <c r="I2293" s="1020"/>
      <c r="J2293" s="85" t="s">
        <v>39</v>
      </c>
      <c r="K2293" s="534">
        <f>+K2292</f>
        <v>8460101.3166881371</v>
      </c>
      <c r="L2293" s="47" t="s">
        <v>88</v>
      </c>
      <c r="M2293" s="25"/>
      <c r="N2293" s="26"/>
      <c r="O2293" s="2"/>
      <c r="P2293" s="27"/>
      <c r="Q2293" s="26"/>
      <c r="R2293" s="28"/>
    </row>
    <row r="2294" spans="1:19" ht="30" customHeight="1" thickBot="1" x14ac:dyDescent="0.5">
      <c r="A2294" s="1187" t="s">
        <v>1379</v>
      </c>
      <c r="B2294" s="1188"/>
      <c r="C2294" s="1188"/>
      <c r="D2294" s="1188"/>
      <c r="E2294" s="1188"/>
      <c r="F2294" s="1188"/>
      <c r="G2294" s="1188"/>
      <c r="H2294" s="1188"/>
      <c r="I2294" s="1188"/>
      <c r="J2294" s="1188"/>
      <c r="K2294" s="1188"/>
      <c r="L2294" s="1189"/>
      <c r="M2294" s="25"/>
      <c r="N2294" s="26"/>
      <c r="O2294" s="2"/>
      <c r="P2294" s="27"/>
      <c r="Q2294" s="26"/>
      <c r="R2294" s="28"/>
    </row>
    <row r="2295" spans="1:19" ht="30" customHeight="1" thickBot="1" x14ac:dyDescent="0.5">
      <c r="A2295" s="999"/>
      <c r="B2295" s="1000"/>
      <c r="C2295" s="1000"/>
      <c r="D2295" s="1000"/>
      <c r="E2295" s="1000"/>
      <c r="F2295" s="1000"/>
      <c r="G2295" s="1000"/>
      <c r="H2295" s="1000"/>
      <c r="I2295" s="1000"/>
      <c r="J2295" s="1000"/>
      <c r="K2295" s="1000"/>
      <c r="L2295" s="1001"/>
      <c r="M2295" s="25"/>
      <c r="N2295" s="26"/>
      <c r="O2295" s="2"/>
      <c r="P2295" s="27"/>
      <c r="Q2295" s="26"/>
      <c r="R2295" s="28"/>
    </row>
    <row r="2296" spans="1:19" ht="30" customHeight="1" x14ac:dyDescent="0.45">
      <c r="A2296" s="9" t="s">
        <v>4</v>
      </c>
      <c r="B2296" s="10">
        <v>4111</v>
      </c>
      <c r="C2296" s="983" t="s">
        <v>1380</v>
      </c>
      <c r="D2296" s="984"/>
      <c r="E2296" s="13" t="s">
        <v>7</v>
      </c>
      <c r="F2296" s="14" t="s">
        <v>1381</v>
      </c>
      <c r="G2296" s="161" t="s">
        <v>148</v>
      </c>
      <c r="H2296" s="163">
        <v>50000</v>
      </c>
      <c r="I2296" s="13" t="s">
        <v>9</v>
      </c>
      <c r="J2296" s="985" t="s">
        <v>76</v>
      </c>
      <c r="K2296" s="985"/>
      <c r="L2296" s="986"/>
      <c r="M2296" s="25"/>
      <c r="N2296" s="26"/>
      <c r="O2296" s="2"/>
      <c r="P2296" s="27"/>
      <c r="Q2296" s="26"/>
      <c r="R2296" s="28"/>
    </row>
    <row r="2297" spans="1:19" ht="30" customHeight="1" x14ac:dyDescent="0.45">
      <c r="A2297" s="114" t="s">
        <v>77</v>
      </c>
      <c r="B2297" s="1300" t="s">
        <v>12</v>
      </c>
      <c r="C2297" s="1301"/>
      <c r="D2297" s="1302"/>
      <c r="E2297" s="115" t="s">
        <v>78</v>
      </c>
      <c r="F2297" s="116" t="s">
        <v>79</v>
      </c>
      <c r="G2297" s="117" t="s">
        <v>80</v>
      </c>
      <c r="H2297" s="118" t="s">
        <v>81</v>
      </c>
      <c r="I2297" s="118" t="s">
        <v>82</v>
      </c>
      <c r="J2297" s="119" t="s">
        <v>222</v>
      </c>
      <c r="K2297" s="114" t="s">
        <v>84</v>
      </c>
      <c r="L2297" s="120" t="s">
        <v>85</v>
      </c>
      <c r="M2297" s="121"/>
      <c r="N2297" s="26"/>
      <c r="O2297" s="2"/>
      <c r="P2297" s="27"/>
      <c r="Q2297" s="26"/>
      <c r="R2297" s="28"/>
    </row>
    <row r="2298" spans="1:19" ht="30" customHeight="1" x14ac:dyDescent="0.45">
      <c r="A2298" s="122" t="s">
        <v>164</v>
      </c>
      <c r="B2298" s="1291" t="s">
        <v>165</v>
      </c>
      <c r="C2298" s="1292"/>
      <c r="D2298" s="1293"/>
      <c r="E2298" s="123">
        <v>5162</v>
      </c>
      <c r="F2298" s="124" t="s">
        <v>29</v>
      </c>
      <c r="G2298" s="124">
        <v>139001.339342975</v>
      </c>
      <c r="H2298" s="124">
        <v>10594.0516232276</v>
      </c>
      <c r="I2298" s="124">
        <v>14897.915825620799</v>
      </c>
      <c r="J2298" s="124">
        <v>0</v>
      </c>
      <c r="K2298" s="125">
        <f>+G2298+H2298+I2298+J2298</f>
        <v>164493.30679182339</v>
      </c>
      <c r="L2298" s="124" t="s">
        <v>29</v>
      </c>
      <c r="M2298" s="121"/>
      <c r="N2298" s="5"/>
      <c r="O2298" s="2"/>
      <c r="P2298" s="27"/>
      <c r="Q2298" s="26"/>
      <c r="R2298" s="28"/>
    </row>
    <row r="2299" spans="1:19" ht="30" customHeight="1" x14ac:dyDescent="0.45">
      <c r="A2299" s="122" t="s">
        <v>166</v>
      </c>
      <c r="B2299" s="1291" t="s">
        <v>167</v>
      </c>
      <c r="C2299" s="1292"/>
      <c r="D2299" s="1293"/>
      <c r="E2299" s="123">
        <v>151</v>
      </c>
      <c r="F2299" s="124" t="s">
        <v>29</v>
      </c>
      <c r="G2299" s="124">
        <v>75801.543206305607</v>
      </c>
      <c r="H2299" s="124">
        <v>78149.779455904398</v>
      </c>
      <c r="I2299" s="124">
        <v>3211.2116278834001</v>
      </c>
      <c r="J2299" s="124">
        <v>0</v>
      </c>
      <c r="K2299" s="125">
        <f t="shared" ref="K2299:K2306" si="54">+G2299+H2299+I2299+J2299</f>
        <v>157162.5342900934</v>
      </c>
      <c r="L2299" s="124" t="s">
        <v>29</v>
      </c>
      <c r="M2299" s="121"/>
      <c r="N2299" s="5"/>
      <c r="O2299" s="2"/>
      <c r="P2299" s="27"/>
      <c r="Q2299" s="26"/>
      <c r="R2299" s="28"/>
    </row>
    <row r="2300" spans="1:19" ht="30" customHeight="1" x14ac:dyDescent="0.45">
      <c r="A2300" s="122" t="s">
        <v>168</v>
      </c>
      <c r="B2300" s="1291" t="s">
        <v>169</v>
      </c>
      <c r="C2300" s="1292"/>
      <c r="D2300" s="1293"/>
      <c r="E2300" s="123">
        <v>1178</v>
      </c>
      <c r="F2300" s="124" t="s">
        <v>113</v>
      </c>
      <c r="G2300" s="124">
        <v>74591.358239919093</v>
      </c>
      <c r="H2300" s="124">
        <v>26612.461744466698</v>
      </c>
      <c r="I2300" s="124">
        <v>0</v>
      </c>
      <c r="J2300" s="124">
        <v>0</v>
      </c>
      <c r="K2300" s="125">
        <f t="shared" si="54"/>
        <v>101203.81998438579</v>
      </c>
      <c r="L2300" s="124" t="s">
        <v>113</v>
      </c>
      <c r="M2300" s="121"/>
      <c r="N2300" s="5"/>
      <c r="O2300" s="2"/>
      <c r="P2300" s="27"/>
      <c r="Q2300" s="26"/>
      <c r="R2300" s="28"/>
    </row>
    <row r="2301" spans="1:19" ht="30" customHeight="1" x14ac:dyDescent="0.45">
      <c r="A2301" s="122" t="s">
        <v>170</v>
      </c>
      <c r="B2301" s="1291" t="s">
        <v>171</v>
      </c>
      <c r="C2301" s="1292"/>
      <c r="D2301" s="1293"/>
      <c r="E2301" s="123">
        <v>12756.41</v>
      </c>
      <c r="F2301" s="124" t="s">
        <v>113</v>
      </c>
      <c r="G2301" s="124">
        <v>253694.18978091099</v>
      </c>
      <c r="H2301" s="124">
        <v>190372.74339525701</v>
      </c>
      <c r="I2301" s="124">
        <v>0</v>
      </c>
      <c r="J2301" s="124">
        <v>0</v>
      </c>
      <c r="K2301" s="125">
        <f t="shared" si="54"/>
        <v>444066.93317616801</v>
      </c>
      <c r="L2301" s="124" t="s">
        <v>113</v>
      </c>
      <c r="M2301" s="121"/>
      <c r="N2301" s="5"/>
      <c r="O2301" s="2"/>
      <c r="P2301" s="27"/>
      <c r="Q2301" s="26"/>
      <c r="R2301" s="28"/>
    </row>
    <row r="2302" spans="1:19" ht="30" customHeight="1" x14ac:dyDescent="0.45">
      <c r="A2302" s="122" t="s">
        <v>172</v>
      </c>
      <c r="B2302" s="1291" t="s">
        <v>173</v>
      </c>
      <c r="C2302" s="1292"/>
      <c r="D2302" s="1293"/>
      <c r="E2302" s="123">
        <v>63</v>
      </c>
      <c r="F2302" s="124" t="s">
        <v>88</v>
      </c>
      <c r="G2302" s="124">
        <v>43903.617135760302</v>
      </c>
      <c r="H2302" s="124">
        <v>8865.1086024429005</v>
      </c>
      <c r="I2302" s="124">
        <v>1045.3859548477201</v>
      </c>
      <c r="J2302" s="124">
        <v>0</v>
      </c>
      <c r="K2302" s="125">
        <f t="shared" si="54"/>
        <v>53814.111693050923</v>
      </c>
      <c r="L2302" s="124" t="s">
        <v>88</v>
      </c>
      <c r="M2302" s="121"/>
      <c r="N2302" s="5"/>
      <c r="O2302" s="2"/>
      <c r="P2302" s="27"/>
      <c r="Q2302" s="26"/>
      <c r="R2302" s="28"/>
    </row>
    <row r="2303" spans="1:19" ht="30" customHeight="1" x14ac:dyDescent="0.45">
      <c r="A2303" s="122" t="s">
        <v>1382</v>
      </c>
      <c r="B2303" s="1291" t="s">
        <v>1383</v>
      </c>
      <c r="C2303" s="1292"/>
      <c r="D2303" s="1293"/>
      <c r="E2303" s="123">
        <v>1</v>
      </c>
      <c r="F2303" s="124" t="s">
        <v>88</v>
      </c>
      <c r="G2303" s="124">
        <v>0</v>
      </c>
      <c r="H2303" s="124">
        <v>0</v>
      </c>
      <c r="I2303" s="124">
        <v>0</v>
      </c>
      <c r="J2303" s="124">
        <v>1404168.8810688001</v>
      </c>
      <c r="K2303" s="125">
        <f t="shared" si="54"/>
        <v>1404168.8810688001</v>
      </c>
      <c r="L2303" s="124" t="s">
        <v>88</v>
      </c>
      <c r="M2303" s="121"/>
      <c r="N2303" s="5"/>
      <c r="O2303" s="2"/>
      <c r="P2303" s="27"/>
      <c r="Q2303" s="26"/>
      <c r="R2303" s="28"/>
    </row>
    <row r="2304" spans="1:19" ht="30" customHeight="1" x14ac:dyDescent="0.45">
      <c r="A2304" s="122" t="s">
        <v>176</v>
      </c>
      <c r="B2304" s="1291" t="s">
        <v>177</v>
      </c>
      <c r="C2304" s="1292"/>
      <c r="D2304" s="1293"/>
      <c r="E2304" s="123">
        <v>951.75</v>
      </c>
      <c r="F2304" s="124" t="s">
        <v>113</v>
      </c>
      <c r="G2304" s="124">
        <v>491953.78604553401</v>
      </c>
      <c r="H2304" s="124">
        <v>52685.657083901096</v>
      </c>
      <c r="I2304" s="124">
        <v>70253.442971062803</v>
      </c>
      <c r="J2304" s="124">
        <v>0</v>
      </c>
      <c r="K2304" s="125">
        <f t="shared" si="54"/>
        <v>614892.88610049791</v>
      </c>
      <c r="L2304" s="124" t="s">
        <v>113</v>
      </c>
      <c r="M2304" s="121"/>
      <c r="N2304" s="5"/>
      <c r="O2304" s="2"/>
      <c r="P2304" s="27"/>
      <c r="Q2304" s="26"/>
      <c r="R2304" s="28"/>
    </row>
    <row r="2305" spans="1:18" ht="30" customHeight="1" x14ac:dyDescent="0.45">
      <c r="A2305" s="122" t="s">
        <v>178</v>
      </c>
      <c r="B2305" s="1291" t="s">
        <v>179</v>
      </c>
      <c r="C2305" s="1292"/>
      <c r="D2305" s="1293"/>
      <c r="E2305" s="123">
        <v>42460.28</v>
      </c>
      <c r="F2305" s="124" t="s">
        <v>35</v>
      </c>
      <c r="G2305" s="124">
        <v>500928.49816027802</v>
      </c>
      <c r="H2305" s="124">
        <v>359463.70250062499</v>
      </c>
      <c r="I2305" s="124">
        <v>2058.9010305740198</v>
      </c>
      <c r="J2305" s="124">
        <v>0</v>
      </c>
      <c r="K2305" s="125">
        <f t="shared" si="54"/>
        <v>862451.101691477</v>
      </c>
      <c r="L2305" s="124" t="s">
        <v>35</v>
      </c>
      <c r="M2305" s="121"/>
      <c r="N2305" s="5"/>
      <c r="O2305" s="2"/>
      <c r="P2305" s="27"/>
      <c r="Q2305" s="26"/>
      <c r="R2305" s="28"/>
    </row>
    <row r="2306" spans="1:18" ht="30" customHeight="1" x14ac:dyDescent="0.45">
      <c r="A2306" s="122" t="s">
        <v>180</v>
      </c>
      <c r="B2306" s="1291" t="s">
        <v>181</v>
      </c>
      <c r="C2306" s="1292"/>
      <c r="D2306" s="1293"/>
      <c r="E2306" s="123">
        <v>11</v>
      </c>
      <c r="F2306" s="124" t="s">
        <v>182</v>
      </c>
      <c r="G2306" s="124">
        <v>42616.253842059101</v>
      </c>
      <c r="H2306" s="124">
        <v>7144.9422566005196</v>
      </c>
      <c r="I2306" s="124">
        <v>1765.87275559972</v>
      </c>
      <c r="J2306" s="343">
        <v>0</v>
      </c>
      <c r="K2306" s="607">
        <f t="shared" si="54"/>
        <v>51527.068854259342</v>
      </c>
      <c r="L2306" s="343" t="s">
        <v>182</v>
      </c>
      <c r="M2306" s="121"/>
      <c r="N2306" s="5"/>
      <c r="O2306" s="2"/>
      <c r="P2306" s="27"/>
      <c r="Q2306" s="26"/>
      <c r="R2306" s="28"/>
    </row>
    <row r="2307" spans="1:18" ht="30" customHeight="1" x14ac:dyDescent="0.45">
      <c r="A2307" s="1294" t="s">
        <v>436</v>
      </c>
      <c r="B2307" s="1303"/>
      <c r="C2307" s="1303"/>
      <c r="D2307" s="1303"/>
      <c r="E2307" s="126"/>
      <c r="F2307" s="126"/>
      <c r="G2307" s="126"/>
      <c r="H2307" s="126"/>
      <c r="I2307" s="608"/>
      <c r="J2307" s="62" t="s">
        <v>38</v>
      </c>
      <c r="K2307" s="609">
        <f>SUM(K2298:K2306)</f>
        <v>3853780.643650556</v>
      </c>
      <c r="L2307" s="610" t="s">
        <v>188</v>
      </c>
      <c r="M2307" s="611"/>
      <c r="N2307" s="612"/>
      <c r="O2307" s="612"/>
      <c r="P2307" s="612"/>
      <c r="Q2307" s="26"/>
      <c r="R2307" s="28"/>
    </row>
    <row r="2308" spans="1:18" ht="30" customHeight="1" thickBot="1" x14ac:dyDescent="0.5">
      <c r="A2308" s="1304"/>
      <c r="B2308" s="1304"/>
      <c r="C2308" s="1304"/>
      <c r="D2308" s="1304"/>
      <c r="E2308" s="127"/>
      <c r="F2308" s="78"/>
      <c r="G2308" s="1296"/>
      <c r="H2308" s="1297"/>
      <c r="I2308" s="613"/>
      <c r="J2308" s="347" t="s">
        <v>39</v>
      </c>
      <c r="K2308" s="89">
        <f>K2307/H2296</f>
        <v>77.075612873011124</v>
      </c>
      <c r="L2308" s="87" t="s">
        <v>1381</v>
      </c>
      <c r="M2308" s="612"/>
      <c r="N2308" s="612"/>
      <c r="O2308" s="612"/>
      <c r="P2308" s="612"/>
      <c r="Q2308" s="26"/>
      <c r="R2308" s="28"/>
    </row>
    <row r="2309" spans="1:18" ht="30" customHeight="1" thickBot="1" x14ac:dyDescent="0.5">
      <c r="A2309" s="999"/>
      <c r="B2309" s="1000"/>
      <c r="C2309" s="1000"/>
      <c r="D2309" s="1000"/>
      <c r="E2309" s="1000"/>
      <c r="F2309" s="1000"/>
      <c r="G2309" s="1000"/>
      <c r="H2309" s="1000"/>
      <c r="I2309" s="1000"/>
      <c r="J2309" s="1000"/>
      <c r="K2309" s="1000"/>
      <c r="L2309" s="1001"/>
      <c r="M2309" s="25"/>
      <c r="N2309" s="5"/>
      <c r="O2309" s="2"/>
      <c r="P2309" s="27"/>
      <c r="Q2309" s="26"/>
      <c r="R2309" s="28"/>
    </row>
    <row r="2310" spans="1:18" ht="30" customHeight="1" x14ac:dyDescent="0.45">
      <c r="A2310" s="9" t="s">
        <v>4</v>
      </c>
      <c r="B2310" s="10">
        <v>4112</v>
      </c>
      <c r="C2310" s="983" t="s">
        <v>1384</v>
      </c>
      <c r="D2310" s="984"/>
      <c r="E2310" s="13" t="s">
        <v>7</v>
      </c>
      <c r="F2310" s="14" t="s">
        <v>1381</v>
      </c>
      <c r="G2310" s="161" t="s">
        <v>148</v>
      </c>
      <c r="H2310" s="163">
        <v>150000</v>
      </c>
      <c r="I2310" s="13" t="s">
        <v>9</v>
      </c>
      <c r="J2310" s="985" t="s">
        <v>76</v>
      </c>
      <c r="K2310" s="985"/>
      <c r="L2310" s="986"/>
      <c r="M2310" s="462"/>
      <c r="O2310" s="2"/>
      <c r="P2310" s="27"/>
      <c r="Q2310" s="26"/>
      <c r="R2310" s="28"/>
    </row>
    <row r="2311" spans="1:18" ht="30" customHeight="1" x14ac:dyDescent="0.45">
      <c r="A2311" s="114" t="s">
        <v>77</v>
      </c>
      <c r="B2311" s="1300" t="s">
        <v>12</v>
      </c>
      <c r="C2311" s="1301"/>
      <c r="D2311" s="1302"/>
      <c r="E2311" s="115" t="s">
        <v>78</v>
      </c>
      <c r="F2311" s="116" t="s">
        <v>79</v>
      </c>
      <c r="G2311" s="117" t="s">
        <v>80</v>
      </c>
      <c r="H2311" s="118" t="s">
        <v>81</v>
      </c>
      <c r="I2311" s="118" t="s">
        <v>82</v>
      </c>
      <c r="J2311" s="118" t="s">
        <v>222</v>
      </c>
      <c r="K2311" s="114" t="s">
        <v>84</v>
      </c>
      <c r="L2311" s="120" t="s">
        <v>85</v>
      </c>
      <c r="M2311" s="17"/>
      <c r="O2311" s="2"/>
      <c r="P2311" s="27"/>
      <c r="Q2311" s="26"/>
      <c r="R2311" s="28"/>
    </row>
    <row r="2312" spans="1:18" ht="30" customHeight="1" x14ac:dyDescent="0.45">
      <c r="A2312" s="122" t="s">
        <v>164</v>
      </c>
      <c r="B2312" s="1291" t="s">
        <v>165</v>
      </c>
      <c r="C2312" s="1292"/>
      <c r="D2312" s="1293"/>
      <c r="E2312" s="123">
        <v>12252</v>
      </c>
      <c r="F2312" s="124" t="s">
        <v>29</v>
      </c>
      <c r="G2312" s="124">
        <v>330501.84689049103</v>
      </c>
      <c r="H2312" s="124">
        <v>25189.351729126902</v>
      </c>
      <c r="I2312" s="124">
        <v>35422.598936530303</v>
      </c>
      <c r="J2312" s="124">
        <v>0</v>
      </c>
      <c r="K2312" s="125">
        <f>+G2312+H2312+I2312+J2312</f>
        <v>391113.7975561482</v>
      </c>
      <c r="L2312" s="124" t="s">
        <v>29</v>
      </c>
      <c r="M2312" s="121"/>
      <c r="O2312" s="2"/>
      <c r="P2312" s="27"/>
      <c r="Q2312" s="26"/>
      <c r="R2312" s="28"/>
    </row>
    <row r="2313" spans="1:18" ht="30" customHeight="1" x14ac:dyDescent="0.45">
      <c r="A2313" s="122" t="s">
        <v>166</v>
      </c>
      <c r="B2313" s="1291" t="s">
        <v>167</v>
      </c>
      <c r="C2313" s="1292"/>
      <c r="D2313" s="1293"/>
      <c r="E2313" s="123">
        <v>358</v>
      </c>
      <c r="F2313" s="124" t="s">
        <v>29</v>
      </c>
      <c r="G2313" s="124">
        <v>180032.14028268401</v>
      </c>
      <c r="H2313" s="124">
        <v>185609.309031796</v>
      </c>
      <c r="I2313" s="124">
        <v>7626.7748361671802</v>
      </c>
      <c r="J2313" s="124">
        <v>0</v>
      </c>
      <c r="K2313" s="125">
        <f t="shared" ref="K2313:K2320" si="55">+G2313+H2313+I2313+J2313</f>
        <v>373268.22415064718</v>
      </c>
      <c r="L2313" s="124" t="s">
        <v>29</v>
      </c>
      <c r="M2313" s="121"/>
      <c r="N2313" s="5"/>
      <c r="O2313" s="2"/>
      <c r="P2313" s="27"/>
      <c r="Q2313" s="26"/>
      <c r="R2313" s="28"/>
    </row>
    <row r="2314" spans="1:18" ht="30" customHeight="1" x14ac:dyDescent="0.45">
      <c r="A2314" s="122" t="s">
        <v>168</v>
      </c>
      <c r="B2314" s="1291" t="s">
        <v>169</v>
      </c>
      <c r="C2314" s="1292"/>
      <c r="D2314" s="1293"/>
      <c r="E2314" s="123">
        <v>2797</v>
      </c>
      <c r="F2314" s="124" t="s">
        <v>113</v>
      </c>
      <c r="G2314" s="124">
        <v>177419.60546046801</v>
      </c>
      <c r="H2314" s="124">
        <v>63299.188732404997</v>
      </c>
      <c r="I2314" s="124">
        <v>0</v>
      </c>
      <c r="J2314" s="124">
        <v>0</v>
      </c>
      <c r="K2314" s="125">
        <f t="shared" si="55"/>
        <v>240718.794192873</v>
      </c>
      <c r="L2314" s="124" t="s">
        <v>113</v>
      </c>
      <c r="M2314" s="121"/>
      <c r="N2314" s="5"/>
      <c r="O2314" s="2"/>
      <c r="P2314" s="27"/>
      <c r="Q2314" s="26"/>
      <c r="R2314" s="28"/>
    </row>
    <row r="2315" spans="1:18" ht="30" customHeight="1" x14ac:dyDescent="0.45">
      <c r="A2315" s="122" t="s">
        <v>170</v>
      </c>
      <c r="B2315" s="1291" t="s">
        <v>171</v>
      </c>
      <c r="C2315" s="1292"/>
      <c r="D2315" s="1293"/>
      <c r="E2315" s="123">
        <v>34696.18</v>
      </c>
      <c r="F2315" s="124" t="s">
        <v>113</v>
      </c>
      <c r="G2315" s="124">
        <v>691241.22586414404</v>
      </c>
      <c r="H2315" s="124">
        <v>518709.11442355497</v>
      </c>
      <c r="I2315" s="124">
        <v>0</v>
      </c>
      <c r="J2315" s="124">
        <v>0</v>
      </c>
      <c r="K2315" s="125">
        <f t="shared" si="55"/>
        <v>1209950.3402876989</v>
      </c>
      <c r="L2315" s="124" t="s">
        <v>113</v>
      </c>
      <c r="M2315" s="121"/>
      <c r="N2315" s="5"/>
      <c r="O2315" s="2"/>
      <c r="P2315" s="27"/>
      <c r="Q2315" s="26"/>
      <c r="R2315" s="28"/>
    </row>
    <row r="2316" spans="1:18" ht="30" customHeight="1" x14ac:dyDescent="0.45">
      <c r="A2316" s="122" t="s">
        <v>172</v>
      </c>
      <c r="B2316" s="1291" t="s">
        <v>173</v>
      </c>
      <c r="C2316" s="1292"/>
      <c r="D2316" s="1293"/>
      <c r="E2316" s="123">
        <v>151</v>
      </c>
      <c r="F2316" s="124" t="s">
        <v>88</v>
      </c>
      <c r="G2316" s="124">
        <v>105415.04977255</v>
      </c>
      <c r="H2316" s="124">
        <v>21285.6234983063</v>
      </c>
      <c r="I2316" s="124">
        <v>2510.0303722364001</v>
      </c>
      <c r="J2316" s="124">
        <v>0</v>
      </c>
      <c r="K2316" s="125">
        <f t="shared" si="55"/>
        <v>129210.70364309271</v>
      </c>
      <c r="L2316" s="124" t="s">
        <v>88</v>
      </c>
      <c r="M2316" s="121"/>
      <c r="N2316" s="5"/>
      <c r="O2316" s="2"/>
      <c r="P2316" s="27"/>
      <c r="Q2316" s="26"/>
      <c r="R2316" s="28"/>
    </row>
    <row r="2317" spans="1:18" ht="30" customHeight="1" x14ac:dyDescent="0.45">
      <c r="A2317" s="122" t="s">
        <v>1382</v>
      </c>
      <c r="B2317" s="1291" t="s">
        <v>1383</v>
      </c>
      <c r="C2317" s="1292"/>
      <c r="D2317" s="1293"/>
      <c r="E2317" s="123">
        <v>1</v>
      </c>
      <c r="F2317" s="124" t="s">
        <v>88</v>
      </c>
      <c r="G2317" s="124">
        <v>0</v>
      </c>
      <c r="H2317" s="124">
        <v>0</v>
      </c>
      <c r="I2317" s="124">
        <v>0</v>
      </c>
      <c r="J2317" s="124">
        <v>2967902.4077136</v>
      </c>
      <c r="K2317" s="125">
        <f t="shared" si="55"/>
        <v>2967902.4077136</v>
      </c>
      <c r="L2317" s="124" t="s">
        <v>88</v>
      </c>
      <c r="M2317" s="121"/>
      <c r="N2317" s="5"/>
      <c r="O2317" s="2"/>
      <c r="P2317" s="27"/>
      <c r="Q2317" s="26"/>
      <c r="R2317" s="28"/>
    </row>
    <row r="2318" spans="1:18" ht="30" customHeight="1" x14ac:dyDescent="0.45">
      <c r="A2318" s="122" t="s">
        <v>176</v>
      </c>
      <c r="B2318" s="1291" t="s">
        <v>177</v>
      </c>
      <c r="C2318" s="1292"/>
      <c r="D2318" s="1293"/>
      <c r="E2318" s="123">
        <v>1571.76</v>
      </c>
      <c r="F2318" s="124" t="s">
        <v>113</v>
      </c>
      <c r="G2318" s="124">
        <v>813867.24801163399</v>
      </c>
      <c r="H2318" s="124">
        <v>87160.891849687803</v>
      </c>
      <c r="I2318" s="124">
        <v>116224.283491761</v>
      </c>
      <c r="J2318" s="124">
        <v>0</v>
      </c>
      <c r="K2318" s="125">
        <f t="shared" si="55"/>
        <v>1017252.4233530827</v>
      </c>
      <c r="L2318" s="124" t="s">
        <v>113</v>
      </c>
      <c r="M2318" s="121"/>
      <c r="N2318" s="5"/>
      <c r="O2318" s="2"/>
      <c r="P2318" s="27"/>
      <c r="Q2318" s="26"/>
      <c r="R2318" s="28"/>
    </row>
    <row r="2319" spans="1:18" ht="30" customHeight="1" x14ac:dyDescent="0.45">
      <c r="A2319" s="122" t="s">
        <v>178</v>
      </c>
      <c r="B2319" s="1291" t="s">
        <v>179</v>
      </c>
      <c r="C2319" s="1292"/>
      <c r="D2319" s="1293"/>
      <c r="E2319" s="123">
        <v>115800.75</v>
      </c>
      <c r="F2319" s="124" t="s">
        <v>35</v>
      </c>
      <c r="G2319" s="124">
        <v>1368579.95887837</v>
      </c>
      <c r="H2319" s="124">
        <v>982085.90845466999</v>
      </c>
      <c r="I2319" s="124">
        <v>5625.0955936949704</v>
      </c>
      <c r="J2319" s="124">
        <v>0</v>
      </c>
      <c r="K2319" s="125">
        <f t="shared" si="55"/>
        <v>2356290.9629267352</v>
      </c>
      <c r="L2319" s="124" t="s">
        <v>35</v>
      </c>
      <c r="M2319" s="121"/>
      <c r="N2319" s="5"/>
      <c r="O2319" s="2"/>
      <c r="P2319" s="27"/>
      <c r="Q2319" s="26"/>
      <c r="R2319" s="28"/>
    </row>
    <row r="2320" spans="1:18" ht="30" customHeight="1" x14ac:dyDescent="0.45">
      <c r="A2320" s="122" t="s">
        <v>180</v>
      </c>
      <c r="B2320" s="1291" t="s">
        <v>181</v>
      </c>
      <c r="C2320" s="1292"/>
      <c r="D2320" s="1293"/>
      <c r="E2320" s="123">
        <v>30</v>
      </c>
      <c r="F2320" s="124" t="s">
        <v>182</v>
      </c>
      <c r="G2320" s="124">
        <v>116431.30309605801</v>
      </c>
      <c r="H2320" s="124">
        <v>19520.602175995798</v>
      </c>
      <c r="I2320" s="124">
        <v>4824.5175842600202</v>
      </c>
      <c r="J2320" s="124">
        <v>0</v>
      </c>
      <c r="K2320" s="125">
        <f t="shared" si="55"/>
        <v>140776.42285631385</v>
      </c>
      <c r="L2320" s="124" t="s">
        <v>182</v>
      </c>
      <c r="M2320" s="121"/>
      <c r="N2320" s="5"/>
      <c r="O2320" s="2"/>
      <c r="P2320" s="27"/>
      <c r="Q2320" s="26"/>
      <c r="R2320" s="28"/>
    </row>
    <row r="2321" spans="1:18" ht="30" customHeight="1" x14ac:dyDescent="0.45">
      <c r="A2321" s="1294" t="s">
        <v>436</v>
      </c>
      <c r="B2321" s="1303"/>
      <c r="C2321" s="1303"/>
      <c r="D2321" s="1303"/>
      <c r="E2321" s="126"/>
      <c r="F2321" s="126"/>
      <c r="G2321" s="126"/>
      <c r="H2321" s="126"/>
      <c r="I2321" s="126"/>
      <c r="J2321" s="62" t="s">
        <v>38</v>
      </c>
      <c r="K2321" s="125">
        <f>SUM(K2312:K2320)</f>
        <v>8826484.0766801927</v>
      </c>
      <c r="L2321" s="124" t="s">
        <v>188</v>
      </c>
      <c r="M2321" s="121"/>
      <c r="N2321" s="5"/>
      <c r="O2321" s="2"/>
      <c r="P2321" s="27"/>
      <c r="Q2321" s="26"/>
      <c r="R2321" s="28"/>
    </row>
    <row r="2322" spans="1:18" ht="30" customHeight="1" thickBot="1" x14ac:dyDescent="0.5">
      <c r="A2322" s="1304"/>
      <c r="B2322" s="1304"/>
      <c r="C2322" s="1304"/>
      <c r="D2322" s="1304"/>
      <c r="E2322" s="127"/>
      <c r="F2322" s="78"/>
      <c r="G2322" s="1296"/>
      <c r="H2322" s="1297"/>
      <c r="I2322" s="78"/>
      <c r="J2322" s="128" t="s">
        <v>39</v>
      </c>
      <c r="K2322" s="129">
        <f>K2321/H2310</f>
        <v>58.843227177867952</v>
      </c>
      <c r="L2322" s="78" t="s">
        <v>1381</v>
      </c>
      <c r="M2322" s="25"/>
      <c r="N2322" s="5"/>
      <c r="O2322" s="2"/>
      <c r="P2322" s="27"/>
      <c r="Q2322" s="26"/>
      <c r="R2322" s="28"/>
    </row>
    <row r="2323" spans="1:18" ht="30" customHeight="1" thickBot="1" x14ac:dyDescent="0.5">
      <c r="A2323" s="999"/>
      <c r="B2323" s="1000"/>
      <c r="C2323" s="1000"/>
      <c r="D2323" s="1000"/>
      <c r="E2323" s="1000"/>
      <c r="F2323" s="1000"/>
      <c r="G2323" s="1000"/>
      <c r="H2323" s="1000"/>
      <c r="I2323" s="1000"/>
      <c r="J2323" s="1000"/>
      <c r="K2323" s="1000"/>
      <c r="L2323" s="1001"/>
      <c r="M2323" s="25"/>
      <c r="N2323" s="5"/>
      <c r="O2323" s="2"/>
      <c r="P2323" s="27"/>
      <c r="Q2323" s="26"/>
      <c r="R2323" s="28"/>
    </row>
    <row r="2324" spans="1:18" ht="30" customHeight="1" x14ac:dyDescent="0.45">
      <c r="A2324" s="9" t="s">
        <v>4</v>
      </c>
      <c r="B2324" s="10">
        <v>4113</v>
      </c>
      <c r="C2324" s="983" t="s">
        <v>1385</v>
      </c>
      <c r="D2324" s="984"/>
      <c r="E2324" s="13" t="s">
        <v>7</v>
      </c>
      <c r="F2324" s="14" t="s">
        <v>1381</v>
      </c>
      <c r="G2324" s="161" t="s">
        <v>148</v>
      </c>
      <c r="H2324" s="163">
        <v>50000</v>
      </c>
      <c r="I2324" s="13" t="s">
        <v>9</v>
      </c>
      <c r="J2324" s="985" t="s">
        <v>76</v>
      </c>
      <c r="K2324" s="985"/>
      <c r="L2324" s="986"/>
      <c r="M2324" s="25"/>
      <c r="O2324" s="2"/>
      <c r="P2324" s="27"/>
      <c r="Q2324" s="26"/>
      <c r="R2324" s="28"/>
    </row>
    <row r="2325" spans="1:18" ht="30" customHeight="1" x14ac:dyDescent="0.45">
      <c r="A2325" s="114" t="s">
        <v>77</v>
      </c>
      <c r="B2325" s="1300" t="s">
        <v>12</v>
      </c>
      <c r="C2325" s="1301"/>
      <c r="D2325" s="1302"/>
      <c r="E2325" s="115" t="s">
        <v>78</v>
      </c>
      <c r="F2325" s="116" t="s">
        <v>79</v>
      </c>
      <c r="G2325" s="117" t="s">
        <v>80</v>
      </c>
      <c r="H2325" s="118" t="s">
        <v>81</v>
      </c>
      <c r="I2325" s="118" t="s">
        <v>82</v>
      </c>
      <c r="J2325" s="118" t="s">
        <v>222</v>
      </c>
      <c r="K2325" s="114" t="s">
        <v>84</v>
      </c>
      <c r="L2325" s="120" t="s">
        <v>85</v>
      </c>
      <c r="M2325" s="25"/>
      <c r="N2325" s="26"/>
      <c r="O2325" s="2"/>
      <c r="P2325" s="27"/>
      <c r="Q2325" s="26"/>
      <c r="R2325" s="28"/>
    </row>
    <row r="2326" spans="1:18" ht="30" customHeight="1" x14ac:dyDescent="0.45">
      <c r="A2326" s="122" t="s">
        <v>1386</v>
      </c>
      <c r="B2326" s="1291" t="s">
        <v>1387</v>
      </c>
      <c r="C2326" s="1292"/>
      <c r="D2326" s="1293"/>
      <c r="E2326" s="123">
        <v>7796.07</v>
      </c>
      <c r="F2326" s="124" t="s">
        <v>29</v>
      </c>
      <c r="G2326" s="124">
        <v>6575415.1758149704</v>
      </c>
      <c r="H2326" s="124">
        <v>19659530.093217298</v>
      </c>
      <c r="I2326" s="124">
        <v>22500.0377045036</v>
      </c>
      <c r="J2326" s="124">
        <v>0</v>
      </c>
      <c r="K2326" s="125">
        <f>+J2326+I2326+H2326+G2326</f>
        <v>26257445.306736775</v>
      </c>
      <c r="L2326" s="124" t="s">
        <v>29</v>
      </c>
      <c r="M2326" s="121"/>
      <c r="N2326" s="26"/>
      <c r="O2326" s="2"/>
      <c r="P2326" s="27"/>
      <c r="Q2326" s="26"/>
      <c r="R2326" s="28"/>
    </row>
    <row r="2327" spans="1:18" ht="30" customHeight="1" x14ac:dyDescent="0.45">
      <c r="A2327" s="122" t="s">
        <v>1388</v>
      </c>
      <c r="B2327" s="1291" t="s">
        <v>1389</v>
      </c>
      <c r="C2327" s="1292"/>
      <c r="D2327" s="1293"/>
      <c r="E2327" s="123">
        <v>150</v>
      </c>
      <c r="F2327" s="124" t="s">
        <v>29</v>
      </c>
      <c r="G2327" s="124">
        <v>72615.097162434002</v>
      </c>
      <c r="H2327" s="124">
        <v>48818.384750092198</v>
      </c>
      <c r="I2327" s="124">
        <v>3189.9453257119899</v>
      </c>
      <c r="J2327" s="124">
        <v>0</v>
      </c>
      <c r="K2327" s="125">
        <f t="shared" ref="K2327:K2332" si="56">+J2327+I2327+H2327+G2327</f>
        <v>124623.42723823819</v>
      </c>
      <c r="L2327" s="124" t="s">
        <v>29</v>
      </c>
      <c r="M2327" s="121"/>
      <c r="N2327" s="5"/>
      <c r="O2327" s="2"/>
      <c r="P2327" s="27"/>
      <c r="Q2327" s="26"/>
      <c r="R2327" s="28"/>
    </row>
    <row r="2328" spans="1:18" ht="30" customHeight="1" x14ac:dyDescent="0.45">
      <c r="A2328" s="122" t="s">
        <v>1390</v>
      </c>
      <c r="B2328" s="1291" t="s">
        <v>1391</v>
      </c>
      <c r="C2328" s="1292"/>
      <c r="D2328" s="1293"/>
      <c r="E2328" s="123">
        <v>1100</v>
      </c>
      <c r="F2328" s="124" t="s">
        <v>113</v>
      </c>
      <c r="G2328" s="124">
        <v>4343741.8647273798</v>
      </c>
      <c r="H2328" s="124">
        <v>1699642.41577253</v>
      </c>
      <c r="I2328" s="124">
        <v>262042.670834077</v>
      </c>
      <c r="J2328" s="124">
        <v>0</v>
      </c>
      <c r="K2328" s="125">
        <f t="shared" si="56"/>
        <v>6305426.9513339866</v>
      </c>
      <c r="L2328" s="124" t="s">
        <v>113</v>
      </c>
      <c r="M2328" s="121"/>
      <c r="N2328" s="5"/>
      <c r="O2328" s="2"/>
      <c r="P2328" s="27"/>
      <c r="Q2328" s="26"/>
      <c r="R2328" s="28"/>
    </row>
    <row r="2329" spans="1:18" ht="30" customHeight="1" x14ac:dyDescent="0.45">
      <c r="A2329" s="122" t="s">
        <v>1392</v>
      </c>
      <c r="B2329" s="1291" t="s">
        <v>1393</v>
      </c>
      <c r="C2329" s="1292"/>
      <c r="D2329" s="1293"/>
      <c r="E2329" s="123">
        <v>12018.58</v>
      </c>
      <c r="F2329" s="124" t="s">
        <v>113</v>
      </c>
      <c r="G2329" s="124">
        <v>181243.05171905801</v>
      </c>
      <c r="H2329" s="124">
        <v>141601.395873178</v>
      </c>
      <c r="I2329" s="124">
        <v>0</v>
      </c>
      <c r="J2329" s="124">
        <v>0</v>
      </c>
      <c r="K2329" s="125">
        <f t="shared" si="56"/>
        <v>322844.44759223599</v>
      </c>
      <c r="L2329" s="124" t="s">
        <v>113</v>
      </c>
      <c r="M2329" s="121"/>
      <c r="N2329" s="5"/>
      <c r="O2329" s="2"/>
      <c r="P2329" s="27"/>
      <c r="Q2329" s="26"/>
      <c r="R2329" s="28"/>
    </row>
    <row r="2330" spans="1:18" ht="30" customHeight="1" x14ac:dyDescent="0.45">
      <c r="A2330" s="122" t="s">
        <v>1394</v>
      </c>
      <c r="B2330" s="1291" t="s">
        <v>1395</v>
      </c>
      <c r="C2330" s="1292"/>
      <c r="D2330" s="1293"/>
      <c r="E2330" s="123">
        <v>60</v>
      </c>
      <c r="F2330" s="124" t="s">
        <v>88</v>
      </c>
      <c r="G2330" s="124">
        <v>41812.968700724101</v>
      </c>
      <c r="H2330" s="124">
        <v>8814.7989275617092</v>
      </c>
      <c r="I2330" s="124">
        <v>995.60567128353898</v>
      </c>
      <c r="J2330" s="124">
        <v>0</v>
      </c>
      <c r="K2330" s="125">
        <f t="shared" si="56"/>
        <v>51623.37329956935</v>
      </c>
      <c r="L2330" s="124" t="s">
        <v>88</v>
      </c>
      <c r="M2330" s="121"/>
      <c r="N2330" s="5"/>
      <c r="O2330" s="2"/>
      <c r="P2330" s="27"/>
      <c r="Q2330" s="26"/>
      <c r="R2330" s="28"/>
    </row>
    <row r="2331" spans="1:18" ht="30" customHeight="1" x14ac:dyDescent="0.45">
      <c r="A2331" s="122" t="s">
        <v>1396</v>
      </c>
      <c r="B2331" s="1291" t="s">
        <v>1397</v>
      </c>
      <c r="C2331" s="1292"/>
      <c r="D2331" s="1293"/>
      <c r="E2331" s="123">
        <v>1</v>
      </c>
      <c r="F2331" s="124" t="s">
        <v>88</v>
      </c>
      <c r="G2331" s="124">
        <v>10254.2288521315</v>
      </c>
      <c r="H2331" s="124">
        <v>1846.2893122585999</v>
      </c>
      <c r="I2331" s="124">
        <v>12.843864046498799</v>
      </c>
      <c r="J2331" s="124">
        <v>0</v>
      </c>
      <c r="K2331" s="125">
        <f t="shared" si="56"/>
        <v>12113.362028436599</v>
      </c>
      <c r="L2331" s="124" t="s">
        <v>88</v>
      </c>
      <c r="M2331" s="121"/>
      <c r="N2331" s="5"/>
      <c r="O2331" s="2"/>
      <c r="P2331" s="27"/>
      <c r="Q2331" s="26"/>
      <c r="R2331" s="28"/>
    </row>
    <row r="2332" spans="1:18" ht="30" customHeight="1" x14ac:dyDescent="0.45">
      <c r="A2332" s="122" t="s">
        <v>180</v>
      </c>
      <c r="B2332" s="1291" t="s">
        <v>181</v>
      </c>
      <c r="C2332" s="1292"/>
      <c r="D2332" s="1293"/>
      <c r="E2332" s="123">
        <v>1.5</v>
      </c>
      <c r="F2332" s="124" t="s">
        <v>182</v>
      </c>
      <c r="G2332" s="124">
        <v>5811.3073420989604</v>
      </c>
      <c r="H2332" s="124">
        <v>974.31030771825294</v>
      </c>
      <c r="I2332" s="124">
        <v>240.800830309053</v>
      </c>
      <c r="J2332" s="124">
        <v>0</v>
      </c>
      <c r="K2332" s="125">
        <f t="shared" si="56"/>
        <v>7026.4184801262663</v>
      </c>
      <c r="L2332" s="124" t="s">
        <v>113</v>
      </c>
      <c r="M2332" s="121"/>
      <c r="N2332" s="5"/>
      <c r="O2332" s="2"/>
      <c r="P2332" s="27"/>
      <c r="Q2332" s="26"/>
      <c r="R2332" s="28"/>
    </row>
    <row r="2333" spans="1:18" ht="30" customHeight="1" x14ac:dyDescent="0.45">
      <c r="A2333" s="1294" t="s">
        <v>436</v>
      </c>
      <c r="B2333" s="1294"/>
      <c r="C2333" s="1294"/>
      <c r="D2333" s="1294"/>
      <c r="E2333" s="126"/>
      <c r="F2333" s="126"/>
      <c r="G2333" s="126"/>
      <c r="H2333" s="126"/>
      <c r="I2333" s="126"/>
      <c r="J2333" s="62" t="s">
        <v>38</v>
      </c>
      <c r="K2333" s="125">
        <f>SUM(K2326:K2332)</f>
        <v>33081103.286709368</v>
      </c>
      <c r="L2333" s="124" t="s">
        <v>188</v>
      </c>
      <c r="M2333" s="121"/>
      <c r="N2333" s="5"/>
      <c r="O2333" s="2"/>
      <c r="P2333" s="27"/>
      <c r="Q2333" s="26"/>
      <c r="R2333" s="28"/>
    </row>
    <row r="2334" spans="1:18" ht="30" customHeight="1" thickBot="1" x14ac:dyDescent="0.5">
      <c r="A2334" s="1295"/>
      <c r="B2334" s="1295"/>
      <c r="C2334" s="1295"/>
      <c r="D2334" s="1295"/>
      <c r="E2334" s="127"/>
      <c r="F2334" s="78"/>
      <c r="G2334" s="1296"/>
      <c r="H2334" s="1297"/>
      <c r="I2334" s="78"/>
      <c r="J2334" s="128" t="s">
        <v>39</v>
      </c>
      <c r="K2334" s="129">
        <f>K2333/H2324</f>
        <v>661.62206573418734</v>
      </c>
      <c r="L2334" s="78" t="s">
        <v>1381</v>
      </c>
      <c r="M2334" s="25"/>
      <c r="N2334" s="5"/>
      <c r="O2334" s="2"/>
      <c r="P2334" s="27"/>
      <c r="Q2334" s="26"/>
      <c r="R2334" s="28"/>
    </row>
    <row r="2335" spans="1:18" ht="30" customHeight="1" thickBot="1" x14ac:dyDescent="0.5">
      <c r="A2335" s="999"/>
      <c r="B2335" s="1000"/>
      <c r="C2335" s="1000"/>
      <c r="D2335" s="1000"/>
      <c r="E2335" s="1000"/>
      <c r="F2335" s="1000"/>
      <c r="G2335" s="1000"/>
      <c r="H2335" s="1000"/>
      <c r="I2335" s="1000"/>
      <c r="J2335" s="1000"/>
      <c r="K2335" s="1000"/>
      <c r="L2335" s="1001"/>
      <c r="M2335" s="25"/>
      <c r="N2335" s="5"/>
      <c r="O2335" s="2"/>
      <c r="P2335" s="27"/>
      <c r="Q2335" s="26"/>
      <c r="R2335" s="28"/>
    </row>
    <row r="2336" spans="1:18" ht="30" customHeight="1" x14ac:dyDescent="0.45">
      <c r="A2336" s="9" t="s">
        <v>4</v>
      </c>
      <c r="B2336" s="10">
        <v>4114</v>
      </c>
      <c r="C2336" s="1298" t="s">
        <v>1398</v>
      </c>
      <c r="D2336" s="1299"/>
      <c r="E2336" s="13" t="s">
        <v>7</v>
      </c>
      <c r="F2336" s="14" t="s">
        <v>163</v>
      </c>
      <c r="G2336" s="11" t="s">
        <v>6</v>
      </c>
      <c r="H2336" s="300">
        <v>7476.1428571428496</v>
      </c>
      <c r="I2336" s="13" t="s">
        <v>9</v>
      </c>
      <c r="J2336" s="985" t="s">
        <v>10</v>
      </c>
      <c r="K2336" s="985"/>
      <c r="L2336" s="986"/>
      <c r="M2336" s="25"/>
      <c r="O2336" s="2"/>
      <c r="P2336" s="27"/>
      <c r="Q2336" s="26"/>
      <c r="R2336" s="28"/>
    </row>
    <row r="2337" spans="1:18" ht="30" customHeight="1" x14ac:dyDescent="0.45">
      <c r="A2337" s="19" t="s">
        <v>11</v>
      </c>
      <c r="B2337" s="1005" t="s">
        <v>12</v>
      </c>
      <c r="C2337" s="1005"/>
      <c r="D2337" s="1005"/>
      <c r="E2337" s="20" t="s">
        <v>13</v>
      </c>
      <c r="F2337" s="19" t="s">
        <v>267</v>
      </c>
      <c r="G2337" s="990" t="s">
        <v>15</v>
      </c>
      <c r="H2337" s="991"/>
      <c r="I2337" s="1068" t="s">
        <v>16</v>
      </c>
      <c r="J2337" s="1069"/>
      <c r="K2337" s="992" t="s">
        <v>17</v>
      </c>
      <c r="L2337" s="993"/>
      <c r="M2337" s="25"/>
      <c r="N2337" s="26"/>
      <c r="O2337" s="2"/>
      <c r="P2337" s="27"/>
      <c r="Q2337" s="26"/>
      <c r="R2337" s="28"/>
    </row>
    <row r="2338" spans="1:18" ht="30" customHeight="1" x14ac:dyDescent="0.45">
      <c r="A2338" s="47">
        <v>84620</v>
      </c>
      <c r="B2338" s="1018" t="s">
        <v>1399</v>
      </c>
      <c r="C2338" s="1019"/>
      <c r="D2338" s="1020"/>
      <c r="E2338" s="445">
        <v>235388.23</v>
      </c>
      <c r="F2338" s="584">
        <v>8000</v>
      </c>
      <c r="G2338" s="203"/>
      <c r="H2338" s="47" t="s">
        <v>1400</v>
      </c>
      <c r="I2338" s="1084">
        <f>+'[1]2023 MILCON Inflation Table'!F22</f>
        <v>0.93771935922451721</v>
      </c>
      <c r="J2338" s="1085"/>
      <c r="K2338" s="393">
        <f>+E2338/F2338*I2338</f>
        <v>27.591012525574161</v>
      </c>
      <c r="L2338" s="29" t="s">
        <v>163</v>
      </c>
      <c r="M2338" s="25"/>
      <c r="N2338" s="26"/>
      <c r="O2338" s="2"/>
      <c r="P2338" s="27"/>
      <c r="Q2338" s="26"/>
      <c r="R2338" s="28"/>
    </row>
    <row r="2339" spans="1:18" ht="30" customHeight="1" x14ac:dyDescent="0.45">
      <c r="A2339" s="47">
        <v>84620</v>
      </c>
      <c r="B2339" s="1018" t="s">
        <v>1401</v>
      </c>
      <c r="C2339" s="1019"/>
      <c r="D2339" s="1020"/>
      <c r="E2339" s="445">
        <v>122665.7</v>
      </c>
      <c r="F2339" s="584">
        <v>8000</v>
      </c>
      <c r="G2339" s="303"/>
      <c r="H2339" s="47" t="s">
        <v>1400</v>
      </c>
      <c r="I2339" s="1084">
        <f>+I2338</f>
        <v>0.93771935922451721</v>
      </c>
      <c r="J2339" s="1085"/>
      <c r="K2339" s="393">
        <f>+E2339/F2339*I2339</f>
        <v>14.378250200353358</v>
      </c>
      <c r="L2339" s="29" t="s">
        <v>163</v>
      </c>
      <c r="M2339" s="25"/>
      <c r="N2339" s="26"/>
      <c r="O2339" s="2"/>
      <c r="P2339" s="27"/>
      <c r="Q2339" s="26"/>
      <c r="R2339" s="28"/>
    </row>
    <row r="2340" spans="1:18" ht="30" customHeight="1" x14ac:dyDescent="0.45">
      <c r="A2340" s="85"/>
      <c r="B2340" s="217"/>
      <c r="C2340" s="218"/>
      <c r="D2340" s="219"/>
      <c r="E2340" s="220"/>
      <c r="F2340" s="98"/>
      <c r="G2340" s="614"/>
      <c r="H2340" s="615"/>
      <c r="I2340" s="22"/>
      <c r="J2340" s="105" t="s">
        <v>56</v>
      </c>
      <c r="K2340" s="393">
        <f>AVERAGE(K2338:K2339)</f>
        <v>20.984631362963761</v>
      </c>
      <c r="L2340" s="24"/>
      <c r="M2340" s="25"/>
      <c r="N2340" s="26"/>
      <c r="O2340" s="2"/>
      <c r="P2340" s="27"/>
      <c r="Q2340" s="26"/>
      <c r="R2340" s="28"/>
    </row>
    <row r="2341" spans="1:18" ht="30" customHeight="1" thickBot="1" x14ac:dyDescent="0.5">
      <c r="A2341" s="47"/>
      <c r="B2341" s="47"/>
      <c r="C2341" s="58"/>
      <c r="D2341" s="58"/>
      <c r="E2341" s="58"/>
      <c r="F2341" s="58"/>
      <c r="G2341" s="58"/>
      <c r="H2341" s="58"/>
      <c r="I2341" s="58"/>
      <c r="J2341" s="85" t="s">
        <v>39</v>
      </c>
      <c r="K2341" s="334">
        <f>+K2340</f>
        <v>20.984631362963761</v>
      </c>
      <c r="L2341" s="47" t="s">
        <v>163</v>
      </c>
      <c r="M2341" s="25"/>
      <c r="O2341" s="2"/>
      <c r="P2341" s="27"/>
      <c r="Q2341" s="26"/>
      <c r="R2341" s="28"/>
    </row>
    <row r="2342" spans="1:18" ht="30" customHeight="1" thickBot="1" x14ac:dyDescent="0.5">
      <c r="A2342" s="999"/>
      <c r="B2342" s="1000"/>
      <c r="C2342" s="1000"/>
      <c r="D2342" s="1000"/>
      <c r="E2342" s="1000"/>
      <c r="F2342" s="1000"/>
      <c r="G2342" s="1000"/>
      <c r="H2342" s="1000"/>
      <c r="I2342" s="1000"/>
      <c r="J2342" s="1000"/>
      <c r="K2342" s="1000"/>
      <c r="L2342" s="1001"/>
      <c r="M2342" s="25"/>
      <c r="O2342" s="2"/>
      <c r="P2342" s="27"/>
      <c r="Q2342" s="26"/>
      <c r="R2342" s="28"/>
    </row>
    <row r="2343" spans="1:18" ht="30" customHeight="1" x14ac:dyDescent="0.45">
      <c r="A2343" s="9" t="s">
        <v>4</v>
      </c>
      <c r="B2343" s="10">
        <v>4121</v>
      </c>
      <c r="C2343" s="1138" t="s">
        <v>1402</v>
      </c>
      <c r="D2343" s="1139"/>
      <c r="E2343" s="13" t="s">
        <v>7</v>
      </c>
      <c r="F2343" s="14" t="s">
        <v>163</v>
      </c>
      <c r="G2343" s="11" t="s">
        <v>6</v>
      </c>
      <c r="H2343" s="184">
        <v>34650</v>
      </c>
      <c r="I2343" s="13" t="s">
        <v>9</v>
      </c>
      <c r="J2343" s="985" t="s">
        <v>526</v>
      </c>
      <c r="K2343" s="985"/>
      <c r="L2343" s="986"/>
      <c r="M2343" s="25"/>
      <c r="N2343" s="26"/>
      <c r="O2343" s="2"/>
      <c r="P2343" s="27"/>
      <c r="Q2343" s="26"/>
      <c r="R2343" s="28"/>
    </row>
    <row r="2344" spans="1:18" ht="30" customHeight="1" x14ac:dyDescent="0.45">
      <c r="A2344" s="19" t="s">
        <v>11</v>
      </c>
      <c r="B2344" s="1005" t="s">
        <v>12</v>
      </c>
      <c r="C2344" s="1005"/>
      <c r="D2344" s="1005"/>
      <c r="E2344" s="20" t="s">
        <v>13</v>
      </c>
      <c r="F2344" s="19" t="s">
        <v>267</v>
      </c>
      <c r="G2344" s="990" t="s">
        <v>15</v>
      </c>
      <c r="H2344" s="991"/>
      <c r="I2344" s="1068" t="s">
        <v>16</v>
      </c>
      <c r="J2344" s="1069"/>
      <c r="K2344" s="992" t="s">
        <v>17</v>
      </c>
      <c r="L2344" s="993"/>
      <c r="M2344" s="25"/>
      <c r="N2344" s="26"/>
      <c r="O2344" s="2"/>
      <c r="P2344" s="27"/>
      <c r="Q2344" s="26"/>
      <c r="R2344" s="28"/>
    </row>
    <row r="2345" spans="1:18" ht="30" customHeight="1" x14ac:dyDescent="0.45">
      <c r="A2345" s="105">
        <v>84620</v>
      </c>
      <c r="B2345" s="1018" t="s">
        <v>1403</v>
      </c>
      <c r="C2345" s="1019"/>
      <c r="D2345" s="1020"/>
      <c r="E2345" s="616">
        <v>161364.15</v>
      </c>
      <c r="F2345" s="617">
        <v>12000</v>
      </c>
      <c r="G2345" s="618"/>
      <c r="H2345" s="47" t="s">
        <v>1400</v>
      </c>
      <c r="I2345" s="1084">
        <f>+'[1]2023 MILCON Inflation Table'!F22</f>
        <v>0.93771935922451721</v>
      </c>
      <c r="J2345" s="1085"/>
      <c r="K2345" s="619">
        <f>+E2345/F2345*I2345</f>
        <v>12.609523944984073</v>
      </c>
      <c r="L2345" s="47" t="s">
        <v>163</v>
      </c>
      <c r="M2345" s="25"/>
      <c r="N2345" s="5"/>
      <c r="O2345" s="2"/>
      <c r="P2345" s="27"/>
      <c r="Q2345" s="26"/>
      <c r="R2345" s="28"/>
    </row>
    <row r="2346" spans="1:18" ht="30" customHeight="1" x14ac:dyDescent="0.45">
      <c r="A2346" s="105">
        <v>84620</v>
      </c>
      <c r="B2346" s="1018" t="s">
        <v>1404</v>
      </c>
      <c r="C2346" s="1019"/>
      <c r="D2346" s="1020"/>
      <c r="E2346" s="616">
        <v>448953.63</v>
      </c>
      <c r="F2346" s="617">
        <v>20000</v>
      </c>
      <c r="G2346" s="618"/>
      <c r="H2346" s="47" t="s">
        <v>1400</v>
      </c>
      <c r="I2346" s="1084">
        <f>+I2345</f>
        <v>0.93771935922451721</v>
      </c>
      <c r="J2346" s="1085"/>
      <c r="K2346" s="619">
        <f>+E2346/F2346*I2346</f>
        <v>21.04962551225605</v>
      </c>
      <c r="L2346" s="47" t="s">
        <v>163</v>
      </c>
      <c r="M2346" s="25"/>
      <c r="N2346" s="5"/>
      <c r="O2346" s="2"/>
      <c r="P2346" s="27"/>
      <c r="Q2346" s="26"/>
      <c r="R2346" s="28"/>
    </row>
    <row r="2347" spans="1:18" ht="30" customHeight="1" x14ac:dyDescent="0.45">
      <c r="A2347" s="105">
        <v>84610</v>
      </c>
      <c r="B2347" s="1018" t="s">
        <v>1405</v>
      </c>
      <c r="C2347" s="1019"/>
      <c r="D2347" s="1020"/>
      <c r="E2347" s="616">
        <v>255230</v>
      </c>
      <c r="F2347" s="617">
        <v>100000</v>
      </c>
      <c r="G2347" s="618"/>
      <c r="H2347" s="47" t="s">
        <v>1400</v>
      </c>
      <c r="I2347" s="1084">
        <f>+'[1]2023 MILCON Inflation Table'!F21</f>
        <v>0.957411465768232</v>
      </c>
      <c r="J2347" s="1085"/>
      <c r="K2347" s="619">
        <f>+E2347/F2347*I2347</f>
        <v>2.4436012840802581</v>
      </c>
      <c r="L2347" s="47" t="s">
        <v>163</v>
      </c>
      <c r="M2347" s="25"/>
      <c r="N2347" s="26"/>
      <c r="O2347" s="2"/>
      <c r="P2347" s="27"/>
      <c r="Q2347" s="26"/>
      <c r="R2347" s="28"/>
    </row>
    <row r="2348" spans="1:18" ht="30" customHeight="1" x14ac:dyDescent="0.45">
      <c r="A2348" s="47"/>
      <c r="B2348" s="1018"/>
      <c r="C2348" s="1019"/>
      <c r="D2348" s="1020"/>
      <c r="E2348" s="445"/>
      <c r="F2348" s="394"/>
      <c r="G2348" s="47"/>
      <c r="H2348" s="47"/>
      <c r="I2348" s="411"/>
      <c r="J2348" s="540" t="s">
        <v>56</v>
      </c>
      <c r="K2348" s="335">
        <f>AVERAGE(K2345:K2347)</f>
        <v>12.034250247106792</v>
      </c>
      <c r="L2348" s="47" t="s">
        <v>163</v>
      </c>
      <c r="M2348" s="25"/>
      <c r="N2348" s="26"/>
      <c r="O2348" s="2"/>
      <c r="P2348" s="27"/>
      <c r="Q2348" s="26"/>
      <c r="R2348" s="28"/>
    </row>
    <row r="2349" spans="1:18" ht="30" customHeight="1" thickBot="1" x14ac:dyDescent="0.5">
      <c r="A2349" s="47"/>
      <c r="B2349" s="1008"/>
      <c r="C2349" s="1009"/>
      <c r="D2349" s="1010"/>
      <c r="E2349" s="161"/>
      <c r="F2349" s="415"/>
      <c r="G2349" s="161"/>
      <c r="H2349" s="389"/>
      <c r="I2349" s="58"/>
      <c r="J2349" s="85" t="s">
        <v>39</v>
      </c>
      <c r="K2349" s="185">
        <f>AVERAGE(K2345:K2348)</f>
        <v>12.034250247106792</v>
      </c>
      <c r="L2349" s="47" t="s">
        <v>163</v>
      </c>
      <c r="M2349" s="25"/>
      <c r="N2349" s="26"/>
      <c r="O2349" s="2"/>
      <c r="P2349" s="27"/>
      <c r="Q2349" s="26"/>
      <c r="R2349" s="28"/>
    </row>
    <row r="2350" spans="1:18" ht="30" customHeight="1" thickBot="1" x14ac:dyDescent="0.5">
      <c r="A2350" s="999"/>
      <c r="B2350" s="1000"/>
      <c r="C2350" s="1000"/>
      <c r="D2350" s="1000"/>
      <c r="E2350" s="1000"/>
      <c r="F2350" s="1000"/>
      <c r="G2350" s="1000"/>
      <c r="H2350" s="1000"/>
      <c r="I2350" s="1000"/>
      <c r="J2350" s="1000"/>
      <c r="K2350" s="1000"/>
      <c r="L2350" s="1001"/>
      <c r="M2350" s="25"/>
      <c r="N2350" s="186"/>
      <c r="O2350" s="2"/>
      <c r="P2350" s="27"/>
      <c r="Q2350" s="26"/>
      <c r="R2350" s="28"/>
    </row>
    <row r="2351" spans="1:18" ht="30" customHeight="1" x14ac:dyDescent="0.45">
      <c r="A2351" s="9" t="s">
        <v>4</v>
      </c>
      <c r="B2351" s="10">
        <v>4122</v>
      </c>
      <c r="C2351" s="1138" t="s">
        <v>1406</v>
      </c>
      <c r="D2351" s="1139"/>
      <c r="E2351" s="13" t="s">
        <v>7</v>
      </c>
      <c r="F2351" s="14" t="s">
        <v>35</v>
      </c>
      <c r="G2351" s="11" t="s">
        <v>6</v>
      </c>
      <c r="H2351" s="184">
        <v>1752.0847076023299</v>
      </c>
      <c r="I2351" s="13" t="s">
        <v>9</v>
      </c>
      <c r="J2351" s="985" t="s">
        <v>10</v>
      </c>
      <c r="K2351" s="985"/>
      <c r="L2351" s="986"/>
      <c r="M2351" s="25"/>
      <c r="N2351" s="26"/>
      <c r="O2351" s="2"/>
      <c r="P2351" s="27"/>
      <c r="Q2351" s="26"/>
      <c r="R2351" s="28"/>
    </row>
    <row r="2352" spans="1:18" ht="30" customHeight="1" x14ac:dyDescent="0.45">
      <c r="A2352" s="19" t="s">
        <v>11</v>
      </c>
      <c r="B2352" s="1005" t="s">
        <v>12</v>
      </c>
      <c r="C2352" s="1005"/>
      <c r="D2352" s="1005"/>
      <c r="E2352" s="132" t="s">
        <v>267</v>
      </c>
      <c r="F2352" s="20" t="s">
        <v>13</v>
      </c>
      <c r="G2352" s="1068" t="s">
        <v>15</v>
      </c>
      <c r="H2352" s="1069"/>
      <c r="I2352" s="1068" t="s">
        <v>16</v>
      </c>
      <c r="J2352" s="1069"/>
      <c r="K2352" s="992" t="s">
        <v>17</v>
      </c>
      <c r="L2352" s="993"/>
      <c r="M2352" s="25"/>
      <c r="N2352" s="26"/>
      <c r="O2352" s="2"/>
      <c r="P2352" s="27"/>
      <c r="Q2352" s="26"/>
      <c r="R2352" s="28"/>
    </row>
    <row r="2353" spans="1:24" ht="30" customHeight="1" x14ac:dyDescent="0.45">
      <c r="A2353" s="29">
        <v>44220</v>
      </c>
      <c r="B2353" s="1142" t="s">
        <v>347</v>
      </c>
      <c r="C2353" s="1117"/>
      <c r="D2353" s="1118"/>
      <c r="E2353" s="176">
        <v>5300</v>
      </c>
      <c r="F2353" s="145">
        <v>367</v>
      </c>
      <c r="G2353" s="177"/>
      <c r="H2353" s="178"/>
      <c r="I2353" s="1119">
        <f>+'[1]2023 MILCON Inflation Table'!F22</f>
        <v>0.93771935922451721</v>
      </c>
      <c r="J2353" s="1120"/>
      <c r="K2353" s="145">
        <f>+F2353*I2353</f>
        <v>344.14300483539779</v>
      </c>
      <c r="L2353" s="29" t="s">
        <v>35</v>
      </c>
      <c r="M2353" s="25"/>
      <c r="N2353" s="26"/>
      <c r="O2353" s="2"/>
      <c r="P2353" s="27"/>
      <c r="Q2353" s="26"/>
      <c r="R2353" s="28"/>
    </row>
    <row r="2354" spans="1:24" ht="30" customHeight="1" x14ac:dyDescent="0.45">
      <c r="A2354" s="29">
        <v>21470</v>
      </c>
      <c r="B2354" s="1142" t="s">
        <v>348</v>
      </c>
      <c r="C2354" s="1117"/>
      <c r="D2354" s="1118"/>
      <c r="E2354" s="176">
        <v>180</v>
      </c>
      <c r="F2354" s="145">
        <v>724</v>
      </c>
      <c r="G2354" s="177"/>
      <c r="H2354" s="178"/>
      <c r="I2354" s="1119">
        <f>+I2353</f>
        <v>0.93771935922451721</v>
      </c>
      <c r="J2354" s="1120"/>
      <c r="K2354" s="145">
        <f>+F2354*I2354</f>
        <v>678.90881607855044</v>
      </c>
      <c r="L2354" s="29" t="s">
        <v>35</v>
      </c>
      <c r="M2354" s="25"/>
      <c r="N2354" s="26"/>
      <c r="O2354" s="2"/>
      <c r="P2354" s="27"/>
      <c r="Q2354" s="26"/>
      <c r="R2354" s="28"/>
    </row>
    <row r="2355" spans="1:24" ht="30" customHeight="1" x14ac:dyDescent="0.45">
      <c r="A2355" s="47"/>
      <c r="B2355" s="197"/>
      <c r="C2355" s="198"/>
      <c r="D2355" s="292" t="s">
        <v>56</v>
      </c>
      <c r="E2355" s="280">
        <f>AVERAGE(E2353:E2354)</f>
        <v>2740</v>
      </c>
      <c r="F2355" s="281"/>
      <c r="G2355" s="282"/>
      <c r="H2355" s="283"/>
      <c r="I2355" s="1119" t="s">
        <v>56</v>
      </c>
      <c r="J2355" s="1120"/>
      <c r="K2355" s="145">
        <f>AVERAGE(K2353:K2354)</f>
        <v>511.52591045697409</v>
      </c>
      <c r="L2355" s="29" t="s">
        <v>35</v>
      </c>
      <c r="M2355" s="25"/>
      <c r="N2355" s="26"/>
      <c r="O2355" s="2"/>
      <c r="P2355" s="27"/>
      <c r="Q2355" s="26"/>
      <c r="R2355" s="28"/>
    </row>
    <row r="2356" spans="1:24" ht="30" customHeight="1" thickBot="1" x14ac:dyDescent="0.5">
      <c r="A2356" s="47"/>
      <c r="B2356" s="1092"/>
      <c r="C2356" s="1092"/>
      <c r="D2356" s="1092"/>
      <c r="E2356" s="293"/>
      <c r="F2356" s="294"/>
      <c r="G2356" s="294"/>
      <c r="H2356" s="295"/>
      <c r="I2356" s="58"/>
      <c r="J2356" s="85" t="s">
        <v>39</v>
      </c>
      <c r="K2356" s="216">
        <f>+K2355</f>
        <v>511.52591045697409</v>
      </c>
      <c r="L2356" s="47" t="s">
        <v>35</v>
      </c>
      <c r="M2356" s="25"/>
      <c r="N2356" s="26"/>
      <c r="O2356" s="2"/>
      <c r="P2356" s="27"/>
      <c r="Q2356" s="26"/>
      <c r="R2356" s="28"/>
    </row>
    <row r="2357" spans="1:24" ht="30" customHeight="1" thickBot="1" x14ac:dyDescent="0.5">
      <c r="A2357" s="999"/>
      <c r="B2357" s="1000"/>
      <c r="C2357" s="1000"/>
      <c r="D2357" s="1000"/>
      <c r="E2357" s="1000"/>
      <c r="F2357" s="1000"/>
      <c r="G2357" s="1000"/>
      <c r="H2357" s="1000"/>
      <c r="I2357" s="1000"/>
      <c r="J2357" s="1000"/>
      <c r="K2357" s="1000"/>
      <c r="L2357" s="1001"/>
      <c r="M2357" s="25"/>
      <c r="N2357" s="26"/>
      <c r="O2357" s="2"/>
      <c r="P2357" s="27"/>
      <c r="Q2357" s="26"/>
      <c r="R2357" s="28"/>
    </row>
    <row r="2358" spans="1:24" ht="30" customHeight="1" x14ac:dyDescent="0.45">
      <c r="A2358" s="9" t="s">
        <v>4</v>
      </c>
      <c r="B2358" s="10">
        <v>4211</v>
      </c>
      <c r="C2358" s="1138" t="s">
        <v>1407</v>
      </c>
      <c r="D2358" s="1139"/>
      <c r="E2358" s="13" t="s">
        <v>7</v>
      </c>
      <c r="F2358" s="14" t="s">
        <v>35</v>
      </c>
      <c r="G2358" s="11" t="s">
        <v>6</v>
      </c>
      <c r="H2358" s="184">
        <v>2658.2639538795202</v>
      </c>
      <c r="I2358" s="13" t="s">
        <v>9</v>
      </c>
      <c r="J2358" s="985" t="s">
        <v>266</v>
      </c>
      <c r="K2358" s="985"/>
      <c r="L2358" s="986"/>
      <c r="M2358" s="25"/>
      <c r="N2358" s="3"/>
    </row>
    <row r="2359" spans="1:24" ht="30" customHeight="1" x14ac:dyDescent="0.45">
      <c r="A2359" s="19" t="s">
        <v>11</v>
      </c>
      <c r="B2359" s="1005" t="s">
        <v>12</v>
      </c>
      <c r="C2359" s="1005"/>
      <c r="D2359" s="1005"/>
      <c r="E2359" s="19" t="s">
        <v>267</v>
      </c>
      <c r="F2359" s="19" t="s">
        <v>13</v>
      </c>
      <c r="G2359" s="1114"/>
      <c r="H2359" s="1115"/>
      <c r="I2359" s="1140" t="s">
        <v>60</v>
      </c>
      <c r="J2359" s="1141"/>
      <c r="K2359" s="992" t="s">
        <v>17</v>
      </c>
      <c r="L2359" s="993"/>
      <c r="M2359" s="25"/>
      <c r="N2359" s="229"/>
      <c r="O2359" s="5"/>
      <c r="P2359" s="18"/>
      <c r="Q2359" s="18"/>
      <c r="R2359" s="18"/>
      <c r="S2359" s="18"/>
      <c r="T2359" s="18"/>
    </row>
    <row r="2360" spans="1:24" ht="30" customHeight="1" x14ac:dyDescent="0.45">
      <c r="A2360" s="38">
        <v>42120</v>
      </c>
      <c r="B2360" s="994" t="s">
        <v>1408</v>
      </c>
      <c r="C2360" s="994"/>
      <c r="D2360" s="994"/>
      <c r="E2360" s="394">
        <v>8800</v>
      </c>
      <c r="F2360" s="620">
        <v>549</v>
      </c>
      <c r="G2360" s="29"/>
      <c r="H2360" s="29"/>
      <c r="I2360" s="1119" t="s">
        <v>270</v>
      </c>
      <c r="J2360" s="1120"/>
      <c r="K2360" s="603">
        <f>+F2360</f>
        <v>549</v>
      </c>
      <c r="L2360" s="38" t="s">
        <v>35</v>
      </c>
      <c r="M2360" s="121"/>
    </row>
    <row r="2361" spans="1:24" ht="30" customHeight="1" thickBot="1" x14ac:dyDescent="0.5">
      <c r="A2361" s="47"/>
      <c r="B2361" s="1092"/>
      <c r="C2361" s="1092"/>
      <c r="D2361" s="1092"/>
      <c r="E2361" s="180"/>
      <c r="F2361" s="181"/>
      <c r="G2361" s="181"/>
      <c r="H2361" s="182"/>
      <c r="I2361" s="58"/>
      <c r="J2361" s="85" t="s">
        <v>39</v>
      </c>
      <c r="K2361" s="185">
        <f>+K2360</f>
        <v>549</v>
      </c>
      <c r="L2361" s="47" t="s">
        <v>35</v>
      </c>
      <c r="M2361" s="25"/>
      <c r="N2361" s="18"/>
      <c r="U2361" s="18"/>
      <c r="V2361" s="18"/>
      <c r="W2361" s="18"/>
      <c r="X2361" s="18"/>
    </row>
    <row r="2362" spans="1:24" s="18" customFormat="1" ht="30" customHeight="1" thickBot="1" x14ac:dyDescent="0.5">
      <c r="A2362" s="999"/>
      <c r="B2362" s="1000"/>
      <c r="C2362" s="1000"/>
      <c r="D2362" s="1000"/>
      <c r="E2362" s="1000"/>
      <c r="F2362" s="1000"/>
      <c r="G2362" s="1000"/>
      <c r="H2362" s="1000"/>
      <c r="I2362" s="1000"/>
      <c r="J2362" s="1000"/>
      <c r="K2362" s="1000"/>
      <c r="L2362" s="1001"/>
      <c r="M2362" s="25"/>
      <c r="N2362" s="2"/>
      <c r="O2362" s="3"/>
      <c r="P2362" s="2"/>
      <c r="Q2362" s="2"/>
      <c r="R2362" s="2"/>
      <c r="S2362" s="90"/>
      <c r="T2362" s="90"/>
      <c r="U2362" s="2"/>
      <c r="V2362" s="2"/>
      <c r="W2362" s="2"/>
      <c r="X2362" s="2"/>
    </row>
    <row r="2363" spans="1:24" ht="30" customHeight="1" x14ac:dyDescent="0.45">
      <c r="A2363" s="9" t="s">
        <v>4</v>
      </c>
      <c r="B2363" s="10">
        <v>4221</v>
      </c>
      <c r="C2363" s="1138" t="s">
        <v>1409</v>
      </c>
      <c r="D2363" s="1139"/>
      <c r="E2363" s="13" t="s">
        <v>7</v>
      </c>
      <c r="F2363" s="14" t="s">
        <v>35</v>
      </c>
      <c r="G2363" s="11" t="s">
        <v>6</v>
      </c>
      <c r="H2363" s="184">
        <v>2274.0796034200398</v>
      </c>
      <c r="I2363" s="13" t="s">
        <v>9</v>
      </c>
      <c r="J2363" s="985" t="s">
        <v>266</v>
      </c>
      <c r="K2363" s="985"/>
      <c r="L2363" s="986"/>
      <c r="M2363" s="25"/>
      <c r="S2363" s="41"/>
      <c r="T2363" s="41"/>
    </row>
    <row r="2364" spans="1:24" ht="30" customHeight="1" x14ac:dyDescent="0.45">
      <c r="A2364" s="19" t="s">
        <v>11</v>
      </c>
      <c r="B2364" s="1005" t="s">
        <v>12</v>
      </c>
      <c r="C2364" s="1005"/>
      <c r="D2364" s="1005"/>
      <c r="E2364" s="19" t="s">
        <v>267</v>
      </c>
      <c r="F2364" s="19" t="s">
        <v>13</v>
      </c>
      <c r="G2364" s="1114"/>
      <c r="H2364" s="1115"/>
      <c r="I2364" s="1140" t="s">
        <v>60</v>
      </c>
      <c r="J2364" s="1141"/>
      <c r="K2364" s="992" t="s">
        <v>17</v>
      </c>
      <c r="L2364" s="993"/>
      <c r="M2364" s="25"/>
      <c r="S2364" s="41"/>
      <c r="T2364" s="41"/>
    </row>
    <row r="2365" spans="1:24" ht="30" customHeight="1" x14ac:dyDescent="0.45">
      <c r="A2365" s="38" t="s">
        <v>268</v>
      </c>
      <c r="B2365" s="994" t="s">
        <v>1410</v>
      </c>
      <c r="C2365" s="994"/>
      <c r="D2365" s="994"/>
      <c r="E2365" s="394">
        <v>2700</v>
      </c>
      <c r="F2365" s="620">
        <v>909</v>
      </c>
      <c r="G2365" s="29"/>
      <c r="H2365" s="29"/>
      <c r="I2365" s="1119" t="s">
        <v>270</v>
      </c>
      <c r="J2365" s="1120"/>
      <c r="K2365" s="621">
        <f>+F2365</f>
        <v>909</v>
      </c>
      <c r="L2365" s="38" t="s">
        <v>35</v>
      </c>
      <c r="M2365" s="25"/>
      <c r="S2365" s="41"/>
      <c r="T2365" s="41"/>
    </row>
    <row r="2366" spans="1:24" ht="30" customHeight="1" thickBot="1" x14ac:dyDescent="0.5">
      <c r="A2366" s="47"/>
      <c r="B2366" s="1092"/>
      <c r="C2366" s="1092"/>
      <c r="D2366" s="1092"/>
      <c r="E2366" s="180"/>
      <c r="F2366" s="181"/>
      <c r="G2366" s="181"/>
      <c r="H2366" s="182"/>
      <c r="I2366" s="58"/>
      <c r="J2366" s="85" t="s">
        <v>39</v>
      </c>
      <c r="K2366" s="185">
        <f>+K2365</f>
        <v>909</v>
      </c>
      <c r="L2366" s="47" t="s">
        <v>35</v>
      </c>
      <c r="N2366" s="3"/>
    </row>
    <row r="2367" spans="1:24" ht="30" customHeight="1" thickBot="1" x14ac:dyDescent="0.5">
      <c r="A2367" s="1039"/>
      <c r="B2367" s="1040"/>
      <c r="C2367" s="1040"/>
      <c r="D2367" s="1040"/>
      <c r="E2367" s="1040"/>
      <c r="F2367" s="1040"/>
      <c r="G2367" s="1040"/>
      <c r="H2367" s="1040"/>
      <c r="I2367" s="1040"/>
      <c r="J2367" s="1040"/>
      <c r="K2367" s="1040"/>
      <c r="L2367" s="1041"/>
      <c r="M2367" s="25"/>
      <c r="N2367" s="26"/>
      <c r="O2367" s="2"/>
      <c r="P2367" s="27"/>
      <c r="Q2367" s="26"/>
      <c r="R2367" s="28"/>
    </row>
    <row r="2368" spans="1:24" ht="30" customHeight="1" x14ac:dyDescent="0.45">
      <c r="A2368" s="622" t="s">
        <v>4</v>
      </c>
      <c r="B2368" s="623">
        <v>4222</v>
      </c>
      <c r="C2368" s="1042" t="s">
        <v>1411</v>
      </c>
      <c r="D2368" s="1042"/>
      <c r="E2368" s="43" t="s">
        <v>7</v>
      </c>
      <c r="F2368" s="624" t="s">
        <v>35</v>
      </c>
      <c r="G2368" s="625" t="s">
        <v>6</v>
      </c>
      <c r="H2368" s="626">
        <v>1760</v>
      </c>
      <c r="I2368" s="43" t="s">
        <v>9</v>
      </c>
      <c r="J2368" s="1285" t="s">
        <v>10</v>
      </c>
      <c r="K2368" s="1285"/>
      <c r="L2368" s="1286"/>
      <c r="M2368" s="25"/>
      <c r="N2368" s="3"/>
      <c r="S2368" s="90"/>
      <c r="T2368" s="90"/>
    </row>
    <row r="2369" spans="1:20" ht="30" customHeight="1" x14ac:dyDescent="0.45">
      <c r="A2369" s="485" t="s">
        <v>11</v>
      </c>
      <c r="B2369" s="1005" t="s">
        <v>12</v>
      </c>
      <c r="C2369" s="1005"/>
      <c r="D2369" s="1005"/>
      <c r="E2369" s="19" t="s">
        <v>13</v>
      </c>
      <c r="F2369" s="19" t="s">
        <v>267</v>
      </c>
      <c r="G2369" s="1006" t="s">
        <v>15</v>
      </c>
      <c r="H2369" s="1006"/>
      <c r="I2369" s="1007" t="s">
        <v>16</v>
      </c>
      <c r="J2369" s="1007"/>
      <c r="K2369" s="1006" t="s">
        <v>17</v>
      </c>
      <c r="L2369" s="1043"/>
      <c r="M2369" s="25"/>
      <c r="S2369" s="41"/>
      <c r="T2369" s="41"/>
    </row>
    <row r="2370" spans="1:20" ht="30" customHeight="1" x14ac:dyDescent="0.45">
      <c r="A2370" s="441">
        <v>44222</v>
      </c>
      <c r="B2370" s="1092" t="s">
        <v>1412</v>
      </c>
      <c r="C2370" s="1092"/>
      <c r="D2370" s="1092"/>
      <c r="E2370" s="221">
        <v>233</v>
      </c>
      <c r="F2370" s="394">
        <v>2000</v>
      </c>
      <c r="G2370" s="47" t="s">
        <v>35</v>
      </c>
      <c r="H2370" s="203"/>
      <c r="I2370" s="1284">
        <f>+'[1]2023 MILCON Inflation Table'!F22</f>
        <v>0.93771935922451721</v>
      </c>
      <c r="J2370" s="1284"/>
      <c r="K2370" s="393">
        <f>+E2370*I2370</f>
        <v>218.48861069931252</v>
      </c>
      <c r="L2370" s="627" t="s">
        <v>35</v>
      </c>
      <c r="M2370" s="25"/>
      <c r="N2370" s="149"/>
      <c r="O2370" s="2"/>
      <c r="P2370" s="27"/>
      <c r="Q2370" s="26"/>
      <c r="R2370" s="28"/>
    </row>
    <row r="2371" spans="1:20" ht="30" customHeight="1" thickBot="1" x14ac:dyDescent="0.5">
      <c r="A2371" s="450"/>
      <c r="B2371" s="1287"/>
      <c r="C2371" s="1287"/>
      <c r="D2371" s="1287"/>
      <c r="E2371" s="628"/>
      <c r="F2371" s="629"/>
      <c r="G2371" s="628"/>
      <c r="H2371" s="628"/>
      <c r="I2371" s="630"/>
      <c r="J2371" s="631" t="s">
        <v>39</v>
      </c>
      <c r="K2371" s="632">
        <f>AVERAGE(K2370:K2370)</f>
        <v>218.48861069931252</v>
      </c>
      <c r="L2371" s="633" t="s">
        <v>35</v>
      </c>
      <c r="M2371" s="25"/>
      <c r="N2371" s="149"/>
      <c r="O2371" s="2"/>
      <c r="P2371" s="27"/>
      <c r="Q2371" s="26"/>
      <c r="R2371" s="28"/>
    </row>
    <row r="2372" spans="1:20" ht="30" customHeight="1" thickBot="1" x14ac:dyDescent="0.5">
      <c r="A2372" s="1288"/>
      <c r="B2372" s="1289"/>
      <c r="C2372" s="1289"/>
      <c r="D2372" s="1289"/>
      <c r="E2372" s="1289"/>
      <c r="F2372" s="1289"/>
      <c r="G2372" s="1289"/>
      <c r="H2372" s="1289"/>
      <c r="I2372" s="1289"/>
      <c r="J2372" s="1289"/>
      <c r="K2372" s="1289"/>
      <c r="L2372" s="1290"/>
      <c r="M2372" s="25"/>
      <c r="O2372" s="26"/>
      <c r="P2372" s="28"/>
    </row>
    <row r="2373" spans="1:20" ht="30" customHeight="1" x14ac:dyDescent="0.45">
      <c r="A2373" s="9" t="s">
        <v>4</v>
      </c>
      <c r="B2373" s="10">
        <v>4231</v>
      </c>
      <c r="C2373" s="1138" t="s">
        <v>1413</v>
      </c>
      <c r="D2373" s="1139"/>
      <c r="E2373" s="13" t="s">
        <v>7</v>
      </c>
      <c r="F2373" s="14" t="s">
        <v>163</v>
      </c>
      <c r="G2373" s="11" t="s">
        <v>6</v>
      </c>
      <c r="H2373" s="300">
        <v>19918</v>
      </c>
      <c r="I2373" s="13" t="s">
        <v>9</v>
      </c>
      <c r="J2373" s="985" t="s">
        <v>276</v>
      </c>
      <c r="K2373" s="985"/>
      <c r="L2373" s="986"/>
      <c r="M2373" s="25"/>
      <c r="O2373" s="26"/>
      <c r="P2373" s="28"/>
    </row>
    <row r="2374" spans="1:20" ht="30" customHeight="1" x14ac:dyDescent="0.45">
      <c r="A2374" s="85" t="s">
        <v>277</v>
      </c>
      <c r="B2374" s="987" t="s">
        <v>293</v>
      </c>
      <c r="C2374" s="988"/>
      <c r="D2374" s="989"/>
      <c r="E2374" s="220"/>
      <c r="F2374" s="220" t="s">
        <v>14</v>
      </c>
      <c r="G2374" s="990" t="s">
        <v>15</v>
      </c>
      <c r="H2374" s="991"/>
      <c r="I2374" s="19" t="s">
        <v>278</v>
      </c>
      <c r="J2374" s="19"/>
      <c r="K2374" s="992" t="s">
        <v>17</v>
      </c>
      <c r="L2374" s="993"/>
      <c r="M2374" s="2"/>
      <c r="N2374" s="27"/>
      <c r="O2374" s="26"/>
      <c r="P2374" s="28"/>
    </row>
    <row r="2375" spans="1:20" ht="30" customHeight="1" x14ac:dyDescent="0.45">
      <c r="A2375" s="47" t="s">
        <v>350</v>
      </c>
      <c r="B2375" s="1008" t="s">
        <v>1414</v>
      </c>
      <c r="C2375" s="1009"/>
      <c r="D2375" s="1010"/>
      <c r="E2375" s="221">
        <v>162000</v>
      </c>
      <c r="F2375" s="47" t="s">
        <v>88</v>
      </c>
      <c r="G2375" s="387">
        <v>20000</v>
      </c>
      <c r="H2375" s="105" t="s">
        <v>1415</v>
      </c>
      <c r="I2375" s="365">
        <v>1.36</v>
      </c>
      <c r="J2375" s="47"/>
      <c r="K2375" s="221">
        <f>+E2375/G2375*I2375</f>
        <v>11.016</v>
      </c>
      <c r="L2375" s="47" t="s">
        <v>163</v>
      </c>
      <c r="M2375" s="25"/>
      <c r="N2375" s="3"/>
      <c r="O2375" s="26"/>
      <c r="P2375" s="28"/>
    </row>
    <row r="2376" spans="1:20" ht="30" customHeight="1" x14ac:dyDescent="0.45">
      <c r="A2376" s="47"/>
      <c r="B2376" s="224"/>
      <c r="C2376" s="224"/>
      <c r="D2376" s="224"/>
      <c r="E2376" s="221"/>
      <c r="F2376" s="1011" t="s">
        <v>285</v>
      </c>
      <c r="G2376" s="1013" t="s">
        <v>286</v>
      </c>
      <c r="H2376" s="1013"/>
      <c r="I2376" s="1013"/>
      <c r="J2376" s="1013"/>
      <c r="K2376" s="365">
        <v>1.06</v>
      </c>
      <c r="L2376" s="47"/>
      <c r="M2376" s="25"/>
      <c r="N2376" s="27"/>
      <c r="O2376" s="26"/>
      <c r="P2376" s="28"/>
    </row>
    <row r="2377" spans="1:20" ht="30" customHeight="1" x14ac:dyDescent="0.45">
      <c r="A2377" s="47"/>
      <c r="B2377" s="224"/>
      <c r="C2377" s="224"/>
      <c r="D2377" s="224"/>
      <c r="E2377" s="221"/>
      <c r="F2377" s="1012"/>
      <c r="G2377" s="1014" t="s">
        <v>287</v>
      </c>
      <c r="H2377" s="1014"/>
      <c r="I2377" s="1014"/>
      <c r="J2377" s="1014"/>
      <c r="K2377" s="278">
        <v>1.05</v>
      </c>
      <c r="L2377" s="47"/>
      <c r="M2377" s="25"/>
      <c r="N2377" s="27"/>
      <c r="O2377" s="26"/>
      <c r="P2377" s="28"/>
    </row>
    <row r="2378" spans="1:20" ht="30" customHeight="1" x14ac:dyDescent="0.45">
      <c r="A2378" s="47"/>
      <c r="B2378" s="47"/>
      <c r="C2378" s="58"/>
      <c r="D2378" s="58"/>
      <c r="E2378" s="58"/>
      <c r="F2378" s="58"/>
      <c r="G2378" s="58"/>
      <c r="H2378" s="58"/>
      <c r="I2378" s="58"/>
      <c r="J2378" s="47" t="s">
        <v>39</v>
      </c>
      <c r="K2378" s="216">
        <f>+K2375*K2376/K2377</f>
        <v>11.120914285714287</v>
      </c>
      <c r="L2378" s="47" t="s">
        <v>163</v>
      </c>
      <c r="M2378" s="25"/>
      <c r="N2378" s="27"/>
      <c r="O2378" s="26"/>
      <c r="P2378" s="28"/>
    </row>
    <row r="2379" spans="1:20" ht="30" customHeight="1" thickBot="1" x14ac:dyDescent="0.5">
      <c r="A2379" s="47"/>
      <c r="B2379" s="47"/>
      <c r="C2379" s="58"/>
      <c r="D2379" s="58"/>
      <c r="E2379" s="58"/>
      <c r="F2379" s="58"/>
      <c r="G2379" s="58"/>
      <c r="H2379" s="58"/>
      <c r="I2379" s="600" t="s">
        <v>288</v>
      </c>
      <c r="J2379" s="213">
        <f>VLOOKUP(B2373,'[1]Mil Cost Premiums for PUCs'!$A$4:$R$278,18,FALSE)</f>
        <v>1.0209999999999999</v>
      </c>
      <c r="K2379" s="216">
        <f>+K2378*J2379</f>
        <v>11.354453485714286</v>
      </c>
      <c r="L2379" s="47" t="s">
        <v>163</v>
      </c>
      <c r="M2379" s="25"/>
      <c r="N2379" s="27"/>
      <c r="O2379" s="26"/>
      <c r="P2379" s="28"/>
    </row>
    <row r="2380" spans="1:20" ht="30" customHeight="1" thickBot="1" x14ac:dyDescent="0.5">
      <c r="A2380" s="999"/>
      <c r="B2380" s="1000"/>
      <c r="C2380" s="1000"/>
      <c r="D2380" s="1000"/>
      <c r="E2380" s="1000"/>
      <c r="F2380" s="1000"/>
      <c r="G2380" s="1000"/>
      <c r="H2380" s="1000"/>
      <c r="I2380" s="1000"/>
      <c r="J2380" s="1000"/>
      <c r="K2380" s="1000"/>
      <c r="L2380" s="1001"/>
      <c r="M2380" s="25"/>
      <c r="N2380" s="27"/>
      <c r="O2380" s="26"/>
      <c r="P2380" s="28"/>
    </row>
    <row r="2381" spans="1:20" ht="30" customHeight="1" x14ac:dyDescent="0.45">
      <c r="A2381" s="9" t="s">
        <v>4</v>
      </c>
      <c r="B2381" s="10">
        <v>4241</v>
      </c>
      <c r="C2381" s="1138" t="s">
        <v>1416</v>
      </c>
      <c r="D2381" s="1139"/>
      <c r="E2381" s="13" t="s">
        <v>7</v>
      </c>
      <c r="F2381" s="14" t="s">
        <v>35</v>
      </c>
      <c r="G2381" s="11" t="s">
        <v>6</v>
      </c>
      <c r="H2381" s="184">
        <v>1808</v>
      </c>
      <c r="I2381" s="13" t="s">
        <v>9</v>
      </c>
      <c r="J2381" s="1285" t="s">
        <v>10</v>
      </c>
      <c r="K2381" s="1285"/>
      <c r="L2381" s="1286"/>
      <c r="M2381" s="25"/>
      <c r="N2381" s="27"/>
      <c r="O2381" s="26"/>
      <c r="P2381" s="28"/>
    </row>
    <row r="2382" spans="1:20" ht="30" customHeight="1" x14ac:dyDescent="0.45">
      <c r="A2382" s="19" t="s">
        <v>11</v>
      </c>
      <c r="B2382" s="1005" t="s">
        <v>12</v>
      </c>
      <c r="C2382" s="1005"/>
      <c r="D2382" s="1005"/>
      <c r="E2382" s="20" t="s">
        <v>13</v>
      </c>
      <c r="F2382" s="19" t="s">
        <v>267</v>
      </c>
      <c r="G2382" s="1114" t="s">
        <v>79</v>
      </c>
      <c r="H2382" s="1115"/>
      <c r="I2382" s="1068" t="s">
        <v>16</v>
      </c>
      <c r="J2382" s="1069"/>
      <c r="K2382" s="992" t="s">
        <v>17</v>
      </c>
      <c r="L2382" s="993"/>
      <c r="M2382" s="25"/>
      <c r="N2382" s="26"/>
      <c r="O2382" s="2"/>
      <c r="P2382" s="27"/>
      <c r="Q2382" s="26"/>
      <c r="R2382" s="28"/>
    </row>
    <row r="2383" spans="1:20" ht="30" customHeight="1" x14ac:dyDescent="0.45">
      <c r="A2383" s="29">
        <v>21850</v>
      </c>
      <c r="B2383" s="1101" t="s">
        <v>1417</v>
      </c>
      <c r="C2383" s="1102"/>
      <c r="D2383" s="1103"/>
      <c r="E2383" s="221">
        <v>328</v>
      </c>
      <c r="F2383" s="394">
        <v>600</v>
      </c>
      <c r="G2383" s="29" t="s">
        <v>35</v>
      </c>
      <c r="H2383" s="29"/>
      <c r="I2383" s="1161">
        <f>+'[1]2023 MILCON Inflation Table'!F22</f>
        <v>0.93771935922451721</v>
      </c>
      <c r="J2383" s="1162"/>
      <c r="K2383" s="36">
        <f>+E2383*I2383</f>
        <v>307.57194982564164</v>
      </c>
      <c r="L2383" s="29" t="s">
        <v>35</v>
      </c>
      <c r="M2383" s="25"/>
      <c r="N2383" s="26"/>
      <c r="O2383" s="2"/>
      <c r="P2383" s="27"/>
      <c r="Q2383" s="26"/>
      <c r="R2383" s="28"/>
    </row>
    <row r="2384" spans="1:20" ht="30" customHeight="1" x14ac:dyDescent="0.45">
      <c r="A2384" s="29">
        <v>43211</v>
      </c>
      <c r="B2384" s="190" t="s">
        <v>1418</v>
      </c>
      <c r="C2384" s="191"/>
      <c r="D2384" s="192"/>
      <c r="E2384" s="221">
        <v>684</v>
      </c>
      <c r="F2384" s="394">
        <v>1184</v>
      </c>
      <c r="G2384" s="29" t="s">
        <v>35</v>
      </c>
      <c r="H2384" s="29"/>
      <c r="I2384" s="1161">
        <f>+I2383</f>
        <v>0.93771935922451721</v>
      </c>
      <c r="J2384" s="1162"/>
      <c r="K2384" s="36">
        <f>+E2384*I2384</f>
        <v>641.40004170956979</v>
      </c>
      <c r="L2384" s="29" t="s">
        <v>35</v>
      </c>
      <c r="M2384" s="25"/>
      <c r="N2384" s="27"/>
      <c r="O2384" s="26"/>
      <c r="P2384" s="28"/>
    </row>
    <row r="2385" spans="1:20" ht="30" customHeight="1" x14ac:dyDescent="0.45">
      <c r="A2385" s="47"/>
      <c r="B2385" s="197"/>
      <c r="C2385" s="198"/>
      <c r="D2385" s="199"/>
      <c r="E2385" s="353"/>
      <c r="F2385" s="434"/>
      <c r="G2385" s="370"/>
      <c r="H2385" s="167"/>
      <c r="I2385" s="34"/>
      <c r="J2385" s="35" t="s">
        <v>56</v>
      </c>
      <c r="K2385" s="36">
        <f>AVERAGE(K2383:K2384)</f>
        <v>474.48599576760569</v>
      </c>
      <c r="L2385" s="29" t="s">
        <v>35</v>
      </c>
      <c r="N2385" s="27"/>
      <c r="O2385" s="26"/>
      <c r="P2385" s="28"/>
    </row>
    <row r="2386" spans="1:20" ht="30" customHeight="1" thickBot="1" x14ac:dyDescent="0.5">
      <c r="A2386" s="47"/>
      <c r="B2386" s="1008"/>
      <c r="C2386" s="1009"/>
      <c r="D2386" s="1010"/>
      <c r="E2386" s="161"/>
      <c r="F2386" s="415"/>
      <c r="G2386" s="161"/>
      <c r="H2386" s="389"/>
      <c r="I2386" s="58"/>
      <c r="J2386" s="85" t="s">
        <v>39</v>
      </c>
      <c r="K2386" s="185">
        <f>+K2385</f>
        <v>474.48599576760569</v>
      </c>
      <c r="L2386" s="29" t="s">
        <v>35</v>
      </c>
      <c r="M2386" s="25"/>
      <c r="N2386" s="26"/>
      <c r="O2386" s="2"/>
      <c r="P2386" s="27"/>
      <c r="Q2386" s="26"/>
      <c r="R2386" s="28"/>
    </row>
    <row r="2387" spans="1:20" ht="30" customHeight="1" thickBot="1" x14ac:dyDescent="0.5">
      <c r="A2387" s="999"/>
      <c r="B2387" s="1000"/>
      <c r="C2387" s="1000"/>
      <c r="D2387" s="1000"/>
      <c r="E2387" s="1000"/>
      <c r="F2387" s="1000"/>
      <c r="G2387" s="1000"/>
      <c r="H2387" s="1000"/>
      <c r="I2387" s="1000"/>
      <c r="J2387" s="1000"/>
      <c r="K2387" s="1000"/>
      <c r="L2387" s="1001"/>
      <c r="M2387" s="25"/>
      <c r="O2387" s="27"/>
      <c r="P2387" s="26"/>
      <c r="Q2387" s="28"/>
    </row>
    <row r="2388" spans="1:20" ht="30" customHeight="1" x14ac:dyDescent="0.45">
      <c r="A2388" s="9" t="s">
        <v>4</v>
      </c>
      <c r="B2388" s="10">
        <v>4311</v>
      </c>
      <c r="C2388" s="983" t="s">
        <v>1419</v>
      </c>
      <c r="D2388" s="984"/>
      <c r="E2388" s="13" t="s">
        <v>7</v>
      </c>
      <c r="F2388" s="14" t="s">
        <v>35</v>
      </c>
      <c r="G2388" s="11" t="s">
        <v>6</v>
      </c>
      <c r="H2388" s="300">
        <v>28265.075438596399</v>
      </c>
      <c r="I2388" s="13" t="s">
        <v>9</v>
      </c>
      <c r="J2388" s="1285" t="s">
        <v>10</v>
      </c>
      <c r="K2388" s="1285"/>
      <c r="L2388" s="1286"/>
      <c r="M2388" s="25"/>
      <c r="S2388" s="41"/>
      <c r="T2388" s="41"/>
    </row>
    <row r="2389" spans="1:20" ht="30" customHeight="1" x14ac:dyDescent="0.45">
      <c r="A2389" s="19" t="s">
        <v>11</v>
      </c>
      <c r="B2389" s="1005" t="s">
        <v>12</v>
      </c>
      <c r="C2389" s="1005"/>
      <c r="D2389" s="1005"/>
      <c r="E2389" s="20" t="s">
        <v>13</v>
      </c>
      <c r="F2389" s="19" t="s">
        <v>267</v>
      </c>
      <c r="G2389" s="1114" t="s">
        <v>15</v>
      </c>
      <c r="H2389" s="1115"/>
      <c r="I2389" s="1068" t="s">
        <v>16</v>
      </c>
      <c r="J2389" s="1069"/>
      <c r="K2389" s="992" t="s">
        <v>17</v>
      </c>
      <c r="L2389" s="993"/>
      <c r="M2389" s="25"/>
      <c r="N2389" s="186"/>
      <c r="O2389" s="2"/>
      <c r="P2389" s="27"/>
      <c r="Q2389" s="26"/>
      <c r="R2389" s="28"/>
    </row>
    <row r="2390" spans="1:20" ht="30" customHeight="1" x14ac:dyDescent="0.45">
      <c r="A2390" s="29">
        <v>43211</v>
      </c>
      <c r="B2390" s="1101" t="s">
        <v>1420</v>
      </c>
      <c r="C2390" s="1102"/>
      <c r="D2390" s="1103"/>
      <c r="E2390" s="31">
        <v>684</v>
      </c>
      <c r="F2390" s="231">
        <v>1184</v>
      </c>
      <c r="G2390" s="29"/>
      <c r="H2390" s="29"/>
      <c r="I2390" s="1161">
        <f>+'[1]2023 MILCON Inflation Table'!F22</f>
        <v>0.93771935922451721</v>
      </c>
      <c r="J2390" s="1162"/>
      <c r="K2390" s="31">
        <f>+E2390*I2390</f>
        <v>641.40004170956979</v>
      </c>
      <c r="L2390" s="29" t="s">
        <v>35</v>
      </c>
      <c r="M2390" s="25"/>
      <c r="O2390" s="2"/>
      <c r="P2390" s="27"/>
      <c r="Q2390" s="26"/>
      <c r="R2390" s="28"/>
    </row>
    <row r="2391" spans="1:20" ht="30" customHeight="1" x14ac:dyDescent="0.45">
      <c r="A2391" s="29">
        <v>44220</v>
      </c>
      <c r="B2391" s="1142" t="s">
        <v>1421</v>
      </c>
      <c r="C2391" s="1117"/>
      <c r="D2391" s="1118"/>
      <c r="E2391" s="17">
        <v>261</v>
      </c>
      <c r="F2391" s="231">
        <v>26000</v>
      </c>
      <c r="G2391" s="155"/>
      <c r="H2391" s="4"/>
      <c r="I2391" s="1161">
        <f>+I2390</f>
        <v>0.93771935922451721</v>
      </c>
      <c r="J2391" s="1162"/>
      <c r="K2391" s="31">
        <f>+E2391*I2391</f>
        <v>244.744752757599</v>
      </c>
      <c r="L2391" s="29" t="s">
        <v>35</v>
      </c>
      <c r="M2391" s="25"/>
      <c r="O2391" s="27"/>
      <c r="P2391" s="26"/>
      <c r="Q2391" s="28"/>
    </row>
    <row r="2392" spans="1:20" ht="30" customHeight="1" x14ac:dyDescent="0.45">
      <c r="A2392" s="47"/>
      <c r="B2392" s="1018"/>
      <c r="C2392" s="1019"/>
      <c r="D2392" s="1020"/>
      <c r="E2392" s="221" t="s">
        <v>1422</v>
      </c>
      <c r="F2392" s="424">
        <f>AVERAGE(F2390:F2391)</f>
        <v>13592</v>
      </c>
      <c r="G2392" s="58"/>
      <c r="H2392" s="179"/>
      <c r="I2392" s="47"/>
      <c r="J2392" s="47" t="s">
        <v>56</v>
      </c>
      <c r="K2392" s="221">
        <f>AVERAGE(K2390:K2391)</f>
        <v>443.07239723358441</v>
      </c>
      <c r="L2392" s="47" t="s">
        <v>35</v>
      </c>
      <c r="M2392" s="25"/>
      <c r="O2392" s="27"/>
      <c r="P2392" s="26"/>
      <c r="Q2392" s="28"/>
    </row>
    <row r="2393" spans="1:20" ht="30" customHeight="1" thickBot="1" x14ac:dyDescent="0.5">
      <c r="A2393" s="47"/>
      <c r="B2393" s="47"/>
      <c r="C2393" s="58"/>
      <c r="D2393" s="58"/>
      <c r="E2393" s="58"/>
      <c r="F2393" s="58"/>
      <c r="G2393" s="58"/>
      <c r="H2393" s="58"/>
      <c r="J2393" s="85" t="s">
        <v>39</v>
      </c>
      <c r="K2393" s="216">
        <f>+K2392</f>
        <v>443.07239723358441</v>
      </c>
      <c r="L2393" s="47" t="s">
        <v>35</v>
      </c>
      <c r="M2393" s="25"/>
      <c r="O2393" s="27"/>
      <c r="P2393" s="26"/>
      <c r="Q2393" s="28"/>
    </row>
    <row r="2394" spans="1:20" ht="30" customHeight="1" thickBot="1" x14ac:dyDescent="0.5">
      <c r="A2394" s="999"/>
      <c r="B2394" s="1000"/>
      <c r="C2394" s="1000"/>
      <c r="D2394" s="1000"/>
      <c r="E2394" s="1000"/>
      <c r="F2394" s="1000"/>
      <c r="G2394" s="1000"/>
      <c r="H2394" s="1000"/>
      <c r="I2394" s="1000"/>
      <c r="J2394" s="1000"/>
      <c r="K2394" s="1000"/>
      <c r="L2394" s="1001"/>
      <c r="M2394" s="25"/>
      <c r="O2394" s="27"/>
      <c r="P2394" s="26"/>
      <c r="Q2394" s="28"/>
    </row>
    <row r="2395" spans="1:20" ht="30" customHeight="1" x14ac:dyDescent="0.45">
      <c r="A2395" s="9" t="s">
        <v>4</v>
      </c>
      <c r="B2395" s="10">
        <v>4321</v>
      </c>
      <c r="C2395" s="983" t="s">
        <v>1423</v>
      </c>
      <c r="D2395" s="984"/>
      <c r="E2395" s="13" t="s">
        <v>7</v>
      </c>
      <c r="F2395" s="14" t="s">
        <v>35</v>
      </c>
      <c r="G2395" s="11" t="s">
        <v>6</v>
      </c>
      <c r="H2395" s="300">
        <v>12764.779774774701</v>
      </c>
      <c r="I2395" s="13" t="s">
        <v>9</v>
      </c>
      <c r="J2395" s="1285" t="s">
        <v>10</v>
      </c>
      <c r="K2395" s="1285"/>
      <c r="L2395" s="1286"/>
      <c r="M2395" s="25"/>
      <c r="O2395" s="27"/>
      <c r="P2395" s="26"/>
      <c r="Q2395" s="28"/>
    </row>
    <row r="2396" spans="1:20" ht="30" customHeight="1" x14ac:dyDescent="0.45">
      <c r="A2396" s="19" t="s">
        <v>11</v>
      </c>
      <c r="B2396" s="1005" t="s">
        <v>12</v>
      </c>
      <c r="C2396" s="1005"/>
      <c r="D2396" s="1005"/>
      <c r="E2396" s="20" t="s">
        <v>13</v>
      </c>
      <c r="F2396" s="19" t="s">
        <v>267</v>
      </c>
      <c r="G2396" s="1114" t="s">
        <v>79</v>
      </c>
      <c r="H2396" s="1115"/>
      <c r="I2396" s="1068" t="s">
        <v>16</v>
      </c>
      <c r="J2396" s="1069"/>
      <c r="K2396" s="992" t="s">
        <v>17</v>
      </c>
      <c r="L2396" s="993"/>
      <c r="M2396" s="25"/>
      <c r="O2396" s="27"/>
      <c r="P2396" s="26"/>
      <c r="Q2396" s="28"/>
    </row>
    <row r="2397" spans="1:20" ht="30" customHeight="1" x14ac:dyDescent="0.45">
      <c r="A2397" s="47">
        <v>43211</v>
      </c>
      <c r="B2397" s="1008" t="s">
        <v>1420</v>
      </c>
      <c r="C2397" s="1009"/>
      <c r="D2397" s="1010"/>
      <c r="E2397" s="221">
        <v>684</v>
      </c>
      <c r="F2397" s="394">
        <v>1184</v>
      </c>
      <c r="G2397" s="47" t="s">
        <v>35</v>
      </c>
      <c r="H2397" s="47"/>
      <c r="I2397" s="1284">
        <f>+'[1]2023 MILCON Inflation Table'!F22</f>
        <v>0.93771935922451721</v>
      </c>
      <c r="J2397" s="1284"/>
      <c r="K2397" s="221">
        <f>+E2397*I2397</f>
        <v>641.40004170956979</v>
      </c>
      <c r="L2397" s="47" t="s">
        <v>35</v>
      </c>
      <c r="M2397" s="25"/>
      <c r="N2397" s="26"/>
      <c r="O2397" s="2"/>
      <c r="P2397" s="27"/>
      <c r="Q2397" s="26"/>
      <c r="R2397" s="28"/>
    </row>
    <row r="2398" spans="1:20" ht="30" customHeight="1" thickBot="1" x14ac:dyDescent="0.5">
      <c r="A2398" s="47"/>
      <c r="B2398" s="1018"/>
      <c r="C2398" s="1019"/>
      <c r="D2398" s="1020"/>
      <c r="E2398" s="221"/>
      <c r="F2398" s="222"/>
      <c r="G2398" s="58"/>
      <c r="H2398" s="179"/>
      <c r="I2398" s="47"/>
      <c r="J2398" s="85" t="s">
        <v>39</v>
      </c>
      <c r="K2398" s="221">
        <f>SUM(K2397:K2397)</f>
        <v>641.40004170956979</v>
      </c>
      <c r="L2398" s="47" t="s">
        <v>35</v>
      </c>
      <c r="M2398" s="25"/>
      <c r="O2398" s="27"/>
      <c r="P2398" s="26"/>
      <c r="Q2398" s="28"/>
    </row>
    <row r="2399" spans="1:20" ht="30" customHeight="1" thickBot="1" x14ac:dyDescent="0.5">
      <c r="A2399" s="999"/>
      <c r="B2399" s="1000"/>
      <c r="C2399" s="1000"/>
      <c r="D2399" s="1000"/>
      <c r="E2399" s="1000"/>
      <c r="F2399" s="1000"/>
      <c r="G2399" s="1000"/>
      <c r="H2399" s="1000"/>
      <c r="I2399" s="1000"/>
      <c r="J2399" s="1000"/>
      <c r="K2399" s="1000"/>
      <c r="L2399" s="1001"/>
      <c r="M2399" s="25"/>
      <c r="N2399" s="26"/>
      <c r="O2399" s="2"/>
      <c r="P2399" s="27"/>
      <c r="Q2399" s="26"/>
      <c r="R2399" s="28"/>
    </row>
    <row r="2400" spans="1:20" ht="30" customHeight="1" x14ac:dyDescent="0.45">
      <c r="A2400" s="9" t="s">
        <v>4</v>
      </c>
      <c r="B2400" s="10">
        <v>4411</v>
      </c>
      <c r="C2400" s="1138" t="s">
        <v>1424</v>
      </c>
      <c r="D2400" s="1139"/>
      <c r="E2400" s="13" t="s">
        <v>7</v>
      </c>
      <c r="F2400" s="14" t="s">
        <v>35</v>
      </c>
      <c r="G2400" s="11" t="s">
        <v>6</v>
      </c>
      <c r="H2400" s="273">
        <v>18222.469264576601</v>
      </c>
      <c r="I2400" s="13" t="s">
        <v>9</v>
      </c>
      <c r="J2400" s="985" t="s">
        <v>266</v>
      </c>
      <c r="K2400" s="985"/>
      <c r="L2400" s="986"/>
      <c r="M2400" s="25"/>
      <c r="N2400" s="26"/>
      <c r="O2400" s="2"/>
      <c r="P2400" s="27"/>
      <c r="Q2400" s="26"/>
      <c r="R2400" s="28"/>
    </row>
    <row r="2401" spans="1:18" ht="30" customHeight="1" x14ac:dyDescent="0.45">
      <c r="A2401" s="19" t="s">
        <v>11</v>
      </c>
      <c r="B2401" s="1005" t="s">
        <v>12</v>
      </c>
      <c r="C2401" s="1005"/>
      <c r="D2401" s="1005"/>
      <c r="E2401" s="132" t="s">
        <v>267</v>
      </c>
      <c r="F2401" s="132" t="s">
        <v>13</v>
      </c>
      <c r="G2401" s="58"/>
      <c r="H2401" s="19"/>
      <c r="I2401" s="1140" t="s">
        <v>60</v>
      </c>
      <c r="J2401" s="1141"/>
      <c r="K2401" s="992" t="s">
        <v>17</v>
      </c>
      <c r="L2401" s="993"/>
      <c r="M2401" s="25"/>
      <c r="N2401" s="26"/>
      <c r="O2401" s="2"/>
      <c r="P2401" s="27"/>
      <c r="Q2401" s="26"/>
      <c r="R2401" s="28"/>
    </row>
    <row r="2402" spans="1:18" ht="30" customHeight="1" x14ac:dyDescent="0.45">
      <c r="A2402" s="29" t="s">
        <v>268</v>
      </c>
      <c r="B2402" s="994" t="s">
        <v>1425</v>
      </c>
      <c r="C2402" s="994"/>
      <c r="D2402" s="994"/>
      <c r="E2402" s="176">
        <v>65000</v>
      </c>
      <c r="F2402" s="634">
        <v>405</v>
      </c>
      <c r="G2402" s="154"/>
      <c r="H2402" s="178"/>
      <c r="I2402" s="1119" t="s">
        <v>270</v>
      </c>
      <c r="J2402" s="1120"/>
      <c r="K2402" s="635">
        <f>+F2402</f>
        <v>405</v>
      </c>
      <c r="L2402" s="29" t="s">
        <v>35</v>
      </c>
      <c r="M2402" s="25"/>
      <c r="N2402" s="26"/>
      <c r="O2402" s="2"/>
      <c r="P2402" s="27"/>
      <c r="Q2402" s="26"/>
      <c r="R2402" s="28"/>
    </row>
    <row r="2403" spans="1:18" ht="30" customHeight="1" thickBot="1" x14ac:dyDescent="0.5">
      <c r="A2403" s="47"/>
      <c r="B2403" s="1092"/>
      <c r="C2403" s="1092"/>
      <c r="D2403" s="1092"/>
      <c r="E2403" s="180"/>
      <c r="F2403" s="181"/>
      <c r="G2403" s="181"/>
      <c r="H2403" s="182"/>
      <c r="I2403" s="58"/>
      <c r="J2403" s="85" t="s">
        <v>39</v>
      </c>
      <c r="K2403" s="216">
        <f>+K2402</f>
        <v>405</v>
      </c>
      <c r="L2403" s="47" t="s">
        <v>35</v>
      </c>
      <c r="M2403" s="25"/>
      <c r="N2403" s="26"/>
      <c r="O2403" s="2"/>
      <c r="P2403" s="27"/>
      <c r="Q2403" s="26"/>
      <c r="R2403" s="28"/>
    </row>
    <row r="2404" spans="1:18" ht="30" customHeight="1" thickBot="1" x14ac:dyDescent="0.5">
      <c r="A2404" s="999"/>
      <c r="B2404" s="1000"/>
      <c r="C2404" s="1000"/>
      <c r="D2404" s="1000"/>
      <c r="E2404" s="1000"/>
      <c r="F2404" s="1000"/>
      <c r="G2404" s="1000"/>
      <c r="H2404" s="1000"/>
      <c r="I2404" s="1000"/>
      <c r="J2404" s="1000"/>
      <c r="K2404" s="1000"/>
      <c r="L2404" s="1001"/>
      <c r="M2404" s="25"/>
      <c r="N2404" s="26"/>
      <c r="O2404" s="2"/>
      <c r="P2404" s="27"/>
      <c r="Q2404" s="26"/>
      <c r="R2404" s="28"/>
    </row>
    <row r="2405" spans="1:18" ht="30" customHeight="1" x14ac:dyDescent="0.45">
      <c r="A2405" s="9" t="s">
        <v>4</v>
      </c>
      <c r="B2405" s="10">
        <v>4412</v>
      </c>
      <c r="C2405" s="1138" t="s">
        <v>1426</v>
      </c>
      <c r="D2405" s="1139"/>
      <c r="E2405" s="13" t="s">
        <v>7</v>
      </c>
      <c r="F2405" s="14" t="s">
        <v>35</v>
      </c>
      <c r="G2405" s="11" t="s">
        <v>6</v>
      </c>
      <c r="H2405" s="184">
        <v>12121.266403162001</v>
      </c>
      <c r="I2405" s="13" t="s">
        <v>9</v>
      </c>
      <c r="J2405" s="1285" t="s">
        <v>10</v>
      </c>
      <c r="K2405" s="1285"/>
      <c r="L2405" s="1286"/>
      <c r="M2405" s="25"/>
      <c r="N2405" s="26"/>
      <c r="O2405" s="2"/>
      <c r="P2405" s="27"/>
      <c r="Q2405" s="26"/>
      <c r="R2405" s="28"/>
    </row>
    <row r="2406" spans="1:18" ht="30" customHeight="1" x14ac:dyDescent="0.45">
      <c r="A2406" s="19" t="s">
        <v>11</v>
      </c>
      <c r="B2406" s="1005" t="s">
        <v>12</v>
      </c>
      <c r="C2406" s="1005"/>
      <c r="D2406" s="1005"/>
      <c r="E2406" s="20" t="s">
        <v>13</v>
      </c>
      <c r="F2406" s="19" t="s">
        <v>267</v>
      </c>
      <c r="G2406" s="1114" t="s">
        <v>79</v>
      </c>
      <c r="H2406" s="1115"/>
      <c r="I2406" s="1068" t="s">
        <v>16</v>
      </c>
      <c r="J2406" s="1069"/>
      <c r="K2406" s="992" t="s">
        <v>17</v>
      </c>
      <c r="L2406" s="993"/>
      <c r="M2406" s="25"/>
      <c r="N2406" s="26"/>
      <c r="O2406" s="2"/>
      <c r="P2406" s="27"/>
      <c r="Q2406" s="26"/>
      <c r="R2406" s="28"/>
    </row>
    <row r="2407" spans="1:18" ht="30" customHeight="1" x14ac:dyDescent="0.45">
      <c r="A2407" s="441">
        <v>44222</v>
      </c>
      <c r="B2407" s="1092" t="s">
        <v>1412</v>
      </c>
      <c r="C2407" s="1092"/>
      <c r="D2407" s="1092"/>
      <c r="E2407" s="221">
        <v>233</v>
      </c>
      <c r="F2407" s="394">
        <v>2000</v>
      </c>
      <c r="G2407" s="203" t="s">
        <v>35</v>
      </c>
      <c r="H2407" s="203"/>
      <c r="I2407" s="1284">
        <f>+'[1]2023 MILCON Inflation Table'!F22</f>
        <v>0.93771935922451721</v>
      </c>
      <c r="J2407" s="1284"/>
      <c r="K2407" s="393">
        <f>+E2407*I2407</f>
        <v>218.48861069931252</v>
      </c>
      <c r="L2407" s="627" t="s">
        <v>35</v>
      </c>
      <c r="M2407" s="25"/>
      <c r="N2407" s="26"/>
      <c r="O2407" s="2"/>
      <c r="P2407" s="27"/>
      <c r="Q2407" s="26"/>
      <c r="R2407" s="28"/>
    </row>
    <row r="2408" spans="1:18" ht="30" customHeight="1" thickBot="1" x14ac:dyDescent="0.5">
      <c r="A2408" s="47"/>
      <c r="B2408" s="1279"/>
      <c r="C2408" s="1280"/>
      <c r="D2408" s="1281"/>
      <c r="E2408" s="161"/>
      <c r="F2408" s="415"/>
      <c r="G2408" s="161"/>
      <c r="H2408" s="389"/>
      <c r="I2408" s="58"/>
      <c r="J2408" s="85" t="s">
        <v>39</v>
      </c>
      <c r="K2408" s="185">
        <f>AVERAGE(K2407:K2407)</f>
        <v>218.48861069931252</v>
      </c>
      <c r="L2408" s="29" t="s">
        <v>35</v>
      </c>
      <c r="M2408" s="25"/>
      <c r="N2408" s="26"/>
      <c r="O2408" s="2"/>
      <c r="P2408" s="27"/>
      <c r="Q2408" s="26"/>
      <c r="R2408" s="28"/>
    </row>
    <row r="2409" spans="1:18" ht="30" customHeight="1" thickBot="1" x14ac:dyDescent="0.5">
      <c r="A2409" s="999"/>
      <c r="B2409" s="1000"/>
      <c r="C2409" s="1000"/>
      <c r="D2409" s="1000"/>
      <c r="E2409" s="1000"/>
      <c r="F2409" s="1000"/>
      <c r="G2409" s="1000"/>
      <c r="H2409" s="1000"/>
      <c r="I2409" s="1000"/>
      <c r="J2409" s="1000"/>
      <c r="K2409" s="1000"/>
      <c r="L2409" s="1001"/>
      <c r="M2409" s="25"/>
      <c r="N2409" s="26"/>
      <c r="O2409" s="2"/>
      <c r="P2409" s="27"/>
      <c r="Q2409" s="26"/>
      <c r="R2409" s="28"/>
    </row>
    <row r="2410" spans="1:18" ht="30" customHeight="1" x14ac:dyDescent="0.45">
      <c r="A2410" s="9" t="s">
        <v>4</v>
      </c>
      <c r="B2410" s="10">
        <v>4413</v>
      </c>
      <c r="C2410" s="983" t="s">
        <v>1427</v>
      </c>
      <c r="D2410" s="984"/>
      <c r="E2410" s="13" t="s">
        <v>7</v>
      </c>
      <c r="F2410" s="14" t="s">
        <v>35</v>
      </c>
      <c r="G2410" s="11" t="s">
        <v>6</v>
      </c>
      <c r="H2410" s="163">
        <v>4299</v>
      </c>
      <c r="I2410" s="13" t="s">
        <v>9</v>
      </c>
      <c r="J2410" s="985" t="s">
        <v>1428</v>
      </c>
      <c r="K2410" s="985"/>
      <c r="L2410" s="986"/>
      <c r="M2410" s="25"/>
      <c r="N2410" s="26"/>
      <c r="O2410" s="2"/>
      <c r="P2410" s="27"/>
      <c r="Q2410" s="26"/>
      <c r="R2410" s="28"/>
    </row>
    <row r="2411" spans="1:18" ht="30" customHeight="1" x14ac:dyDescent="0.45">
      <c r="A2411" s="19"/>
      <c r="B2411" s="1005" t="s">
        <v>12</v>
      </c>
      <c r="C2411" s="1005"/>
      <c r="D2411" s="1005"/>
      <c r="E2411" s="20" t="s">
        <v>13</v>
      </c>
      <c r="F2411" s="19" t="s">
        <v>267</v>
      </c>
      <c r="G2411" s="58"/>
      <c r="H2411" s="22"/>
      <c r="I2411" s="1068" t="s">
        <v>16</v>
      </c>
      <c r="J2411" s="1069"/>
      <c r="K2411" s="992" t="s">
        <v>17</v>
      </c>
      <c r="L2411" s="993"/>
      <c r="M2411" s="25"/>
      <c r="N2411" s="26"/>
      <c r="O2411" s="2"/>
      <c r="P2411" s="27"/>
      <c r="Q2411" s="26"/>
      <c r="R2411" s="28"/>
    </row>
    <row r="2412" spans="1:18" ht="30" customHeight="1" x14ac:dyDescent="0.45">
      <c r="A2412" s="38" t="s">
        <v>268</v>
      </c>
      <c r="B2412" s="994" t="s">
        <v>1429</v>
      </c>
      <c r="C2412" s="994"/>
      <c r="D2412" s="994"/>
      <c r="E2412" s="636">
        <v>367</v>
      </c>
      <c r="F2412" s="53">
        <v>4300</v>
      </c>
      <c r="G2412" s="58"/>
      <c r="H2412" s="532"/>
      <c r="I2412" s="995">
        <f>+'[1]2023 MILCON Inflation Table'!F9</f>
        <v>1.6425241517617404</v>
      </c>
      <c r="J2412" s="995"/>
      <c r="K2412" s="637">
        <f>+E2412*I2412</f>
        <v>602.80636369655872</v>
      </c>
      <c r="L2412" s="38" t="s">
        <v>35</v>
      </c>
      <c r="M2412" s="25"/>
      <c r="N2412" s="26"/>
      <c r="O2412" s="2"/>
      <c r="P2412" s="27"/>
      <c r="Q2412" s="26"/>
      <c r="R2412" s="28"/>
    </row>
    <row r="2413" spans="1:18" ht="30" customHeight="1" thickBot="1" x14ac:dyDescent="0.5">
      <c r="A2413" s="47"/>
      <c r="B2413" s="1092"/>
      <c r="C2413" s="1092"/>
      <c r="D2413" s="1092"/>
      <c r="E2413" s="180"/>
      <c r="F2413" s="181"/>
      <c r="G2413" s="181"/>
      <c r="H2413" s="182"/>
      <c r="I2413" s="58"/>
      <c r="J2413" s="85" t="s">
        <v>39</v>
      </c>
      <c r="K2413" s="185">
        <f>+K2412</f>
        <v>602.80636369655872</v>
      </c>
      <c r="L2413" s="47" t="s">
        <v>35</v>
      </c>
      <c r="M2413" s="25"/>
      <c r="N2413" s="26"/>
      <c r="O2413" s="2"/>
      <c r="P2413" s="27"/>
      <c r="Q2413" s="26"/>
      <c r="R2413" s="28"/>
    </row>
    <row r="2414" spans="1:18" ht="30" customHeight="1" thickBot="1" x14ac:dyDescent="0.5">
      <c r="A2414" s="999"/>
      <c r="B2414" s="1000"/>
      <c r="C2414" s="1000"/>
      <c r="D2414" s="1000"/>
      <c r="E2414" s="1000"/>
      <c r="F2414" s="1000"/>
      <c r="G2414" s="1000"/>
      <c r="H2414" s="1000"/>
      <c r="I2414" s="1000"/>
      <c r="J2414" s="1000"/>
      <c r="K2414" s="1000"/>
      <c r="L2414" s="1001"/>
      <c r="M2414" s="25"/>
      <c r="N2414" s="26"/>
      <c r="O2414" s="2"/>
      <c r="P2414" s="27"/>
      <c r="Q2414" s="26"/>
      <c r="R2414" s="28"/>
    </row>
    <row r="2415" spans="1:18" ht="30" customHeight="1" x14ac:dyDescent="0.45">
      <c r="A2415" s="623" t="s">
        <v>4</v>
      </c>
      <c r="B2415" s="623">
        <v>4414</v>
      </c>
      <c r="C2415" s="1283" t="s">
        <v>1430</v>
      </c>
      <c r="D2415" s="1283"/>
      <c r="E2415" s="481" t="s">
        <v>7</v>
      </c>
      <c r="F2415" s="482" t="s">
        <v>35</v>
      </c>
      <c r="G2415" s="332" t="s">
        <v>6</v>
      </c>
      <c r="H2415" s="638">
        <v>21481</v>
      </c>
      <c r="I2415" s="481" t="s">
        <v>9</v>
      </c>
      <c r="J2415" s="985" t="s">
        <v>292</v>
      </c>
      <c r="K2415" s="985"/>
      <c r="L2415" s="986"/>
      <c r="M2415" s="25"/>
      <c r="N2415" s="26"/>
      <c r="O2415" s="2"/>
      <c r="P2415" s="27"/>
      <c r="Q2415" s="26"/>
      <c r="R2415" s="28"/>
    </row>
    <row r="2416" spans="1:18" ht="30" customHeight="1" x14ac:dyDescent="0.45">
      <c r="A2416" s="85" t="s">
        <v>277</v>
      </c>
      <c r="B2416" s="987" t="s">
        <v>293</v>
      </c>
      <c r="C2416" s="988"/>
      <c r="D2416" s="989"/>
      <c r="E2416" s="220" t="s">
        <v>13</v>
      </c>
      <c r="F2416" s="220" t="s">
        <v>14</v>
      </c>
      <c r="G2416" s="990" t="s">
        <v>15</v>
      </c>
      <c r="H2416" s="991"/>
      <c r="I2416" s="504" t="s">
        <v>1316</v>
      </c>
      <c r="J2416" s="19" t="s">
        <v>278</v>
      </c>
      <c r="K2416" s="992" t="s">
        <v>17</v>
      </c>
      <c r="L2416" s="993"/>
      <c r="M2416" s="25"/>
      <c r="N2416" s="26"/>
      <c r="O2416" s="2"/>
      <c r="P2416" s="27"/>
      <c r="Q2416" s="26"/>
      <c r="R2416" s="28"/>
    </row>
    <row r="2417" spans="1:24" ht="30" customHeight="1" x14ac:dyDescent="0.45">
      <c r="A2417" s="47" t="s">
        <v>1431</v>
      </c>
      <c r="B2417" s="1018" t="s">
        <v>1432</v>
      </c>
      <c r="C2417" s="1019"/>
      <c r="D2417" s="1020"/>
      <c r="E2417" s="221">
        <v>86.5</v>
      </c>
      <c r="F2417" s="47" t="s">
        <v>35</v>
      </c>
      <c r="H2417" s="47"/>
      <c r="I2417" s="47"/>
      <c r="J2417" s="365">
        <v>1.1749999999999998</v>
      </c>
      <c r="K2417" s="221">
        <f>+E2417*J2417</f>
        <v>101.63749999999999</v>
      </c>
      <c r="L2417" s="47" t="s">
        <v>35</v>
      </c>
      <c r="M2417" s="25"/>
      <c r="N2417" s="26"/>
      <c r="O2417" s="2"/>
      <c r="P2417" s="27"/>
      <c r="Q2417" s="26"/>
      <c r="R2417" s="28"/>
    </row>
    <row r="2418" spans="1:24" ht="30" customHeight="1" x14ac:dyDescent="0.45">
      <c r="A2418" s="47" t="s">
        <v>1050</v>
      </c>
      <c r="B2418" s="1018" t="s">
        <v>1433</v>
      </c>
      <c r="C2418" s="1019"/>
      <c r="D2418" s="1020"/>
      <c r="E2418" s="221">
        <f>(24+37.25)/2</f>
        <v>30.625</v>
      </c>
      <c r="F2418" s="47" t="s">
        <v>1294</v>
      </c>
      <c r="G2418" s="500">
        <f>13*81</f>
        <v>1053</v>
      </c>
      <c r="H2418" s="223" t="s">
        <v>1434</v>
      </c>
      <c r="I2418" s="352">
        <f t="shared" ref="I2418:I2423" si="57">+E2418*G2418/$H$2415</f>
        <v>1.5012394674363392</v>
      </c>
      <c r="J2418" s="47">
        <v>1.07</v>
      </c>
      <c r="K2418" s="221">
        <f t="shared" ref="K2418:K2423" si="58">+I2418*J2418</f>
        <v>1.606326230156883</v>
      </c>
      <c r="L2418" s="47" t="s">
        <v>35</v>
      </c>
      <c r="M2418" s="25"/>
      <c r="N2418" s="26"/>
      <c r="O2418" s="2"/>
      <c r="P2418" s="27"/>
      <c r="Q2418" s="26"/>
      <c r="R2418" s="28"/>
    </row>
    <row r="2419" spans="1:24" ht="30" customHeight="1" x14ac:dyDescent="0.45">
      <c r="A2419" s="47" t="s">
        <v>1050</v>
      </c>
      <c r="B2419" s="1018" t="s">
        <v>1313</v>
      </c>
      <c r="C2419" s="1019"/>
      <c r="D2419" s="1020"/>
      <c r="E2419" s="221">
        <f>(2020+2850)/2</f>
        <v>2435</v>
      </c>
      <c r="F2419" s="47" t="s">
        <v>88</v>
      </c>
      <c r="G2419" s="58">
        <v>13</v>
      </c>
      <c r="H2419" s="223" t="s">
        <v>35</v>
      </c>
      <c r="I2419" s="352">
        <f>+E2419*G2419/$H$2415</f>
        <v>1.4736278571761092</v>
      </c>
      <c r="J2419" s="47">
        <v>1.07</v>
      </c>
      <c r="K2419" s="221">
        <f>+I2419*J2419</f>
        <v>1.576781807178437</v>
      </c>
      <c r="L2419" s="47" t="s">
        <v>35</v>
      </c>
      <c r="M2419" s="25"/>
      <c r="N2419" s="26"/>
      <c r="O2419" s="2"/>
      <c r="P2419" s="27"/>
      <c r="Q2419" s="26"/>
      <c r="R2419" s="28"/>
    </row>
    <row r="2420" spans="1:24" ht="30" customHeight="1" x14ac:dyDescent="0.45">
      <c r="A2420" s="47" t="s">
        <v>1055</v>
      </c>
      <c r="B2420" s="1008" t="s">
        <v>1435</v>
      </c>
      <c r="C2420" s="1009"/>
      <c r="D2420" s="1010"/>
      <c r="E2420" s="221">
        <f>+(34.5+82)/2</f>
        <v>58.25</v>
      </c>
      <c r="F2420" s="47" t="s">
        <v>88</v>
      </c>
      <c r="G2420" s="639">
        <f>13*10</f>
        <v>130</v>
      </c>
      <c r="H2420" s="223" t="s">
        <v>35</v>
      </c>
      <c r="I2420" s="352">
        <f t="shared" si="57"/>
        <v>0.35252083236348403</v>
      </c>
      <c r="J2420" s="47">
        <v>1.21</v>
      </c>
      <c r="K2420" s="221">
        <f t="shared" si="58"/>
        <v>0.42655020715981568</v>
      </c>
      <c r="L2420" s="47" t="s">
        <v>35</v>
      </c>
      <c r="M2420" s="25"/>
      <c r="N2420" s="26"/>
      <c r="O2420" s="2"/>
      <c r="P2420" s="27"/>
      <c r="Q2420" s="26"/>
      <c r="R2420" s="28"/>
    </row>
    <row r="2421" spans="1:24" ht="30" customHeight="1" x14ac:dyDescent="0.45">
      <c r="A2421" s="47" t="s">
        <v>1055</v>
      </c>
      <c r="B2421" s="197" t="s">
        <v>1057</v>
      </c>
      <c r="C2421" s="198"/>
      <c r="D2421" s="199"/>
      <c r="E2421" s="221">
        <f>+(6450+12300)/2</f>
        <v>9375</v>
      </c>
      <c r="F2421" s="47" t="s">
        <v>88</v>
      </c>
      <c r="G2421" s="58">
        <v>13</v>
      </c>
      <c r="H2421" s="223" t="s">
        <v>35</v>
      </c>
      <c r="I2421" s="352">
        <f t="shared" si="57"/>
        <v>5.6736185466225963</v>
      </c>
      <c r="J2421" s="47">
        <v>1.21</v>
      </c>
      <c r="K2421" s="221">
        <f t="shared" si="58"/>
        <v>6.865078441413341</v>
      </c>
      <c r="L2421" s="47" t="s">
        <v>35</v>
      </c>
      <c r="M2421" s="25"/>
      <c r="N2421" s="26"/>
      <c r="O2421" s="2"/>
      <c r="P2421" s="27"/>
      <c r="Q2421" s="26"/>
      <c r="R2421" s="28"/>
    </row>
    <row r="2422" spans="1:24" ht="30" customHeight="1" x14ac:dyDescent="0.45">
      <c r="A2422" s="47" t="s">
        <v>1055</v>
      </c>
      <c r="B2422" s="1008" t="s">
        <v>1436</v>
      </c>
      <c r="C2422" s="1009"/>
      <c r="D2422" s="1010"/>
      <c r="E2422" s="221">
        <f>+(660+1010)/2</f>
        <v>835</v>
      </c>
      <c r="F2422" s="47" t="s">
        <v>88</v>
      </c>
      <c r="G2422" s="58">
        <v>13</v>
      </c>
      <c r="H2422" s="223" t="s">
        <v>35</v>
      </c>
      <c r="I2422" s="352">
        <f t="shared" si="57"/>
        <v>0.50533029188585266</v>
      </c>
      <c r="J2422" s="47">
        <v>1.21</v>
      </c>
      <c r="K2422" s="221">
        <f t="shared" si="58"/>
        <v>0.61144965318188171</v>
      </c>
      <c r="L2422" s="47" t="s">
        <v>35</v>
      </c>
      <c r="M2422" s="25"/>
      <c r="N2422" s="26"/>
      <c r="S2422" s="41"/>
      <c r="T2422" s="41"/>
    </row>
    <row r="2423" spans="1:24" ht="30" customHeight="1" x14ac:dyDescent="0.45">
      <c r="A2423" s="47" t="s">
        <v>1055</v>
      </c>
      <c r="B2423" s="1008" t="s">
        <v>1437</v>
      </c>
      <c r="C2423" s="1009"/>
      <c r="D2423" s="1010"/>
      <c r="E2423" s="221">
        <f>+(1160+3475)/2</f>
        <v>2317.5</v>
      </c>
      <c r="F2423" s="47" t="s">
        <v>88</v>
      </c>
      <c r="G2423" s="58">
        <v>13</v>
      </c>
      <c r="H2423" s="223" t="s">
        <v>35</v>
      </c>
      <c r="I2423" s="352">
        <f t="shared" si="57"/>
        <v>1.4025185047251059</v>
      </c>
      <c r="J2423" s="47">
        <v>1.21</v>
      </c>
      <c r="K2423" s="221">
        <f t="shared" si="58"/>
        <v>1.697047390717378</v>
      </c>
      <c r="L2423" s="47" t="s">
        <v>35</v>
      </c>
      <c r="M2423" s="25"/>
      <c r="N2423" s="26"/>
      <c r="S2423" s="41"/>
      <c r="T2423" s="41"/>
    </row>
    <row r="2424" spans="1:24" ht="30" customHeight="1" x14ac:dyDescent="0.45">
      <c r="A2424" s="47" t="s">
        <v>358</v>
      </c>
      <c r="B2424" s="1008" t="s">
        <v>1438</v>
      </c>
      <c r="C2424" s="1009"/>
      <c r="D2424" s="1009"/>
      <c r="E2424" s="221">
        <v>3.85</v>
      </c>
      <c r="F2424" s="47" t="s">
        <v>35</v>
      </c>
      <c r="G2424" s="58"/>
      <c r="H2424" s="179"/>
      <c r="I2424" s="179"/>
      <c r="J2424" s="365">
        <v>1.1749999999999998</v>
      </c>
      <c r="K2424" s="221">
        <f>+E2424*J2424</f>
        <v>4.5237499999999997</v>
      </c>
      <c r="L2424" s="47" t="s">
        <v>35</v>
      </c>
      <c r="M2424" s="25"/>
      <c r="N2424" s="18"/>
      <c r="O2424" s="5"/>
      <c r="P2424" s="18"/>
      <c r="Q2424" s="18"/>
      <c r="R2424" s="18"/>
      <c r="S2424" s="18"/>
      <c r="T2424" s="18"/>
      <c r="U2424" s="18"/>
      <c r="V2424" s="18"/>
      <c r="W2424" s="18"/>
      <c r="X2424" s="18"/>
    </row>
    <row r="2425" spans="1:24" s="18" customFormat="1" ht="30" customHeight="1" x14ac:dyDescent="0.45">
      <c r="A2425" s="47"/>
      <c r="B2425" s="1092"/>
      <c r="C2425" s="1092"/>
      <c r="D2425" s="1092"/>
      <c r="E2425" s="221"/>
      <c r="F2425" s="58"/>
      <c r="G2425" s="179"/>
      <c r="H2425" s="179"/>
      <c r="I2425" s="47"/>
      <c r="J2425" s="47" t="s">
        <v>38</v>
      </c>
      <c r="K2425" s="221">
        <f>SUM(K2417:K2424)</f>
        <v>118.94448372980773</v>
      </c>
      <c r="L2425" s="47" t="s">
        <v>35</v>
      </c>
      <c r="M2425" s="25"/>
      <c r="N2425" s="2"/>
      <c r="O2425" s="3"/>
      <c r="P2425" s="2"/>
      <c r="Q2425" s="2"/>
      <c r="R2425" s="2"/>
      <c r="S2425" s="2"/>
      <c r="T2425" s="2"/>
      <c r="U2425" s="2"/>
      <c r="V2425" s="2"/>
      <c r="W2425" s="2"/>
      <c r="X2425" s="2"/>
    </row>
    <row r="2426" spans="1:24" ht="30" customHeight="1" x14ac:dyDescent="0.45">
      <c r="A2426" s="47"/>
      <c r="B2426" s="224"/>
      <c r="C2426" s="224"/>
      <c r="D2426" s="224"/>
      <c r="E2426" s="224"/>
      <c r="F2426" s="1011" t="s">
        <v>285</v>
      </c>
      <c r="G2426" s="1013" t="s">
        <v>286</v>
      </c>
      <c r="H2426" s="1013"/>
      <c r="I2426" s="1013"/>
      <c r="J2426" s="1013"/>
      <c r="K2426" s="365">
        <f>(1.05+1.08)/2</f>
        <v>1.0649999999999999</v>
      </c>
      <c r="L2426" s="47"/>
      <c r="M2426" s="25"/>
    </row>
    <row r="2427" spans="1:24" ht="30" customHeight="1" x14ac:dyDescent="0.45">
      <c r="A2427" s="47"/>
      <c r="B2427" s="224"/>
      <c r="C2427" s="224"/>
      <c r="D2427" s="224"/>
      <c r="E2427" s="224"/>
      <c r="F2427" s="1012"/>
      <c r="G2427" s="1014" t="s">
        <v>298</v>
      </c>
      <c r="H2427" s="1014"/>
      <c r="I2427" s="1014"/>
      <c r="J2427" s="1014"/>
      <c r="K2427" s="278">
        <v>1.06</v>
      </c>
      <c r="L2427" s="47"/>
      <c r="M2427" s="25"/>
      <c r="O2427" s="2"/>
      <c r="P2427" s="27"/>
      <c r="Q2427" s="26"/>
      <c r="R2427" s="28"/>
    </row>
    <row r="2428" spans="1:24" ht="30" customHeight="1" x14ac:dyDescent="0.45">
      <c r="A2428" s="47"/>
      <c r="B2428" s="47"/>
      <c r="C2428" s="58"/>
      <c r="D2428" s="58"/>
      <c r="E2428" s="58"/>
      <c r="F2428" s="58"/>
      <c r="G2428" s="58"/>
      <c r="H2428" s="58"/>
      <c r="I2428" s="58"/>
      <c r="J2428" s="47" t="s">
        <v>39</v>
      </c>
      <c r="K2428" s="216">
        <f>+K2425*K2426/K2427</f>
        <v>119.50554261532568</v>
      </c>
      <c r="L2428" s="47" t="s">
        <v>35</v>
      </c>
      <c r="M2428" s="25"/>
      <c r="N2428" s="186"/>
      <c r="O2428" s="2"/>
      <c r="P2428" s="27"/>
      <c r="Q2428" s="26"/>
      <c r="R2428" s="28"/>
    </row>
    <row r="2429" spans="1:24" ht="30" customHeight="1" x14ac:dyDescent="0.45">
      <c r="A2429" s="47"/>
      <c r="B2429" s="47"/>
      <c r="C2429" s="58"/>
      <c r="D2429" s="58"/>
      <c r="E2429" s="58"/>
      <c r="F2429" s="58"/>
      <c r="G2429" s="1021" t="s">
        <v>288</v>
      </c>
      <c r="H2429" s="1022"/>
      <c r="I2429" s="1023"/>
      <c r="J2429" s="213">
        <f>VLOOKUP(B2415,'[1]Mil Cost Premiums for PUCs'!$A$4:$R$278,18,FALSE)</f>
        <v>1.168693068754227</v>
      </c>
      <c r="K2429" s="216">
        <f>+K2428*J2429</f>
        <v>139.66529933224402</v>
      </c>
      <c r="L2429" s="47" t="s">
        <v>35</v>
      </c>
      <c r="M2429" s="25"/>
      <c r="N2429" s="186"/>
      <c r="O2429" s="2"/>
      <c r="P2429" s="27"/>
      <c r="Q2429" s="26"/>
      <c r="R2429" s="28"/>
    </row>
    <row r="2430" spans="1:24" ht="30" customHeight="1" x14ac:dyDescent="0.45">
      <c r="A2430" s="225"/>
      <c r="B2430" s="225"/>
      <c r="C2430" s="150"/>
      <c r="D2430" s="150"/>
      <c r="E2430" s="150"/>
      <c r="F2430" s="150"/>
      <c r="G2430" s="1025" t="s">
        <v>299</v>
      </c>
      <c r="H2430" s="1026"/>
      <c r="I2430" s="1027"/>
      <c r="J2430" s="226">
        <v>1.1214</v>
      </c>
      <c r="K2430" s="227">
        <f>+K2429*J2430</f>
        <v>156.62066667117844</v>
      </c>
      <c r="L2430" s="47" t="s">
        <v>35</v>
      </c>
      <c r="M2430" s="25"/>
    </row>
    <row r="2431" spans="1:24" ht="67.150000000000006" customHeight="1" x14ac:dyDescent="0.45">
      <c r="A2431" s="1181" t="s">
        <v>366</v>
      </c>
      <c r="B2431" s="1182"/>
      <c r="C2431" s="1182"/>
      <c r="D2431" s="1182"/>
      <c r="E2431" s="1182"/>
      <c r="F2431" s="1182"/>
      <c r="G2431" s="1182"/>
      <c r="H2431" s="1182"/>
      <c r="I2431" s="1182"/>
      <c r="J2431" s="1182"/>
      <c r="K2431" s="1182"/>
      <c r="L2431" s="1183"/>
      <c r="M2431" s="25"/>
      <c r="N2431" s="186"/>
      <c r="O2431" s="2"/>
      <c r="P2431" s="27"/>
      <c r="Q2431" s="26"/>
      <c r="R2431" s="28"/>
    </row>
    <row r="2432" spans="1:24" ht="75" customHeight="1" x14ac:dyDescent="0.45">
      <c r="A2432" s="1142" t="s">
        <v>367</v>
      </c>
      <c r="B2432" s="1117"/>
      <c r="C2432" s="1118"/>
      <c r="D2432" s="1181" t="s">
        <v>1439</v>
      </c>
      <c r="E2432" s="1182"/>
      <c r="F2432" s="1182"/>
      <c r="G2432" s="1182"/>
      <c r="H2432" s="1182"/>
      <c r="I2432" s="1182"/>
      <c r="J2432" s="1182"/>
      <c r="K2432" s="1182"/>
      <c r="L2432" s="1183"/>
      <c r="M2432" s="25"/>
      <c r="N2432" s="26"/>
      <c r="O2432" s="2"/>
      <c r="P2432" s="27"/>
      <c r="Q2432" s="26"/>
      <c r="R2432" s="28"/>
    </row>
    <row r="2433" spans="1:18" ht="30" customHeight="1" x14ac:dyDescent="0.45">
      <c r="A2433" s="1142" t="s">
        <v>369</v>
      </c>
      <c r="B2433" s="1117"/>
      <c r="C2433" s="1118"/>
      <c r="D2433" s="1181" t="s">
        <v>1440</v>
      </c>
      <c r="E2433" s="1182"/>
      <c r="F2433" s="1182"/>
      <c r="G2433" s="1182"/>
      <c r="H2433" s="1182"/>
      <c r="I2433" s="1182"/>
      <c r="J2433" s="1182"/>
      <c r="K2433" s="1182"/>
      <c r="L2433" s="1183"/>
      <c r="M2433" s="25"/>
      <c r="N2433" s="26"/>
      <c r="O2433" s="2"/>
      <c r="P2433" s="27"/>
      <c r="Q2433" s="26"/>
      <c r="R2433" s="28"/>
    </row>
    <row r="2434" spans="1:18" ht="45" customHeight="1" x14ac:dyDescent="0.45">
      <c r="A2434" s="1142" t="s">
        <v>371</v>
      </c>
      <c r="B2434" s="1117"/>
      <c r="C2434" s="1118"/>
      <c r="D2434" s="1181" t="s">
        <v>1441</v>
      </c>
      <c r="E2434" s="1182"/>
      <c r="F2434" s="1182"/>
      <c r="G2434" s="1182"/>
      <c r="H2434" s="1182"/>
      <c r="I2434" s="1182"/>
      <c r="J2434" s="1182"/>
      <c r="K2434" s="1182"/>
      <c r="L2434" s="1183"/>
      <c r="M2434" s="25"/>
      <c r="N2434" s="26"/>
      <c r="O2434" s="2"/>
      <c r="P2434" s="27"/>
      <c r="Q2434" s="26"/>
      <c r="R2434" s="28"/>
    </row>
    <row r="2435" spans="1:18" ht="30" customHeight="1" x14ac:dyDescent="0.45">
      <c r="A2435" s="1142" t="s">
        <v>373</v>
      </c>
      <c r="B2435" s="1117"/>
      <c r="C2435" s="1118"/>
      <c r="D2435" s="1181" t="s">
        <v>1442</v>
      </c>
      <c r="E2435" s="1182"/>
      <c r="F2435" s="1182"/>
      <c r="G2435" s="1182"/>
      <c r="H2435" s="1182"/>
      <c r="I2435" s="1182"/>
      <c r="J2435" s="1182"/>
      <c r="K2435" s="1182"/>
      <c r="L2435" s="1183"/>
      <c r="M2435" s="25"/>
      <c r="N2435" s="26"/>
      <c r="O2435" s="2"/>
      <c r="P2435" s="27"/>
      <c r="Q2435" s="26"/>
      <c r="R2435" s="28"/>
    </row>
    <row r="2436" spans="1:18" ht="45" customHeight="1" x14ac:dyDescent="0.45">
      <c r="A2436" s="1142" t="s">
        <v>375</v>
      </c>
      <c r="B2436" s="1117"/>
      <c r="C2436" s="1118"/>
      <c r="D2436" s="1181" t="s">
        <v>1443</v>
      </c>
      <c r="E2436" s="1182"/>
      <c r="F2436" s="1182"/>
      <c r="G2436" s="1182"/>
      <c r="H2436" s="1182"/>
      <c r="I2436" s="1182"/>
      <c r="J2436" s="1182"/>
      <c r="K2436" s="1182"/>
      <c r="L2436" s="1183"/>
      <c r="M2436" s="25"/>
      <c r="N2436" s="26"/>
      <c r="O2436" s="2"/>
      <c r="P2436" s="27"/>
      <c r="Q2436" s="26"/>
      <c r="R2436" s="28"/>
    </row>
    <row r="2437" spans="1:18" ht="40.15" customHeight="1" x14ac:dyDescent="0.45">
      <c r="A2437" s="1142" t="s">
        <v>377</v>
      </c>
      <c r="B2437" s="1117"/>
      <c r="C2437" s="1118"/>
      <c r="D2437" s="1181" t="s">
        <v>1444</v>
      </c>
      <c r="E2437" s="1182"/>
      <c r="F2437" s="1182"/>
      <c r="G2437" s="1182"/>
      <c r="H2437" s="1182"/>
      <c r="I2437" s="1182"/>
      <c r="J2437" s="1182"/>
      <c r="K2437" s="1182"/>
      <c r="L2437" s="1183"/>
      <c r="M2437" s="25"/>
      <c r="N2437" s="26"/>
      <c r="O2437" s="2"/>
      <c r="P2437" s="27"/>
      <c r="Q2437" s="26"/>
      <c r="R2437" s="28"/>
    </row>
    <row r="2438" spans="1:18" ht="30" customHeight="1" x14ac:dyDescent="0.45">
      <c r="A2438" s="1142" t="s">
        <v>379</v>
      </c>
      <c r="B2438" s="1117"/>
      <c r="C2438" s="1118"/>
      <c r="D2438" s="1181" t="s">
        <v>1445</v>
      </c>
      <c r="E2438" s="1182"/>
      <c r="F2438" s="1182"/>
      <c r="G2438" s="1182"/>
      <c r="H2438" s="1182"/>
      <c r="I2438" s="1182"/>
      <c r="J2438" s="1182"/>
      <c r="K2438" s="1182"/>
      <c r="L2438" s="1183"/>
      <c r="M2438" s="25"/>
      <c r="N2438" s="26"/>
      <c r="O2438" s="2"/>
      <c r="P2438" s="27"/>
      <c r="Q2438" s="26"/>
      <c r="R2438" s="28"/>
    </row>
    <row r="2439" spans="1:18" ht="30" customHeight="1" x14ac:dyDescent="0.45">
      <c r="A2439" s="1142" t="s">
        <v>381</v>
      </c>
      <c r="B2439" s="1117"/>
      <c r="C2439" s="1118"/>
      <c r="D2439" s="1181" t="s">
        <v>382</v>
      </c>
      <c r="E2439" s="1182"/>
      <c r="F2439" s="1182"/>
      <c r="G2439" s="1182"/>
      <c r="H2439" s="1182"/>
      <c r="I2439" s="1182"/>
      <c r="J2439" s="1182"/>
      <c r="K2439" s="1182"/>
      <c r="L2439" s="1183"/>
      <c r="M2439" s="25"/>
      <c r="N2439" s="26"/>
      <c r="O2439" s="2"/>
      <c r="P2439" s="27"/>
      <c r="Q2439" s="26"/>
      <c r="R2439" s="28"/>
    </row>
    <row r="2440" spans="1:18" ht="75" customHeight="1" thickBot="1" x14ac:dyDescent="0.5">
      <c r="A2440" s="1184" t="s">
        <v>513</v>
      </c>
      <c r="B2440" s="1185"/>
      <c r="C2440" s="1186"/>
      <c r="D2440" s="1187" t="s">
        <v>1446</v>
      </c>
      <c r="E2440" s="1188"/>
      <c r="F2440" s="1188"/>
      <c r="G2440" s="1188"/>
      <c r="H2440" s="1188"/>
      <c r="I2440" s="1188"/>
      <c r="J2440" s="1188"/>
      <c r="K2440" s="1188"/>
      <c r="L2440" s="1189"/>
      <c r="M2440" s="25"/>
      <c r="N2440" s="26"/>
      <c r="O2440" s="2"/>
      <c r="P2440" s="27"/>
      <c r="Q2440" s="26"/>
      <c r="R2440" s="28"/>
    </row>
    <row r="2441" spans="1:18" ht="30" customHeight="1" thickBot="1" x14ac:dyDescent="0.5">
      <c r="A2441" s="999"/>
      <c r="B2441" s="1000"/>
      <c r="C2441" s="1000"/>
      <c r="D2441" s="1000"/>
      <c r="E2441" s="1000"/>
      <c r="F2441" s="1000"/>
      <c r="G2441" s="1000"/>
      <c r="H2441" s="1000"/>
      <c r="I2441" s="1000"/>
      <c r="J2441" s="1000"/>
      <c r="K2441" s="1000"/>
      <c r="L2441" s="1001"/>
      <c r="M2441" s="25"/>
      <c r="N2441" s="26"/>
      <c r="O2441" s="2"/>
      <c r="P2441" s="27"/>
      <c r="Q2441" s="26"/>
      <c r="R2441" s="28"/>
    </row>
    <row r="2442" spans="1:18" ht="30" customHeight="1" x14ac:dyDescent="0.45">
      <c r="A2442" s="9" t="s">
        <v>4</v>
      </c>
      <c r="B2442" s="10">
        <v>4421</v>
      </c>
      <c r="C2442" s="1138" t="s">
        <v>1447</v>
      </c>
      <c r="D2442" s="1139"/>
      <c r="E2442" s="13" t="s">
        <v>7</v>
      </c>
      <c r="F2442" s="14" t="s">
        <v>35</v>
      </c>
      <c r="G2442" s="11" t="s">
        <v>6</v>
      </c>
      <c r="H2442" s="169">
        <v>8731.3649924900401</v>
      </c>
      <c r="I2442" s="13" t="s">
        <v>9</v>
      </c>
      <c r="J2442" s="985" t="s">
        <v>266</v>
      </c>
      <c r="K2442" s="985"/>
      <c r="L2442" s="986"/>
      <c r="M2442" s="25"/>
      <c r="N2442" s="26"/>
      <c r="O2442" s="2"/>
      <c r="P2442" s="27"/>
      <c r="Q2442" s="26"/>
      <c r="R2442" s="28"/>
    </row>
    <row r="2443" spans="1:18" ht="30" customHeight="1" x14ac:dyDescent="0.45">
      <c r="A2443" s="19" t="s">
        <v>11</v>
      </c>
      <c r="B2443" s="1005" t="s">
        <v>12</v>
      </c>
      <c r="C2443" s="1005"/>
      <c r="D2443" s="1005"/>
      <c r="E2443" s="132" t="s">
        <v>267</v>
      </c>
      <c r="F2443" s="20" t="s">
        <v>13</v>
      </c>
      <c r="G2443" s="19"/>
      <c r="H2443" s="19"/>
      <c r="I2443" s="1140" t="s">
        <v>60</v>
      </c>
      <c r="J2443" s="1141"/>
      <c r="K2443" s="992" t="s">
        <v>17</v>
      </c>
      <c r="L2443" s="993"/>
      <c r="M2443" s="25"/>
      <c r="N2443" s="26"/>
      <c r="O2443" s="2"/>
      <c r="P2443" s="27"/>
      <c r="Q2443" s="26"/>
      <c r="R2443" s="28"/>
    </row>
    <row r="2444" spans="1:18" ht="30" customHeight="1" x14ac:dyDescent="0.45">
      <c r="A2444" s="29" t="s">
        <v>268</v>
      </c>
      <c r="B2444" s="994" t="s">
        <v>1448</v>
      </c>
      <c r="C2444" s="994"/>
      <c r="D2444" s="994"/>
      <c r="E2444" s="176">
        <v>5300</v>
      </c>
      <c r="F2444" s="145">
        <v>344</v>
      </c>
      <c r="G2444" s="177"/>
      <c r="H2444" s="178"/>
      <c r="I2444" s="1119" t="s">
        <v>270</v>
      </c>
      <c r="J2444" s="1120"/>
      <c r="K2444" s="145">
        <f>+F2444</f>
        <v>344</v>
      </c>
      <c r="L2444" s="29" t="s">
        <v>35</v>
      </c>
      <c r="M2444" s="25"/>
      <c r="N2444" s="26"/>
      <c r="O2444" s="2"/>
      <c r="P2444" s="27"/>
      <c r="Q2444" s="26"/>
      <c r="R2444" s="28"/>
    </row>
    <row r="2445" spans="1:18" ht="30" customHeight="1" thickBot="1" x14ac:dyDescent="0.5">
      <c r="A2445" s="47"/>
      <c r="B2445" s="1092"/>
      <c r="C2445" s="1092"/>
      <c r="D2445" s="1092"/>
      <c r="E2445" s="180"/>
      <c r="F2445" s="181"/>
      <c r="G2445" s="181"/>
      <c r="H2445" s="182"/>
      <c r="I2445" s="58"/>
      <c r="J2445" s="85" t="s">
        <v>39</v>
      </c>
      <c r="K2445" s="216">
        <f>+K2444</f>
        <v>344</v>
      </c>
      <c r="L2445" s="47" t="s">
        <v>35</v>
      </c>
      <c r="M2445" s="25"/>
      <c r="N2445" s="26"/>
      <c r="O2445" s="2"/>
      <c r="P2445" s="27"/>
      <c r="Q2445" s="26"/>
      <c r="R2445" s="28"/>
    </row>
    <row r="2446" spans="1:18" ht="30" customHeight="1" thickBot="1" x14ac:dyDescent="0.5">
      <c r="A2446" s="6"/>
      <c r="B2446" s="7"/>
      <c r="C2446" s="7"/>
      <c r="D2446" s="7"/>
      <c r="E2446" s="7"/>
      <c r="F2446" s="7"/>
      <c r="G2446" s="7"/>
      <c r="H2446" s="7"/>
      <c r="I2446" s="7"/>
      <c r="J2446" s="7"/>
      <c r="K2446" s="7"/>
      <c r="L2446" s="8"/>
      <c r="M2446" s="25"/>
      <c r="N2446" s="26"/>
      <c r="O2446" s="2"/>
      <c r="P2446" s="27"/>
      <c r="Q2446" s="26"/>
      <c r="R2446" s="28"/>
    </row>
    <row r="2447" spans="1:18" ht="30" customHeight="1" x14ac:dyDescent="0.45">
      <c r="A2447" s="9" t="s">
        <v>4</v>
      </c>
      <c r="B2447" s="10">
        <v>4422</v>
      </c>
      <c r="C2447" s="1138" t="s">
        <v>1449</v>
      </c>
      <c r="D2447" s="1139"/>
      <c r="E2447" s="13" t="s">
        <v>7</v>
      </c>
      <c r="F2447" s="14" t="s">
        <v>35</v>
      </c>
      <c r="G2447" s="11" t="s">
        <v>6</v>
      </c>
      <c r="H2447" s="169">
        <v>2736.9633293908901</v>
      </c>
      <c r="I2447" s="13" t="s">
        <v>9</v>
      </c>
      <c r="J2447" s="985" t="s">
        <v>10</v>
      </c>
      <c r="K2447" s="985"/>
      <c r="L2447" s="986"/>
      <c r="M2447" s="25"/>
      <c r="N2447" s="26"/>
      <c r="O2447" s="2"/>
      <c r="P2447" s="27"/>
      <c r="Q2447" s="26"/>
      <c r="R2447" s="28"/>
    </row>
    <row r="2448" spans="1:18" ht="30" customHeight="1" x14ac:dyDescent="0.45">
      <c r="A2448" s="19" t="s">
        <v>11</v>
      </c>
      <c r="B2448" s="1005" t="s">
        <v>12</v>
      </c>
      <c r="C2448" s="1005"/>
      <c r="D2448" s="1005"/>
      <c r="E2448" s="20" t="s">
        <v>13</v>
      </c>
      <c r="F2448" s="20" t="s">
        <v>267</v>
      </c>
      <c r="G2448" s="1068" t="s">
        <v>79</v>
      </c>
      <c r="H2448" s="1069"/>
      <c r="I2448" s="1068" t="s">
        <v>16</v>
      </c>
      <c r="J2448" s="1069"/>
      <c r="K2448" s="992" t="s">
        <v>17</v>
      </c>
      <c r="L2448" s="993"/>
      <c r="M2448" s="25"/>
      <c r="N2448" s="26"/>
      <c r="O2448" s="2"/>
      <c r="P2448" s="27"/>
      <c r="Q2448" s="26"/>
      <c r="R2448" s="28"/>
    </row>
    <row r="2449" spans="1:20" ht="30" customHeight="1" x14ac:dyDescent="0.45">
      <c r="A2449" s="29">
        <v>44222</v>
      </c>
      <c r="B2449" s="994" t="s">
        <v>1450</v>
      </c>
      <c r="C2449" s="994"/>
      <c r="D2449" s="994"/>
      <c r="E2449" s="145">
        <v>204</v>
      </c>
      <c r="F2449" s="640">
        <v>2500</v>
      </c>
      <c r="G2449" s="177" t="s">
        <v>35</v>
      </c>
      <c r="H2449" s="178"/>
      <c r="I2449" s="1119">
        <f>+'[1]2023 MILCON Inflation Table'!F22</f>
        <v>0.93771935922451721</v>
      </c>
      <c r="J2449" s="1120"/>
      <c r="K2449" s="145">
        <f>+E2449*I2449</f>
        <v>191.2947492818015</v>
      </c>
      <c r="L2449" s="29" t="s">
        <v>35</v>
      </c>
      <c r="M2449" s="25"/>
      <c r="N2449" s="26"/>
      <c r="O2449" s="2"/>
      <c r="P2449" s="27"/>
      <c r="Q2449" s="26"/>
      <c r="R2449" s="28"/>
    </row>
    <row r="2450" spans="1:20" ht="30" customHeight="1" thickBot="1" x14ac:dyDescent="0.5">
      <c r="A2450" s="47"/>
      <c r="B2450" s="1282"/>
      <c r="C2450" s="1282"/>
      <c r="D2450" s="1282"/>
      <c r="E2450" s="180"/>
      <c r="F2450" s="181"/>
      <c r="G2450" s="181"/>
      <c r="H2450" s="182"/>
      <c r="I2450" s="58"/>
      <c r="J2450" s="85" t="s">
        <v>39</v>
      </c>
      <c r="K2450" s="216">
        <f>+K2449</f>
        <v>191.2947492818015</v>
      </c>
      <c r="L2450" s="47" t="s">
        <v>35</v>
      </c>
      <c r="M2450" s="25"/>
      <c r="N2450" s="26"/>
      <c r="O2450" s="5"/>
      <c r="P2450" s="18"/>
      <c r="Q2450" s="18"/>
      <c r="R2450" s="18"/>
      <c r="S2450" s="18"/>
      <c r="T2450" s="18"/>
    </row>
    <row r="2451" spans="1:20" ht="30" customHeight="1" thickBot="1" x14ac:dyDescent="0.5">
      <c r="A2451" s="999"/>
      <c r="B2451" s="1000"/>
      <c r="C2451" s="1000"/>
      <c r="D2451" s="1000"/>
      <c r="E2451" s="1000"/>
      <c r="F2451" s="1000"/>
      <c r="G2451" s="1000"/>
      <c r="H2451" s="1000"/>
      <c r="I2451" s="1000"/>
      <c r="J2451" s="1000"/>
      <c r="K2451" s="1000"/>
      <c r="L2451" s="1001"/>
      <c r="M2451" s="25"/>
      <c r="N2451" s="26"/>
    </row>
    <row r="2452" spans="1:20" ht="30" customHeight="1" x14ac:dyDescent="0.45">
      <c r="A2452" s="9" t="s">
        <v>4</v>
      </c>
      <c r="B2452" s="10">
        <v>4423</v>
      </c>
      <c r="C2452" s="983" t="s">
        <v>1451</v>
      </c>
      <c r="D2452" s="984"/>
      <c r="E2452" s="13" t="s">
        <v>7</v>
      </c>
      <c r="F2452" s="14" t="s">
        <v>35</v>
      </c>
      <c r="G2452" s="11" t="s">
        <v>6</v>
      </c>
      <c r="H2452" s="169">
        <v>1442.5804256741601</v>
      </c>
      <c r="I2452" s="13" t="s">
        <v>9</v>
      </c>
      <c r="J2452" s="985" t="s">
        <v>10</v>
      </c>
      <c r="K2452" s="985"/>
      <c r="L2452" s="986"/>
      <c r="M2452" s="25"/>
      <c r="N2452" s="229"/>
      <c r="O2452" s="2"/>
      <c r="P2452" s="27"/>
      <c r="Q2452" s="26"/>
      <c r="R2452" s="28"/>
    </row>
    <row r="2453" spans="1:20" ht="30" customHeight="1" x14ac:dyDescent="0.45">
      <c r="A2453" s="19" t="s">
        <v>11</v>
      </c>
      <c r="B2453" s="1005" t="s">
        <v>12</v>
      </c>
      <c r="C2453" s="1005"/>
      <c r="D2453" s="1005"/>
      <c r="E2453" s="20" t="s">
        <v>13</v>
      </c>
      <c r="F2453" s="20" t="s">
        <v>267</v>
      </c>
      <c r="G2453" s="1068" t="s">
        <v>79</v>
      </c>
      <c r="H2453" s="1069"/>
      <c r="I2453" s="1068" t="s">
        <v>16</v>
      </c>
      <c r="J2453" s="1069"/>
      <c r="K2453" s="992" t="s">
        <v>17</v>
      </c>
      <c r="L2453" s="993"/>
      <c r="M2453" s="25"/>
      <c r="O2453" s="2"/>
      <c r="P2453" s="27"/>
      <c r="Q2453" s="26"/>
      <c r="R2453" s="28"/>
    </row>
    <row r="2454" spans="1:20" ht="30" customHeight="1" x14ac:dyDescent="0.45">
      <c r="A2454" s="38">
        <v>21470</v>
      </c>
      <c r="B2454" s="1142" t="s">
        <v>348</v>
      </c>
      <c r="C2454" s="1117"/>
      <c r="D2454" s="1118"/>
      <c r="E2454" s="145">
        <v>724</v>
      </c>
      <c r="F2454" s="640">
        <v>180</v>
      </c>
      <c r="G2454" s="1261"/>
      <c r="H2454" s="1262"/>
      <c r="I2454" s="1119">
        <f>+'[1]2023 MILCON Inflation Table'!F22</f>
        <v>0.93771935922451721</v>
      </c>
      <c r="J2454" s="1120"/>
      <c r="K2454" s="637">
        <f>+E2454*I2454</f>
        <v>678.90881607855044</v>
      </c>
      <c r="L2454" s="38" t="s">
        <v>35</v>
      </c>
      <c r="M2454" s="25"/>
      <c r="N2454" s="26"/>
      <c r="O2454" s="2"/>
      <c r="P2454" s="27"/>
      <c r="Q2454" s="26"/>
      <c r="R2454" s="28"/>
    </row>
    <row r="2455" spans="1:20" ht="30" customHeight="1" thickBot="1" x14ac:dyDescent="0.5">
      <c r="A2455" s="47"/>
      <c r="B2455" s="1282"/>
      <c r="C2455" s="1282"/>
      <c r="D2455" s="1282"/>
      <c r="E2455" s="180"/>
      <c r="F2455" s="181"/>
      <c r="G2455" s="181"/>
      <c r="H2455" s="182"/>
      <c r="I2455" s="58"/>
      <c r="J2455" s="85" t="s">
        <v>39</v>
      </c>
      <c r="K2455" s="185">
        <f>+K2454</f>
        <v>678.90881607855044</v>
      </c>
      <c r="L2455" s="47" t="s">
        <v>35</v>
      </c>
      <c r="M2455" s="25"/>
      <c r="N2455" s="26"/>
      <c r="O2455" s="2"/>
      <c r="P2455" s="27"/>
      <c r="Q2455" s="26"/>
      <c r="R2455" s="28"/>
    </row>
    <row r="2456" spans="1:20" ht="30" customHeight="1" thickBot="1" x14ac:dyDescent="0.5">
      <c r="A2456" s="999"/>
      <c r="B2456" s="1000"/>
      <c r="C2456" s="1000"/>
      <c r="D2456" s="1000"/>
      <c r="E2456" s="1000"/>
      <c r="F2456" s="1000"/>
      <c r="G2456" s="1000"/>
      <c r="H2456" s="1000"/>
      <c r="I2456" s="1000"/>
      <c r="J2456" s="1000"/>
      <c r="K2456" s="1000"/>
      <c r="L2456" s="1001"/>
      <c r="M2456" s="25"/>
      <c r="N2456" s="26"/>
      <c r="O2456" s="2"/>
      <c r="P2456" s="27"/>
      <c r="Q2456" s="26"/>
      <c r="R2456" s="28"/>
    </row>
    <row r="2457" spans="1:20" ht="30" customHeight="1" x14ac:dyDescent="0.45">
      <c r="A2457" s="9" t="s">
        <v>4</v>
      </c>
      <c r="B2457" s="10">
        <v>4424</v>
      </c>
      <c r="C2457" s="1163" t="s">
        <v>1452</v>
      </c>
      <c r="D2457" s="1164"/>
      <c r="E2457" s="13" t="s">
        <v>7</v>
      </c>
      <c r="F2457" s="14" t="s">
        <v>35</v>
      </c>
      <c r="G2457" s="11" t="s">
        <v>6</v>
      </c>
      <c r="H2457" s="169">
        <v>30068.970094562599</v>
      </c>
      <c r="I2457" s="13" t="s">
        <v>9</v>
      </c>
      <c r="J2457" s="985" t="s">
        <v>272</v>
      </c>
      <c r="K2457" s="985"/>
      <c r="L2457" s="986"/>
      <c r="M2457" s="25"/>
      <c r="N2457" s="229"/>
      <c r="O2457" s="2"/>
      <c r="P2457" s="27"/>
      <c r="Q2457" s="26"/>
      <c r="R2457" s="28"/>
    </row>
    <row r="2458" spans="1:20" ht="30" customHeight="1" x14ac:dyDescent="0.45">
      <c r="A2458" s="19" t="s">
        <v>11</v>
      </c>
      <c r="B2458" s="1005" t="s">
        <v>12</v>
      </c>
      <c r="C2458" s="1005"/>
      <c r="D2458" s="1005"/>
      <c r="E2458" s="20" t="s">
        <v>13</v>
      </c>
      <c r="F2458" s="20" t="s">
        <v>267</v>
      </c>
      <c r="G2458" s="1068" t="s">
        <v>79</v>
      </c>
      <c r="H2458" s="1069"/>
      <c r="I2458" s="1068" t="s">
        <v>16</v>
      </c>
      <c r="J2458" s="1069"/>
      <c r="K2458" s="992" t="s">
        <v>17</v>
      </c>
      <c r="L2458" s="993"/>
      <c r="M2458" s="25"/>
      <c r="O2458" s="2"/>
      <c r="P2458" s="27"/>
      <c r="Q2458" s="26"/>
      <c r="R2458" s="28"/>
    </row>
    <row r="2459" spans="1:20" ht="30" customHeight="1" x14ac:dyDescent="0.45">
      <c r="A2459" s="38">
        <v>44130</v>
      </c>
      <c r="B2459" s="1142" t="s">
        <v>1453</v>
      </c>
      <c r="C2459" s="1117"/>
      <c r="D2459" s="1118"/>
      <c r="E2459" s="145">
        <v>110</v>
      </c>
      <c r="F2459" s="640">
        <v>5600</v>
      </c>
      <c r="G2459" s="1261"/>
      <c r="H2459" s="1262"/>
      <c r="I2459" s="1119">
        <f>+'[1]2023 MILCON Inflation Table'!F15</f>
        <v>1.2839611975731238</v>
      </c>
      <c r="J2459" s="1120"/>
      <c r="K2459" s="637">
        <f>+E2459*I2459</f>
        <v>141.23573173304362</v>
      </c>
      <c r="L2459" s="38" t="s">
        <v>35</v>
      </c>
      <c r="M2459" s="25"/>
      <c r="N2459" s="26"/>
      <c r="O2459" s="2"/>
      <c r="P2459" s="27"/>
      <c r="Q2459" s="26"/>
      <c r="R2459" s="28"/>
    </row>
    <row r="2460" spans="1:20" ht="30" customHeight="1" thickBot="1" x14ac:dyDescent="0.5">
      <c r="A2460" s="47"/>
      <c r="B2460" s="1282"/>
      <c r="C2460" s="1282"/>
      <c r="D2460" s="1282"/>
      <c r="E2460" s="180"/>
      <c r="F2460" s="181"/>
      <c r="G2460" s="181"/>
      <c r="H2460" s="182"/>
      <c r="I2460" s="58"/>
      <c r="J2460" s="85" t="s">
        <v>39</v>
      </c>
      <c r="K2460" s="185">
        <f>+K2459</f>
        <v>141.23573173304362</v>
      </c>
      <c r="L2460" s="47" t="s">
        <v>35</v>
      </c>
      <c r="M2460" s="25"/>
      <c r="N2460" s="26"/>
      <c r="O2460" s="2"/>
      <c r="P2460" s="27"/>
      <c r="Q2460" s="26"/>
      <c r="R2460" s="28"/>
    </row>
    <row r="2461" spans="1:20" ht="30" customHeight="1" thickBot="1" x14ac:dyDescent="0.5">
      <c r="A2461" s="999"/>
      <c r="B2461" s="1000"/>
      <c r="C2461" s="1000"/>
      <c r="D2461" s="1000"/>
      <c r="E2461" s="1000"/>
      <c r="F2461" s="1000"/>
      <c r="G2461" s="1000"/>
      <c r="H2461" s="1000"/>
      <c r="I2461" s="1000"/>
      <c r="J2461" s="1000"/>
      <c r="K2461" s="1000"/>
      <c r="L2461" s="1001"/>
      <c r="M2461" s="25"/>
      <c r="N2461" s="26"/>
      <c r="O2461" s="2"/>
      <c r="P2461" s="27"/>
      <c r="Q2461" s="26"/>
      <c r="R2461" s="28"/>
    </row>
    <row r="2462" spans="1:20" ht="30" customHeight="1" x14ac:dyDescent="0.45">
      <c r="A2462" s="9" t="s">
        <v>4</v>
      </c>
      <c r="B2462" s="10">
        <v>4425</v>
      </c>
      <c r="C2462" s="983" t="s">
        <v>1454</v>
      </c>
      <c r="D2462" s="984"/>
      <c r="E2462" s="13" t="s">
        <v>7</v>
      </c>
      <c r="F2462" s="14" t="s">
        <v>35</v>
      </c>
      <c r="G2462" s="11" t="s">
        <v>6</v>
      </c>
      <c r="H2462" s="300">
        <v>8311</v>
      </c>
      <c r="I2462" s="13" t="s">
        <v>9</v>
      </c>
      <c r="J2462" s="985" t="s">
        <v>292</v>
      </c>
      <c r="K2462" s="985"/>
      <c r="L2462" s="986"/>
      <c r="M2462" s="25"/>
      <c r="N2462" s="26"/>
      <c r="O2462" s="2"/>
      <c r="P2462" s="27"/>
      <c r="Q2462" s="26"/>
      <c r="R2462" s="28"/>
    </row>
    <row r="2463" spans="1:20" ht="30" customHeight="1" x14ac:dyDescent="0.45">
      <c r="A2463" s="85" t="s">
        <v>277</v>
      </c>
      <c r="B2463" s="987" t="s">
        <v>293</v>
      </c>
      <c r="C2463" s="988"/>
      <c r="D2463" s="989"/>
      <c r="E2463" s="220" t="s">
        <v>13</v>
      </c>
      <c r="F2463" s="220" t="s">
        <v>14</v>
      </c>
      <c r="G2463" s="990" t="s">
        <v>15</v>
      </c>
      <c r="H2463" s="991"/>
      <c r="I2463" s="19" t="s">
        <v>278</v>
      </c>
      <c r="J2463" s="19"/>
      <c r="K2463" s="992" t="s">
        <v>17</v>
      </c>
      <c r="L2463" s="993"/>
      <c r="M2463" s="25"/>
      <c r="N2463" s="26"/>
      <c r="O2463" s="2"/>
      <c r="P2463" s="27"/>
      <c r="Q2463" s="26"/>
      <c r="R2463" s="28"/>
    </row>
    <row r="2464" spans="1:20" ht="30" customHeight="1" x14ac:dyDescent="0.45">
      <c r="A2464" s="47" t="s">
        <v>1455</v>
      </c>
      <c r="B2464" s="1008" t="s">
        <v>1456</v>
      </c>
      <c r="C2464" s="1009"/>
      <c r="D2464" s="1010"/>
      <c r="E2464" s="221">
        <v>79</v>
      </c>
      <c r="F2464" s="47" t="s">
        <v>35</v>
      </c>
      <c r="G2464" s="47"/>
      <c r="H2464" s="47"/>
      <c r="I2464" s="365">
        <f>(1.16+1.19)/2</f>
        <v>1.1749999999999998</v>
      </c>
      <c r="J2464" s="47"/>
      <c r="K2464" s="221">
        <f>+E2464*I2464</f>
        <v>92.824999999999989</v>
      </c>
      <c r="L2464" s="47" t="s">
        <v>35</v>
      </c>
      <c r="M2464" s="25"/>
      <c r="N2464" s="26"/>
      <c r="O2464" s="2"/>
      <c r="P2464" s="27"/>
      <c r="Q2464" s="26"/>
      <c r="R2464" s="28"/>
    </row>
    <row r="2465" spans="1:18" ht="30" customHeight="1" x14ac:dyDescent="0.45">
      <c r="A2465" s="47" t="s">
        <v>358</v>
      </c>
      <c r="B2465" s="1008" t="s">
        <v>1457</v>
      </c>
      <c r="C2465" s="1009"/>
      <c r="D2465" s="1009"/>
      <c r="E2465" s="221">
        <v>3.34</v>
      </c>
      <c r="F2465" s="47" t="s">
        <v>35</v>
      </c>
      <c r="G2465" s="58"/>
      <c r="H2465" s="179"/>
      <c r="I2465" s="365">
        <f>(1.16+1.19)/2</f>
        <v>1.1749999999999998</v>
      </c>
      <c r="J2465" s="47"/>
      <c r="K2465" s="221">
        <f>+E2465*I2465</f>
        <v>3.9244999999999992</v>
      </c>
      <c r="L2465" s="47" t="s">
        <v>35</v>
      </c>
      <c r="M2465" s="25"/>
      <c r="N2465" s="26"/>
      <c r="O2465" s="2"/>
      <c r="P2465" s="27"/>
      <c r="Q2465" s="26"/>
      <c r="R2465" s="28"/>
    </row>
    <row r="2466" spans="1:18" ht="30" customHeight="1" x14ac:dyDescent="0.45">
      <c r="A2466" s="47"/>
      <c r="B2466" s="1018"/>
      <c r="C2466" s="1019"/>
      <c r="D2466" s="1020"/>
      <c r="E2466" s="221"/>
      <c r="F2466" s="222"/>
      <c r="G2466" s="58"/>
      <c r="H2466" s="179"/>
      <c r="I2466" s="47"/>
      <c r="J2466" s="47" t="s">
        <v>38</v>
      </c>
      <c r="K2466" s="221">
        <f>SUM(K2464:K2465)</f>
        <v>96.749499999999983</v>
      </c>
      <c r="L2466" s="47" t="s">
        <v>35</v>
      </c>
      <c r="M2466" s="25"/>
      <c r="N2466" s="26"/>
      <c r="O2466" s="2"/>
      <c r="P2466" s="27"/>
      <c r="Q2466" s="26"/>
      <c r="R2466" s="28"/>
    </row>
    <row r="2467" spans="1:18" ht="30" customHeight="1" x14ac:dyDescent="0.45">
      <c r="A2467" s="47"/>
      <c r="B2467" s="1273"/>
      <c r="C2467" s="1274"/>
      <c r="D2467" s="1275"/>
      <c r="E2467" s="221"/>
      <c r="F2467" s="1011" t="s">
        <v>285</v>
      </c>
      <c r="G2467" s="1013" t="s">
        <v>286</v>
      </c>
      <c r="H2467" s="1013"/>
      <c r="I2467" s="1013"/>
      <c r="J2467" s="1013"/>
      <c r="K2467" s="365">
        <f>(1.1+1.08)/2</f>
        <v>1.0900000000000001</v>
      </c>
      <c r="L2467" s="47"/>
      <c r="M2467" s="25"/>
      <c r="N2467" s="26"/>
      <c r="O2467" s="2"/>
      <c r="P2467" s="27"/>
      <c r="Q2467" s="26"/>
      <c r="R2467" s="28"/>
    </row>
    <row r="2468" spans="1:18" ht="30" customHeight="1" x14ac:dyDescent="0.45">
      <c r="A2468" s="47"/>
      <c r="E2468" s="221"/>
      <c r="F2468" s="1012"/>
      <c r="G2468" s="1014" t="s">
        <v>298</v>
      </c>
      <c r="H2468" s="1014"/>
      <c r="I2468" s="1014"/>
      <c r="J2468" s="1014"/>
      <c r="K2468" s="278">
        <v>1.06</v>
      </c>
      <c r="L2468" s="47"/>
      <c r="M2468" s="25"/>
      <c r="N2468" s="26"/>
      <c r="O2468" s="2"/>
      <c r="P2468" s="27"/>
      <c r="Q2468" s="26"/>
      <c r="R2468" s="28"/>
    </row>
    <row r="2469" spans="1:18" ht="30" customHeight="1" x14ac:dyDescent="0.45">
      <c r="A2469" s="47"/>
      <c r="B2469" s="47"/>
      <c r="C2469" s="58"/>
      <c r="D2469" s="58"/>
      <c r="E2469" s="58"/>
      <c r="F2469" s="58"/>
      <c r="G2469" s="58"/>
      <c r="H2469" s="58"/>
      <c r="I2469" s="58"/>
      <c r="J2469" s="47" t="s">
        <v>39</v>
      </c>
      <c r="K2469" s="216">
        <f>+K2466*K2467/K2468</f>
        <v>99.487693396226405</v>
      </c>
      <c r="L2469" s="47" t="s">
        <v>35</v>
      </c>
      <c r="M2469" s="25"/>
      <c r="N2469" s="26"/>
      <c r="O2469" s="2"/>
      <c r="P2469" s="27"/>
      <c r="Q2469" s="26"/>
      <c r="R2469" s="28"/>
    </row>
    <row r="2470" spans="1:18" ht="30" customHeight="1" x14ac:dyDescent="0.45">
      <c r="A2470" s="47"/>
      <c r="B2470" s="47"/>
      <c r="C2470" s="58"/>
      <c r="D2470" s="58"/>
      <c r="E2470" s="58"/>
      <c r="F2470" s="58"/>
      <c r="G2470" s="1021" t="s">
        <v>288</v>
      </c>
      <c r="H2470" s="1022"/>
      <c r="I2470" s="1023"/>
      <c r="J2470" s="213">
        <f>VLOOKUP(B2462,'[1]Mil Cost Premiums for PUCs'!$A$4:$R$278,18,FALSE)</f>
        <v>1.1255953609601996</v>
      </c>
      <c r="K2470" s="216">
        <f>+K2469*J2470</f>
        <v>111.98288615942313</v>
      </c>
      <c r="L2470" s="47" t="s">
        <v>35</v>
      </c>
      <c r="M2470" s="25"/>
      <c r="N2470" s="26"/>
      <c r="O2470" s="2"/>
      <c r="P2470" s="27"/>
      <c r="Q2470" s="26"/>
      <c r="R2470" s="28"/>
    </row>
    <row r="2471" spans="1:18" ht="30" customHeight="1" thickBot="1" x14ac:dyDescent="0.5">
      <c r="A2471" s="225"/>
      <c r="B2471" s="225"/>
      <c r="C2471" s="150"/>
      <c r="D2471" s="150"/>
      <c r="E2471" s="150"/>
      <c r="F2471" s="150"/>
      <c r="G2471" s="1025" t="s">
        <v>299</v>
      </c>
      <c r="H2471" s="1026"/>
      <c r="I2471" s="1027"/>
      <c r="J2471" s="226">
        <v>1.1214</v>
      </c>
      <c r="K2471" s="227">
        <f>+K2470*J2471</f>
        <v>125.57760853917709</v>
      </c>
      <c r="L2471" s="47" t="s">
        <v>35</v>
      </c>
      <c r="M2471" s="25"/>
    </row>
    <row r="2472" spans="1:18" ht="30" customHeight="1" thickBot="1" x14ac:dyDescent="0.5">
      <c r="A2472" s="999"/>
      <c r="B2472" s="1000"/>
      <c r="C2472" s="1000"/>
      <c r="D2472" s="1000"/>
      <c r="E2472" s="1000"/>
      <c r="F2472" s="1000"/>
      <c r="G2472" s="1000"/>
      <c r="H2472" s="1000"/>
      <c r="I2472" s="1000"/>
      <c r="J2472" s="1000"/>
      <c r="K2472" s="1000"/>
      <c r="L2472" s="1001"/>
      <c r="M2472" s="25"/>
      <c r="N2472" s="26"/>
      <c r="O2472" s="2"/>
      <c r="P2472" s="27"/>
      <c r="Q2472" s="26"/>
      <c r="R2472" s="28"/>
    </row>
    <row r="2473" spans="1:18" ht="30" customHeight="1" x14ac:dyDescent="0.45">
      <c r="A2473" s="9" t="s">
        <v>4</v>
      </c>
      <c r="B2473" s="10">
        <v>4426</v>
      </c>
      <c r="C2473" s="983" t="s">
        <v>1458</v>
      </c>
      <c r="D2473" s="984"/>
      <c r="E2473" s="13" t="s">
        <v>7</v>
      </c>
      <c r="F2473" s="14" t="s">
        <v>35</v>
      </c>
      <c r="G2473" s="11" t="s">
        <v>6</v>
      </c>
      <c r="H2473" s="300">
        <v>2307</v>
      </c>
      <c r="I2473" s="13" t="s">
        <v>9</v>
      </c>
      <c r="J2473" s="985" t="s">
        <v>292</v>
      </c>
      <c r="K2473" s="985"/>
      <c r="L2473" s="986"/>
      <c r="M2473" s="25"/>
      <c r="N2473" s="26"/>
      <c r="O2473" s="2"/>
      <c r="P2473" s="27"/>
      <c r="Q2473" s="26"/>
      <c r="R2473" s="28"/>
    </row>
    <row r="2474" spans="1:18" ht="30" customHeight="1" x14ac:dyDescent="0.45">
      <c r="A2474" s="85" t="s">
        <v>277</v>
      </c>
      <c r="B2474" s="987" t="s">
        <v>293</v>
      </c>
      <c r="C2474" s="988"/>
      <c r="D2474" s="989"/>
      <c r="E2474" s="220" t="s">
        <v>13</v>
      </c>
      <c r="F2474" s="220" t="s">
        <v>14</v>
      </c>
      <c r="G2474" s="990" t="s">
        <v>15</v>
      </c>
      <c r="H2474" s="991"/>
      <c r="I2474" s="19" t="s">
        <v>278</v>
      </c>
      <c r="J2474" s="19"/>
      <c r="K2474" s="992" t="s">
        <v>17</v>
      </c>
      <c r="L2474" s="993"/>
      <c r="M2474" s="25"/>
      <c r="N2474" s="26"/>
      <c r="O2474" s="2"/>
      <c r="P2474" s="27"/>
      <c r="Q2474" s="26"/>
      <c r="R2474" s="28"/>
    </row>
    <row r="2475" spans="1:18" ht="30" customHeight="1" x14ac:dyDescent="0.45">
      <c r="A2475" s="47" t="s">
        <v>1459</v>
      </c>
      <c r="B2475" s="1030" t="s">
        <v>1460</v>
      </c>
      <c r="C2475" s="1030"/>
      <c r="D2475" s="1030"/>
      <c r="E2475" s="221">
        <v>26</v>
      </c>
      <c r="F2475" s="47" t="s">
        <v>35</v>
      </c>
      <c r="G2475" s="47"/>
      <c r="H2475" s="47"/>
      <c r="I2475" s="47">
        <v>1.1399999999999999</v>
      </c>
      <c r="J2475" s="47"/>
      <c r="K2475" s="221">
        <f>+E2475*I2475</f>
        <v>29.639999999999997</v>
      </c>
      <c r="L2475" s="47" t="s">
        <v>35</v>
      </c>
      <c r="M2475" s="25"/>
      <c r="N2475" s="26"/>
      <c r="O2475" s="2"/>
      <c r="P2475" s="27"/>
      <c r="Q2475" s="26"/>
      <c r="R2475" s="28"/>
    </row>
    <row r="2476" spans="1:18" ht="30" customHeight="1" x14ac:dyDescent="0.45">
      <c r="A2476" s="47"/>
      <c r="B2476" s="224"/>
      <c r="C2476" s="224"/>
      <c r="D2476" s="224"/>
      <c r="E2476" s="221"/>
      <c r="F2476" s="1011" t="s">
        <v>285</v>
      </c>
      <c r="G2476" s="1013" t="s">
        <v>286</v>
      </c>
      <c r="H2476" s="1013"/>
      <c r="I2476" s="1013"/>
      <c r="J2476" s="1013"/>
      <c r="K2476" s="365">
        <v>1.03</v>
      </c>
      <c r="L2476" s="47"/>
      <c r="M2476" s="25"/>
      <c r="N2476" s="26"/>
      <c r="O2476" s="2"/>
      <c r="P2476" s="27"/>
      <c r="Q2476" s="26"/>
      <c r="R2476" s="28"/>
    </row>
    <row r="2477" spans="1:18" ht="30" customHeight="1" x14ac:dyDescent="0.45">
      <c r="A2477" s="47"/>
      <c r="B2477" s="224"/>
      <c r="C2477" s="224"/>
      <c r="D2477" s="224"/>
      <c r="E2477" s="221"/>
      <c r="F2477" s="1012"/>
      <c r="G2477" s="1014" t="s">
        <v>298</v>
      </c>
      <c r="H2477" s="1014"/>
      <c r="I2477" s="1014"/>
      <c r="J2477" s="1014"/>
      <c r="K2477" s="278">
        <v>1.06</v>
      </c>
      <c r="L2477" s="47"/>
      <c r="M2477" s="25"/>
      <c r="N2477" s="26"/>
      <c r="O2477" s="2"/>
      <c r="P2477" s="27"/>
      <c r="Q2477" s="26"/>
      <c r="R2477" s="28"/>
    </row>
    <row r="2478" spans="1:18" ht="30" customHeight="1" x14ac:dyDescent="0.45">
      <c r="A2478" s="47"/>
      <c r="B2478" s="47"/>
      <c r="C2478" s="58"/>
      <c r="D2478" s="58"/>
      <c r="E2478" s="58"/>
      <c r="F2478" s="58"/>
      <c r="G2478" s="58"/>
      <c r="H2478" s="58"/>
      <c r="I2478" s="58"/>
      <c r="J2478" s="58" t="s">
        <v>39</v>
      </c>
      <c r="K2478" s="216">
        <f>+K2475*K2476/K2477</f>
        <v>28.801132075471696</v>
      </c>
      <c r="L2478" s="47" t="s">
        <v>35</v>
      </c>
      <c r="M2478" s="25"/>
      <c r="N2478" s="26"/>
      <c r="O2478" s="2"/>
      <c r="P2478" s="27"/>
      <c r="Q2478" s="26"/>
      <c r="R2478" s="28"/>
    </row>
    <row r="2479" spans="1:18" ht="30" customHeight="1" x14ac:dyDescent="0.45">
      <c r="A2479" s="47"/>
      <c r="B2479" s="47"/>
      <c r="C2479" s="58"/>
      <c r="D2479" s="58"/>
      <c r="E2479" s="58"/>
      <c r="F2479" s="58"/>
      <c r="G2479" s="1021" t="s">
        <v>288</v>
      </c>
      <c r="H2479" s="1022"/>
      <c r="I2479" s="1023"/>
      <c r="J2479" s="213">
        <f>VLOOKUP(B2473,'[1]Mil Cost Premiums for PUCs'!$A$4:$R$278,18,FALSE)</f>
        <v>1.0905505199999999</v>
      </c>
      <c r="K2479" s="216">
        <f>+K2478*J2479</f>
        <v>31.409089561494334</v>
      </c>
      <c r="L2479" s="47" t="s">
        <v>35</v>
      </c>
      <c r="M2479" s="25"/>
      <c r="N2479" s="26"/>
      <c r="O2479" s="2"/>
      <c r="P2479" s="27"/>
      <c r="Q2479" s="26"/>
      <c r="R2479" s="28"/>
    </row>
    <row r="2480" spans="1:18" ht="30" customHeight="1" thickBot="1" x14ac:dyDescent="0.5">
      <c r="A2480" s="225"/>
      <c r="B2480" s="225"/>
      <c r="C2480" s="150"/>
      <c r="D2480" s="150"/>
      <c r="E2480" s="150"/>
      <c r="F2480" s="150"/>
      <c r="G2480" s="1025" t="s">
        <v>299</v>
      </c>
      <c r="H2480" s="1026"/>
      <c r="I2480" s="1027"/>
      <c r="J2480" s="226">
        <v>1.1214</v>
      </c>
      <c r="K2480" s="227">
        <f>+K2479*J2480</f>
        <v>35.222153034259748</v>
      </c>
      <c r="L2480" s="47" t="s">
        <v>35</v>
      </c>
      <c r="M2480" s="25"/>
    </row>
    <row r="2481" spans="1:18" ht="30" customHeight="1" thickBot="1" x14ac:dyDescent="0.5">
      <c r="A2481" s="999"/>
      <c r="B2481" s="1000"/>
      <c r="C2481" s="1000"/>
      <c r="D2481" s="1000"/>
      <c r="E2481" s="1000"/>
      <c r="F2481" s="1000"/>
      <c r="G2481" s="1000"/>
      <c r="H2481" s="1000"/>
      <c r="I2481" s="1000"/>
      <c r="J2481" s="1000"/>
      <c r="K2481" s="1000"/>
      <c r="L2481" s="1001"/>
      <c r="M2481" s="25"/>
      <c r="N2481" s="26"/>
      <c r="O2481" s="2"/>
      <c r="P2481" s="27"/>
      <c r="Q2481" s="26"/>
      <c r="R2481" s="28"/>
    </row>
    <row r="2482" spans="1:18" ht="30" customHeight="1" x14ac:dyDescent="0.45">
      <c r="A2482" s="9" t="s">
        <v>4</v>
      </c>
      <c r="B2482" s="10">
        <v>4427</v>
      </c>
      <c r="C2482" s="1138" t="s">
        <v>1461</v>
      </c>
      <c r="D2482" s="1139"/>
      <c r="E2482" s="13" t="s">
        <v>7</v>
      </c>
      <c r="F2482" s="14" t="s">
        <v>35</v>
      </c>
      <c r="G2482" s="11" t="s">
        <v>6</v>
      </c>
      <c r="H2482" s="273">
        <v>3375.2676939655098</v>
      </c>
      <c r="I2482" s="13" t="s">
        <v>9</v>
      </c>
      <c r="J2482" s="985" t="s">
        <v>266</v>
      </c>
      <c r="K2482" s="985"/>
      <c r="L2482" s="986"/>
      <c r="M2482" s="25"/>
      <c r="N2482" s="26"/>
      <c r="O2482" s="2"/>
      <c r="P2482" s="27"/>
      <c r="Q2482" s="26"/>
      <c r="R2482" s="28"/>
    </row>
    <row r="2483" spans="1:18" ht="30" customHeight="1" x14ac:dyDescent="0.45">
      <c r="A2483" s="19" t="s">
        <v>11</v>
      </c>
      <c r="B2483" s="1005" t="s">
        <v>12</v>
      </c>
      <c r="C2483" s="1005"/>
      <c r="D2483" s="1005"/>
      <c r="E2483" s="132" t="s">
        <v>267</v>
      </c>
      <c r="F2483" s="20" t="s">
        <v>13</v>
      </c>
      <c r="G2483" s="19"/>
      <c r="H2483" s="19"/>
      <c r="I2483" s="1140" t="s">
        <v>60</v>
      </c>
      <c r="J2483" s="1141"/>
      <c r="K2483" s="992" t="s">
        <v>17</v>
      </c>
      <c r="L2483" s="993"/>
      <c r="M2483" s="25"/>
      <c r="N2483" s="26"/>
      <c r="O2483" s="2"/>
      <c r="P2483" s="27"/>
      <c r="Q2483" s="26"/>
      <c r="R2483" s="28"/>
    </row>
    <row r="2484" spans="1:18" ht="30" customHeight="1" x14ac:dyDescent="0.45">
      <c r="A2484" s="29" t="s">
        <v>268</v>
      </c>
      <c r="B2484" s="994" t="s">
        <v>1462</v>
      </c>
      <c r="C2484" s="994"/>
      <c r="D2484" s="994"/>
      <c r="E2484" s="176">
        <v>10000</v>
      </c>
      <c r="F2484" s="145">
        <v>396</v>
      </c>
      <c r="G2484" s="177"/>
      <c r="H2484" s="178"/>
      <c r="I2484" s="1119" t="s">
        <v>270</v>
      </c>
      <c r="J2484" s="1120"/>
      <c r="K2484" s="145">
        <f>+F2484</f>
        <v>396</v>
      </c>
      <c r="L2484" s="29" t="s">
        <v>35</v>
      </c>
      <c r="M2484" s="121"/>
      <c r="N2484" s="26"/>
      <c r="O2484" s="2"/>
      <c r="P2484" s="27"/>
      <c r="Q2484" s="26"/>
      <c r="R2484" s="28"/>
    </row>
    <row r="2485" spans="1:18" ht="30" customHeight="1" thickBot="1" x14ac:dyDescent="0.5">
      <c r="A2485" s="47"/>
      <c r="B2485" s="1092"/>
      <c r="C2485" s="1092"/>
      <c r="D2485" s="1092"/>
      <c r="E2485" s="180"/>
      <c r="F2485" s="181"/>
      <c r="G2485" s="181"/>
      <c r="H2485" s="182"/>
      <c r="I2485" s="58"/>
      <c r="J2485" s="85" t="s">
        <v>39</v>
      </c>
      <c r="K2485" s="216">
        <f>+K2484</f>
        <v>396</v>
      </c>
      <c r="L2485" s="47" t="s">
        <v>35</v>
      </c>
      <c r="M2485" s="25"/>
      <c r="N2485" s="26"/>
      <c r="O2485" s="2"/>
      <c r="P2485" s="27"/>
      <c r="Q2485" s="26"/>
      <c r="R2485" s="28"/>
    </row>
    <row r="2486" spans="1:18" ht="30" customHeight="1" thickBot="1" x14ac:dyDescent="0.5">
      <c r="A2486" s="999"/>
      <c r="B2486" s="1000"/>
      <c r="C2486" s="1000"/>
      <c r="D2486" s="1000"/>
      <c r="E2486" s="1000"/>
      <c r="F2486" s="1000"/>
      <c r="G2486" s="1000"/>
      <c r="H2486" s="1000"/>
      <c r="I2486" s="1000"/>
      <c r="J2486" s="1000"/>
      <c r="K2486" s="1000"/>
      <c r="L2486" s="1001"/>
      <c r="M2486" s="25"/>
      <c r="N2486" s="26"/>
      <c r="O2486" s="2"/>
      <c r="P2486" s="27"/>
      <c r="Q2486" s="26"/>
      <c r="R2486" s="28"/>
    </row>
    <row r="2487" spans="1:18" ht="30" customHeight="1" x14ac:dyDescent="0.45">
      <c r="A2487" s="9" t="s">
        <v>4</v>
      </c>
      <c r="B2487" s="10">
        <v>4428</v>
      </c>
      <c r="C2487" s="983" t="s">
        <v>1463</v>
      </c>
      <c r="D2487" s="984"/>
      <c r="E2487" s="13" t="s">
        <v>7</v>
      </c>
      <c r="F2487" s="14" t="s">
        <v>35</v>
      </c>
      <c r="G2487" s="11" t="s">
        <v>6</v>
      </c>
      <c r="H2487" s="300">
        <v>13404</v>
      </c>
      <c r="I2487" s="13" t="s">
        <v>9</v>
      </c>
      <c r="J2487" s="985" t="s">
        <v>292</v>
      </c>
      <c r="K2487" s="985"/>
      <c r="L2487" s="986"/>
      <c r="M2487" s="25"/>
      <c r="N2487" s="26"/>
      <c r="O2487" s="2"/>
      <c r="P2487" s="27"/>
      <c r="Q2487" s="26"/>
      <c r="R2487" s="28"/>
    </row>
    <row r="2488" spans="1:18" ht="30" customHeight="1" x14ac:dyDescent="0.45">
      <c r="A2488" s="85" t="s">
        <v>277</v>
      </c>
      <c r="B2488" s="987" t="s">
        <v>293</v>
      </c>
      <c r="C2488" s="988"/>
      <c r="D2488" s="989"/>
      <c r="E2488" s="220" t="s">
        <v>13</v>
      </c>
      <c r="F2488" s="220" t="s">
        <v>14</v>
      </c>
      <c r="G2488" s="990">
        <v>87.5</v>
      </c>
      <c r="H2488" s="991"/>
      <c r="I2488" s="19" t="s">
        <v>278</v>
      </c>
      <c r="J2488" s="19"/>
      <c r="K2488" s="992" t="s">
        <v>17</v>
      </c>
      <c r="L2488" s="993"/>
      <c r="M2488" s="25"/>
      <c r="N2488" s="26"/>
      <c r="O2488" s="2"/>
      <c r="P2488" s="27"/>
      <c r="Q2488" s="26"/>
      <c r="R2488" s="28"/>
    </row>
    <row r="2489" spans="1:18" ht="30" customHeight="1" x14ac:dyDescent="0.45">
      <c r="A2489" s="47" t="s">
        <v>1464</v>
      </c>
      <c r="B2489" s="1008" t="s">
        <v>1465</v>
      </c>
      <c r="C2489" s="1009"/>
      <c r="D2489" s="1010"/>
      <c r="E2489" s="221">
        <v>87.5</v>
      </c>
      <c r="F2489" s="47" t="s">
        <v>35</v>
      </c>
      <c r="G2489" s="47"/>
      <c r="H2489" s="47"/>
      <c r="I2489" s="365">
        <v>1.18</v>
      </c>
      <c r="J2489" s="47"/>
      <c r="K2489" s="221">
        <f>+E2489*I2489</f>
        <v>103.25</v>
      </c>
      <c r="L2489" s="47" t="s">
        <v>35</v>
      </c>
      <c r="M2489" s="25"/>
      <c r="N2489" s="26"/>
      <c r="O2489" s="2"/>
      <c r="P2489" s="27"/>
      <c r="Q2489" s="26"/>
      <c r="R2489" s="28"/>
    </row>
    <row r="2490" spans="1:18" ht="30" customHeight="1" x14ac:dyDescent="0.45">
      <c r="A2490" s="47" t="s">
        <v>1466</v>
      </c>
      <c r="B2490" s="1008" t="s">
        <v>1467</v>
      </c>
      <c r="C2490" s="1009"/>
      <c r="D2490" s="1009"/>
      <c r="E2490" s="221">
        <v>3.42</v>
      </c>
      <c r="F2490" s="47" t="s">
        <v>35</v>
      </c>
      <c r="G2490" s="58"/>
      <c r="H2490" s="179"/>
      <c r="I2490" s="365">
        <v>1.18</v>
      </c>
      <c r="J2490" s="47"/>
      <c r="K2490" s="221">
        <f>+E2490*I2490</f>
        <v>4.0355999999999996</v>
      </c>
      <c r="L2490" s="47" t="s">
        <v>35</v>
      </c>
      <c r="M2490" s="25"/>
      <c r="N2490" s="186"/>
      <c r="O2490" s="2"/>
      <c r="P2490" s="27"/>
      <c r="Q2490" s="26"/>
      <c r="R2490" s="28"/>
    </row>
    <row r="2491" spans="1:18" ht="30" customHeight="1" x14ac:dyDescent="0.45">
      <c r="A2491" s="47"/>
      <c r="B2491" s="1018"/>
      <c r="C2491" s="1019"/>
      <c r="D2491" s="1020"/>
      <c r="E2491" s="221"/>
      <c r="F2491" s="222"/>
      <c r="G2491" s="58"/>
      <c r="H2491" s="179"/>
      <c r="I2491" s="47"/>
      <c r="J2491" s="47" t="s">
        <v>38</v>
      </c>
      <c r="K2491" s="221">
        <f>SUM(K2489:K2490)</f>
        <v>107.2856</v>
      </c>
      <c r="L2491" s="47" t="s">
        <v>35</v>
      </c>
      <c r="M2491" s="25"/>
      <c r="N2491" s="186"/>
      <c r="O2491" s="2"/>
      <c r="P2491" s="27"/>
      <c r="Q2491" s="26"/>
      <c r="R2491" s="28"/>
    </row>
    <row r="2492" spans="1:18" ht="30" customHeight="1" x14ac:dyDescent="0.45">
      <c r="A2492" s="47"/>
      <c r="B2492" s="1273" t="s">
        <v>1468</v>
      </c>
      <c r="C2492" s="1274"/>
      <c r="D2492" s="1275"/>
      <c r="E2492" s="221"/>
      <c r="F2492" s="1011" t="s">
        <v>285</v>
      </c>
      <c r="G2492" s="1013" t="s">
        <v>286</v>
      </c>
      <c r="H2492" s="1013"/>
      <c r="I2492" s="1013"/>
      <c r="J2492" s="1013"/>
      <c r="K2492" s="365">
        <f>(1.05+1.08)/2</f>
        <v>1.0649999999999999</v>
      </c>
      <c r="L2492" s="47"/>
      <c r="M2492" s="25"/>
      <c r="N2492" s="26"/>
      <c r="O2492" s="2"/>
      <c r="P2492" s="27"/>
      <c r="Q2492" s="26"/>
      <c r="R2492" s="28"/>
    </row>
    <row r="2493" spans="1:18" ht="30" customHeight="1" x14ac:dyDescent="0.45">
      <c r="A2493" s="47"/>
      <c r="B2493" s="224"/>
      <c r="C2493" s="224"/>
      <c r="D2493" s="224"/>
      <c r="E2493" s="221"/>
      <c r="F2493" s="1012"/>
      <c r="G2493" s="1014" t="s">
        <v>298</v>
      </c>
      <c r="H2493" s="1014"/>
      <c r="I2493" s="1014"/>
      <c r="J2493" s="1014"/>
      <c r="K2493" s="278">
        <v>1.06</v>
      </c>
      <c r="L2493" s="47"/>
      <c r="M2493" s="25"/>
      <c r="N2493" s="26"/>
      <c r="O2493" s="2"/>
      <c r="P2493" s="27"/>
      <c r="Q2493" s="26"/>
      <c r="R2493" s="28"/>
    </row>
    <row r="2494" spans="1:18" ht="30" customHeight="1" x14ac:dyDescent="0.45">
      <c r="A2494" s="47"/>
      <c r="B2494" s="47"/>
      <c r="C2494" s="58"/>
      <c r="D2494" s="58"/>
      <c r="E2494" s="58"/>
      <c r="F2494" s="58"/>
      <c r="G2494" s="58"/>
      <c r="H2494" s="58"/>
      <c r="I2494" s="58"/>
      <c r="J2494" s="47" t="s">
        <v>39</v>
      </c>
      <c r="K2494" s="216">
        <f>+K2491*K2492/K2493</f>
        <v>107.79166415094339</v>
      </c>
      <c r="L2494" s="47" t="s">
        <v>35</v>
      </c>
      <c r="M2494" s="25"/>
      <c r="N2494" s="26"/>
      <c r="O2494" s="2"/>
      <c r="P2494" s="27"/>
      <c r="Q2494" s="26"/>
      <c r="R2494" s="28"/>
    </row>
    <row r="2495" spans="1:18" ht="30" customHeight="1" x14ac:dyDescent="0.45">
      <c r="A2495" s="47"/>
      <c r="B2495" s="47"/>
      <c r="C2495" s="58"/>
      <c r="D2495" s="58"/>
      <c r="E2495" s="58"/>
      <c r="F2495" s="58"/>
      <c r="G2495" s="1021" t="s">
        <v>288</v>
      </c>
      <c r="H2495" s="1022"/>
      <c r="I2495" s="1023"/>
      <c r="J2495" s="213">
        <f>VLOOKUP(B2487,'[1]Mil Cost Premiums for PUCs'!$A$4:$R$278,18,FALSE)</f>
        <v>1.1025891562650529</v>
      </c>
      <c r="K2495" s="216">
        <f>+K2494*J2495</f>
        <v>118.84992002859462</v>
      </c>
      <c r="L2495" s="47" t="s">
        <v>35</v>
      </c>
      <c r="M2495" s="25"/>
      <c r="N2495" s="26"/>
      <c r="O2495" s="2"/>
      <c r="P2495" s="27"/>
      <c r="Q2495" s="26"/>
      <c r="R2495" s="28"/>
    </row>
    <row r="2496" spans="1:18" ht="30" customHeight="1" thickBot="1" x14ac:dyDescent="0.5">
      <c r="A2496" s="225"/>
      <c r="B2496" s="225"/>
      <c r="C2496" s="150"/>
      <c r="D2496" s="150"/>
      <c r="E2496" s="150"/>
      <c r="F2496" s="150"/>
      <c r="G2496" s="1025" t="s">
        <v>299</v>
      </c>
      <c r="H2496" s="1026"/>
      <c r="I2496" s="1027"/>
      <c r="J2496" s="226">
        <v>1.1214</v>
      </c>
      <c r="K2496" s="227">
        <f>+K2495*J2496</f>
        <v>133.27830032006599</v>
      </c>
      <c r="L2496" s="47" t="s">
        <v>35</v>
      </c>
      <c r="M2496" s="25"/>
    </row>
    <row r="2497" spans="1:18" ht="30" customHeight="1" thickBot="1" x14ac:dyDescent="0.5">
      <c r="A2497" s="999"/>
      <c r="B2497" s="1000"/>
      <c r="C2497" s="1000"/>
      <c r="D2497" s="1000"/>
      <c r="E2497" s="1000"/>
      <c r="F2497" s="1000"/>
      <c r="G2497" s="1000"/>
      <c r="H2497" s="1000"/>
      <c r="I2497" s="1000"/>
      <c r="J2497" s="1000"/>
      <c r="K2497" s="1000"/>
      <c r="L2497" s="1001"/>
      <c r="M2497" s="25"/>
      <c r="N2497" s="26"/>
      <c r="O2497" s="2"/>
      <c r="P2497" s="27"/>
      <c r="Q2497" s="26"/>
      <c r="R2497" s="28"/>
    </row>
    <row r="2498" spans="1:18" ht="30" customHeight="1" x14ac:dyDescent="0.45">
      <c r="A2498" s="9" t="s">
        <v>4</v>
      </c>
      <c r="B2498" s="10">
        <v>4511</v>
      </c>
      <c r="C2498" s="983" t="s">
        <v>1469</v>
      </c>
      <c r="D2498" s="984"/>
      <c r="E2498" s="13" t="s">
        <v>7</v>
      </c>
      <c r="F2498" s="14" t="s">
        <v>8</v>
      </c>
      <c r="G2498" s="11" t="s">
        <v>6</v>
      </c>
      <c r="H2498" s="184">
        <v>9701.0024081878291</v>
      </c>
      <c r="I2498" s="13" t="s">
        <v>9</v>
      </c>
      <c r="J2498" s="985" t="s">
        <v>10</v>
      </c>
      <c r="K2498" s="985"/>
      <c r="L2498" s="986"/>
      <c r="M2498" s="25"/>
      <c r="N2498" s="26"/>
      <c r="O2498" s="2"/>
      <c r="P2498" s="27"/>
      <c r="Q2498" s="26"/>
      <c r="R2498" s="28"/>
    </row>
    <row r="2499" spans="1:18" ht="30" customHeight="1" x14ac:dyDescent="0.45">
      <c r="A2499" s="85" t="s">
        <v>277</v>
      </c>
      <c r="B2499" s="987" t="s">
        <v>293</v>
      </c>
      <c r="C2499" s="988"/>
      <c r="D2499" s="989"/>
      <c r="E2499" s="220" t="s">
        <v>13</v>
      </c>
      <c r="F2499" s="220" t="s">
        <v>14</v>
      </c>
      <c r="G2499" s="990" t="s">
        <v>15</v>
      </c>
      <c r="H2499" s="991"/>
      <c r="I2499" s="1068" t="s">
        <v>16</v>
      </c>
      <c r="J2499" s="1069"/>
      <c r="K2499" s="992" t="s">
        <v>17</v>
      </c>
      <c r="L2499" s="993"/>
      <c r="M2499" s="25"/>
      <c r="N2499" s="26"/>
      <c r="O2499" s="2"/>
      <c r="P2499" s="27"/>
      <c r="Q2499" s="26"/>
      <c r="R2499" s="28"/>
    </row>
    <row r="2500" spans="1:18" ht="30" customHeight="1" x14ac:dyDescent="0.45">
      <c r="A2500" s="47">
        <v>93410</v>
      </c>
      <c r="B2500" s="1018" t="s">
        <v>1238</v>
      </c>
      <c r="C2500" s="1019"/>
      <c r="D2500" s="1020"/>
      <c r="E2500" s="375">
        <v>11.04</v>
      </c>
      <c r="F2500" s="56" t="s">
        <v>29</v>
      </c>
      <c r="G2500" s="409">
        <v>3</v>
      </c>
      <c r="H2500" s="349" t="s">
        <v>30</v>
      </c>
      <c r="I2500" s="1084">
        <f>+'[1]2023 MILCON Inflation Table'!F22</f>
        <v>0.93771935922451721</v>
      </c>
      <c r="J2500" s="1085"/>
      <c r="K2500" s="376">
        <f>+E2500/G2500*I2500</f>
        <v>3.4508072419462232</v>
      </c>
      <c r="L2500" s="56" t="s">
        <v>8</v>
      </c>
      <c r="M2500" s="25"/>
      <c r="N2500" s="26"/>
      <c r="O2500" s="2"/>
      <c r="P2500" s="27"/>
      <c r="Q2500" s="26"/>
      <c r="R2500" s="28"/>
    </row>
    <row r="2501" spans="1:18" ht="30" customHeight="1" x14ac:dyDescent="0.45">
      <c r="A2501" s="47">
        <v>85110</v>
      </c>
      <c r="B2501" s="1018" t="s">
        <v>1470</v>
      </c>
      <c r="C2501" s="1019"/>
      <c r="D2501" s="1020"/>
      <c r="E2501" s="375">
        <v>25.98</v>
      </c>
      <c r="F2501" s="56" t="s">
        <v>8</v>
      </c>
      <c r="G2501" s="409"/>
      <c r="H2501" s="349"/>
      <c r="I2501" s="1084">
        <f>+I2500</f>
        <v>0.93771935922451721</v>
      </c>
      <c r="J2501" s="1085"/>
      <c r="K2501" s="376">
        <f>+E2501*I2501</f>
        <v>24.361948952652959</v>
      </c>
      <c r="L2501" s="56" t="s">
        <v>8</v>
      </c>
      <c r="N2501" s="26"/>
      <c r="O2501" s="2"/>
      <c r="P2501" s="27"/>
      <c r="Q2501" s="26"/>
      <c r="R2501" s="28"/>
    </row>
    <row r="2502" spans="1:18" ht="30" customHeight="1" x14ac:dyDescent="0.45">
      <c r="A2502" s="47">
        <v>85110</v>
      </c>
      <c r="B2502" s="1018" t="s">
        <v>1471</v>
      </c>
      <c r="C2502" s="1019"/>
      <c r="D2502" s="1020"/>
      <c r="E2502" s="375">
        <v>148.53</v>
      </c>
      <c r="F2502" s="56" t="s">
        <v>8</v>
      </c>
      <c r="G2502" s="409"/>
      <c r="H2502" s="349"/>
      <c r="I2502" s="1084">
        <f>+I2500</f>
        <v>0.93771935922451721</v>
      </c>
      <c r="J2502" s="1085"/>
      <c r="K2502" s="376">
        <f>+E2502*I2502</f>
        <v>139.27945642561755</v>
      </c>
      <c r="L2502" s="56" t="s">
        <v>8</v>
      </c>
      <c r="M2502" s="25"/>
      <c r="N2502" s="26"/>
      <c r="O2502" s="2"/>
      <c r="P2502" s="27"/>
      <c r="Q2502" s="26"/>
      <c r="R2502" s="28"/>
    </row>
    <row r="2503" spans="1:18" ht="30" customHeight="1" x14ac:dyDescent="0.45">
      <c r="A2503" s="47"/>
      <c r="C2503" s="58"/>
      <c r="D2503" s="58"/>
      <c r="E2503" s="58"/>
      <c r="F2503" s="58"/>
      <c r="G2503" s="348"/>
      <c r="H2503" s="349"/>
      <c r="I2503" s="47"/>
      <c r="J2503" s="47" t="s">
        <v>360</v>
      </c>
      <c r="K2503" s="334">
        <f>SUM(K2500:K2502)</f>
        <v>167.09221262021674</v>
      </c>
      <c r="L2503" s="56" t="s">
        <v>8</v>
      </c>
      <c r="M2503" s="25"/>
      <c r="N2503" s="26"/>
      <c r="O2503" s="2"/>
      <c r="P2503" s="27"/>
      <c r="Q2503" s="26"/>
      <c r="R2503" s="28"/>
    </row>
    <row r="2504" spans="1:18" ht="30" customHeight="1" thickBot="1" x14ac:dyDescent="0.5">
      <c r="A2504" s="58"/>
      <c r="B2504" s="1018"/>
      <c r="C2504" s="997"/>
      <c r="D2504" s="998"/>
      <c r="E2504" s="554"/>
      <c r="F2504" s="56"/>
      <c r="G2504" s="47"/>
      <c r="H2504" s="47"/>
      <c r="I2504" s="47"/>
      <c r="J2504" s="85" t="s">
        <v>39</v>
      </c>
      <c r="K2504" s="334">
        <f>+K2503</f>
        <v>167.09221262021674</v>
      </c>
      <c r="L2504" s="56" t="s">
        <v>8</v>
      </c>
      <c r="M2504" s="25"/>
      <c r="N2504" s="26"/>
      <c r="O2504" s="2"/>
      <c r="P2504" s="27"/>
      <c r="Q2504" s="26"/>
      <c r="R2504" s="28"/>
    </row>
    <row r="2505" spans="1:18" ht="30" customHeight="1" thickBot="1" x14ac:dyDescent="0.5">
      <c r="A2505" s="999"/>
      <c r="B2505" s="1000"/>
      <c r="C2505" s="1000"/>
      <c r="D2505" s="1000"/>
      <c r="E2505" s="1000"/>
      <c r="F2505" s="1000"/>
      <c r="G2505" s="1000"/>
      <c r="H2505" s="1000"/>
      <c r="I2505" s="1000"/>
      <c r="J2505" s="1000"/>
      <c r="K2505" s="1000"/>
      <c r="L2505" s="1001"/>
      <c r="M2505" s="25"/>
      <c r="N2505" s="26"/>
      <c r="O2505" s="2"/>
      <c r="P2505" s="27"/>
      <c r="Q2505" s="26"/>
      <c r="R2505" s="28"/>
    </row>
    <row r="2506" spans="1:18" ht="30" customHeight="1" x14ac:dyDescent="0.45">
      <c r="A2506" s="9" t="s">
        <v>4</v>
      </c>
      <c r="B2506" s="10">
        <v>4521</v>
      </c>
      <c r="C2506" s="1002" t="s">
        <v>1472</v>
      </c>
      <c r="D2506" s="1003"/>
      <c r="E2506" s="13" t="s">
        <v>7</v>
      </c>
      <c r="F2506" s="14" t="s">
        <v>8</v>
      </c>
      <c r="G2506" s="11" t="s">
        <v>6</v>
      </c>
      <c r="H2506" s="184">
        <v>13118.522638266</v>
      </c>
      <c r="I2506" s="13" t="s">
        <v>9</v>
      </c>
      <c r="J2506" s="985" t="s">
        <v>10</v>
      </c>
      <c r="K2506" s="985"/>
      <c r="L2506" s="986"/>
      <c r="M2506" s="25"/>
      <c r="N2506" s="26"/>
      <c r="O2506" s="2"/>
      <c r="P2506" s="27"/>
      <c r="Q2506" s="26"/>
      <c r="R2506" s="28"/>
    </row>
    <row r="2507" spans="1:18" ht="30" customHeight="1" x14ac:dyDescent="0.45">
      <c r="A2507" s="85" t="s">
        <v>277</v>
      </c>
      <c r="B2507" s="987" t="s">
        <v>293</v>
      </c>
      <c r="C2507" s="988"/>
      <c r="D2507" s="989"/>
      <c r="E2507" s="220" t="s">
        <v>13</v>
      </c>
      <c r="F2507" s="220" t="s">
        <v>14</v>
      </c>
      <c r="G2507" s="990" t="s">
        <v>15</v>
      </c>
      <c r="H2507" s="991"/>
      <c r="I2507" s="1068" t="s">
        <v>16</v>
      </c>
      <c r="J2507" s="1069"/>
      <c r="K2507" s="992" t="s">
        <v>17</v>
      </c>
      <c r="L2507" s="993"/>
      <c r="M2507" s="25"/>
      <c r="N2507" s="26"/>
      <c r="O2507" s="2"/>
      <c r="P2507" s="27"/>
      <c r="Q2507" s="26"/>
      <c r="R2507" s="28"/>
    </row>
    <row r="2508" spans="1:18" ht="30" customHeight="1" x14ac:dyDescent="0.45">
      <c r="A2508" s="47">
        <v>93410</v>
      </c>
      <c r="B2508" s="1018" t="s">
        <v>1238</v>
      </c>
      <c r="C2508" s="1019"/>
      <c r="D2508" s="1020"/>
      <c r="E2508" s="375">
        <v>11.04</v>
      </c>
      <c r="F2508" s="56" t="s">
        <v>29</v>
      </c>
      <c r="G2508" s="409">
        <v>3</v>
      </c>
      <c r="H2508" s="349" t="s">
        <v>30</v>
      </c>
      <c r="I2508" s="1084">
        <f>+'[1]2023 MILCON Inflation Table'!F22</f>
        <v>0.93771935922451721</v>
      </c>
      <c r="J2508" s="1085"/>
      <c r="K2508" s="376">
        <f>+E2508/G2508*I2508</f>
        <v>3.4508072419462232</v>
      </c>
      <c r="L2508" s="56" t="s">
        <v>8</v>
      </c>
      <c r="M2508" s="25"/>
      <c r="N2508" s="26"/>
      <c r="O2508" s="2"/>
      <c r="P2508" s="27"/>
      <c r="Q2508" s="26"/>
      <c r="R2508" s="28"/>
    </row>
    <row r="2509" spans="1:18" ht="30" customHeight="1" x14ac:dyDescent="0.45">
      <c r="A2509" s="47">
        <v>85110</v>
      </c>
      <c r="B2509" s="1018" t="s">
        <v>1470</v>
      </c>
      <c r="C2509" s="1019"/>
      <c r="D2509" s="1020"/>
      <c r="E2509" s="375">
        <v>25.98</v>
      </c>
      <c r="F2509" s="56" t="s">
        <v>8</v>
      </c>
      <c r="G2509" s="409"/>
      <c r="H2509" s="349"/>
      <c r="I2509" s="1084">
        <f>+I2508</f>
        <v>0.93771935922451721</v>
      </c>
      <c r="J2509" s="1085"/>
      <c r="K2509" s="376">
        <f>+E2509*I2509</f>
        <v>24.361948952652959</v>
      </c>
      <c r="L2509" s="56" t="s">
        <v>8</v>
      </c>
      <c r="N2509" s="26"/>
      <c r="O2509" s="2"/>
      <c r="P2509" s="27"/>
      <c r="Q2509" s="26"/>
      <c r="R2509" s="28"/>
    </row>
    <row r="2510" spans="1:18" ht="30" customHeight="1" x14ac:dyDescent="0.45">
      <c r="A2510" s="47">
        <v>85110</v>
      </c>
      <c r="B2510" s="1018" t="s">
        <v>1473</v>
      </c>
      <c r="C2510" s="1019"/>
      <c r="D2510" s="1020"/>
      <c r="E2510" s="375">
        <v>122.44</v>
      </c>
      <c r="F2510" s="56" t="s">
        <v>8</v>
      </c>
      <c r="G2510" s="409"/>
      <c r="H2510" s="349"/>
      <c r="I2510" s="1084">
        <f>+I2508</f>
        <v>0.93771935922451721</v>
      </c>
      <c r="J2510" s="1085"/>
      <c r="K2510" s="376">
        <f>+E2510*I2510</f>
        <v>114.81435834344988</v>
      </c>
      <c r="L2510" s="56" t="s">
        <v>8</v>
      </c>
      <c r="M2510" s="25"/>
      <c r="N2510" s="26"/>
      <c r="O2510" s="2"/>
      <c r="P2510" s="27"/>
      <c r="Q2510" s="26"/>
      <c r="R2510" s="28"/>
    </row>
    <row r="2511" spans="1:18" ht="30" customHeight="1" x14ac:dyDescent="0.45">
      <c r="A2511" s="47"/>
      <c r="C2511" s="58"/>
      <c r="D2511" s="58"/>
      <c r="E2511" s="58"/>
      <c r="F2511" s="58"/>
      <c r="G2511" s="348"/>
      <c r="H2511" s="349"/>
      <c r="I2511" s="47"/>
      <c r="J2511" s="47" t="s">
        <v>360</v>
      </c>
      <c r="K2511" s="334">
        <f>SUM(K2508:K2510)</f>
        <v>142.62711453804906</v>
      </c>
      <c r="L2511" s="56" t="s">
        <v>8</v>
      </c>
      <c r="M2511" s="25"/>
      <c r="N2511" s="26"/>
      <c r="O2511" s="2"/>
      <c r="P2511" s="27"/>
      <c r="Q2511" s="26"/>
      <c r="R2511" s="28"/>
    </row>
    <row r="2512" spans="1:18" ht="30" customHeight="1" thickBot="1" x14ac:dyDescent="0.5">
      <c r="A2512" s="58"/>
      <c r="B2512" s="1018"/>
      <c r="C2512" s="997"/>
      <c r="D2512" s="998"/>
      <c r="E2512" s="554"/>
      <c r="F2512" s="56"/>
      <c r="G2512" s="47"/>
      <c r="H2512" s="47"/>
      <c r="I2512" s="47"/>
      <c r="J2512" s="85" t="s">
        <v>39</v>
      </c>
      <c r="K2512" s="334">
        <f>+K2511</f>
        <v>142.62711453804906</v>
      </c>
      <c r="L2512" s="56" t="s">
        <v>8</v>
      </c>
      <c r="M2512" s="25"/>
      <c r="N2512" s="26"/>
      <c r="O2512" s="2"/>
      <c r="P2512" s="27"/>
      <c r="Q2512" s="26"/>
      <c r="R2512" s="28"/>
    </row>
    <row r="2513" spans="1:24" ht="30" customHeight="1" thickBot="1" x14ac:dyDescent="0.5">
      <c r="A2513" s="999"/>
      <c r="B2513" s="1000"/>
      <c r="C2513" s="1000"/>
      <c r="D2513" s="1000"/>
      <c r="E2513" s="1000"/>
      <c r="F2513" s="1000"/>
      <c r="G2513" s="1000"/>
      <c r="H2513" s="1000"/>
      <c r="I2513" s="1000"/>
      <c r="J2513" s="1000"/>
      <c r="K2513" s="1000"/>
      <c r="L2513" s="1001"/>
      <c r="M2513" s="25"/>
      <c r="N2513" s="26"/>
      <c r="O2513" s="2"/>
      <c r="P2513" s="27"/>
      <c r="Q2513" s="26"/>
      <c r="R2513" s="28"/>
    </row>
    <row r="2514" spans="1:24" ht="30" customHeight="1" x14ac:dyDescent="0.45">
      <c r="A2514" s="9" t="s">
        <v>4</v>
      </c>
      <c r="B2514" s="10">
        <v>5100</v>
      </c>
      <c r="C2514" s="1138" t="s">
        <v>1474</v>
      </c>
      <c r="D2514" s="1139"/>
      <c r="E2514" s="13" t="s">
        <v>7</v>
      </c>
      <c r="F2514" s="14" t="s">
        <v>35</v>
      </c>
      <c r="G2514" s="11" t="s">
        <v>6</v>
      </c>
      <c r="H2514" s="184">
        <v>164705.03342939401</v>
      </c>
      <c r="I2514" s="13" t="s">
        <v>9</v>
      </c>
      <c r="J2514" s="985" t="s">
        <v>1178</v>
      </c>
      <c r="K2514" s="985"/>
      <c r="L2514" s="986"/>
      <c r="M2514" s="25"/>
      <c r="S2514" s="41"/>
      <c r="T2514" s="41"/>
    </row>
    <row r="2515" spans="1:24" ht="30" customHeight="1" x14ac:dyDescent="0.45">
      <c r="A2515" s="19" t="s">
        <v>11</v>
      </c>
      <c r="B2515" s="1005" t="s">
        <v>12</v>
      </c>
      <c r="C2515" s="1005"/>
      <c r="D2515" s="1005"/>
      <c r="E2515" s="19" t="s">
        <v>267</v>
      </c>
      <c r="F2515" s="20" t="s">
        <v>13</v>
      </c>
      <c r="G2515" s="1114" t="s">
        <v>79</v>
      </c>
      <c r="H2515" s="1115"/>
      <c r="I2515" s="1068" t="s">
        <v>16</v>
      </c>
      <c r="J2515" s="1069"/>
      <c r="K2515" s="992" t="s">
        <v>17</v>
      </c>
      <c r="L2515" s="993"/>
      <c r="M2515" s="25"/>
      <c r="S2515" s="41"/>
      <c r="T2515" s="41"/>
    </row>
    <row r="2516" spans="1:24" ht="30" customHeight="1" x14ac:dyDescent="0.45">
      <c r="A2516" s="47">
        <v>51010</v>
      </c>
      <c r="B2516" s="1008" t="s">
        <v>1475</v>
      </c>
      <c r="C2516" s="1009"/>
      <c r="D2516" s="1010"/>
      <c r="E2516" s="394" t="s">
        <v>1476</v>
      </c>
      <c r="F2516" s="221">
        <v>458.11</v>
      </c>
      <c r="G2516" s="47" t="s">
        <v>35</v>
      </c>
      <c r="H2516" s="47"/>
      <c r="I2516" s="1084">
        <f>+'[1]2023 MILCON Inflation Table'!F13</f>
        <v>1.4090525299662979</v>
      </c>
      <c r="J2516" s="1085"/>
      <c r="K2516" s="335">
        <f>+F2516*I2516</f>
        <v>645.50105450286071</v>
      </c>
      <c r="L2516" s="29" t="s">
        <v>35</v>
      </c>
      <c r="M2516" s="25"/>
      <c r="N2516" s="18"/>
      <c r="O2516" s="5"/>
      <c r="P2516" s="18"/>
      <c r="Q2516" s="18"/>
      <c r="R2516" s="18"/>
      <c r="S2516" s="18"/>
      <c r="T2516" s="18"/>
      <c r="U2516" s="18"/>
      <c r="V2516" s="18"/>
      <c r="W2516" s="18"/>
      <c r="X2516" s="18"/>
    </row>
    <row r="2517" spans="1:24" s="18" customFormat="1" ht="30" customHeight="1" thickBot="1" x14ac:dyDescent="0.5">
      <c r="A2517" s="47"/>
      <c r="B2517" s="1008"/>
      <c r="C2517" s="1009"/>
      <c r="D2517" s="1010"/>
      <c r="E2517" s="161"/>
      <c r="F2517" s="415"/>
      <c r="G2517" s="161"/>
      <c r="H2517" s="389"/>
      <c r="I2517" s="58"/>
      <c r="J2517" s="85" t="s">
        <v>39</v>
      </c>
      <c r="K2517" s="185">
        <f>AVERAGE(K2516:K2516)</f>
        <v>645.50105450286071</v>
      </c>
      <c r="L2517" s="29" t="s">
        <v>35</v>
      </c>
      <c r="M2517" s="25"/>
      <c r="N2517" s="3"/>
      <c r="O2517" s="3"/>
      <c r="P2517" s="2"/>
      <c r="Q2517" s="2"/>
      <c r="R2517" s="2"/>
      <c r="S2517" s="2"/>
      <c r="T2517" s="2"/>
      <c r="U2517" s="2"/>
      <c r="V2517" s="2"/>
      <c r="W2517" s="2"/>
      <c r="X2517" s="2"/>
    </row>
    <row r="2518" spans="1:24" ht="30" customHeight="1" thickBot="1" x14ac:dyDescent="0.5">
      <c r="A2518" s="999"/>
      <c r="B2518" s="1000"/>
      <c r="C2518" s="1000"/>
      <c r="D2518" s="1000"/>
      <c r="E2518" s="1000"/>
      <c r="F2518" s="1000"/>
      <c r="G2518" s="1000"/>
      <c r="H2518" s="1000"/>
      <c r="I2518" s="1000"/>
      <c r="J2518" s="1000"/>
      <c r="K2518" s="1000"/>
      <c r="L2518" s="1001"/>
      <c r="M2518" s="25"/>
      <c r="N2518" s="229"/>
    </row>
    <row r="2519" spans="1:24" ht="30" customHeight="1" x14ac:dyDescent="0.45">
      <c r="A2519" s="9" t="s">
        <v>4</v>
      </c>
      <c r="B2519" s="10">
        <v>5302</v>
      </c>
      <c r="C2519" s="983" t="s">
        <v>1477</v>
      </c>
      <c r="D2519" s="984"/>
      <c r="E2519" s="13" t="s">
        <v>7</v>
      </c>
      <c r="F2519" s="14" t="s">
        <v>35</v>
      </c>
      <c r="G2519" s="11" t="s">
        <v>6</v>
      </c>
      <c r="H2519" s="300">
        <v>7432</v>
      </c>
      <c r="I2519" s="13" t="s">
        <v>9</v>
      </c>
      <c r="J2519" s="985" t="s">
        <v>575</v>
      </c>
      <c r="K2519" s="985"/>
      <c r="L2519" s="986"/>
      <c r="M2519" s="25"/>
      <c r="S2519" s="41"/>
      <c r="T2519" s="41"/>
    </row>
    <row r="2520" spans="1:24" ht="30" customHeight="1" x14ac:dyDescent="0.45">
      <c r="A2520" s="85" t="s">
        <v>277</v>
      </c>
      <c r="B2520" s="987" t="s">
        <v>293</v>
      </c>
      <c r="C2520" s="988"/>
      <c r="D2520" s="989"/>
      <c r="E2520" s="220" t="s">
        <v>13</v>
      </c>
      <c r="F2520" s="220" t="s">
        <v>14</v>
      </c>
      <c r="G2520" s="990" t="s">
        <v>15</v>
      </c>
      <c r="H2520" s="991"/>
      <c r="I2520" s="19" t="s">
        <v>278</v>
      </c>
      <c r="J2520" s="19"/>
      <c r="K2520" s="992" t="s">
        <v>17</v>
      </c>
      <c r="L2520" s="993"/>
      <c r="M2520" s="25"/>
      <c r="S2520" s="41"/>
      <c r="T2520" s="41"/>
    </row>
    <row r="2521" spans="1:24" ht="30" customHeight="1" x14ac:dyDescent="0.45">
      <c r="A2521" s="47" t="s">
        <v>363</v>
      </c>
      <c r="B2521" s="1018" t="s">
        <v>1478</v>
      </c>
      <c r="C2521" s="1019"/>
      <c r="D2521" s="1020"/>
      <c r="E2521" s="313">
        <v>242</v>
      </c>
      <c r="F2521" s="47" t="s">
        <v>35</v>
      </c>
      <c r="G2521" s="47"/>
      <c r="H2521" s="47"/>
      <c r="I2521" s="47">
        <v>1.03</v>
      </c>
      <c r="J2521" s="47"/>
      <c r="K2521" s="221">
        <f>+E2521*I2521</f>
        <v>249.26000000000002</v>
      </c>
      <c r="L2521" s="47" t="s">
        <v>35</v>
      </c>
      <c r="M2521" s="25"/>
      <c r="O2521" s="5"/>
      <c r="P2521" s="18"/>
      <c r="Q2521" s="18"/>
      <c r="R2521" s="18"/>
      <c r="S2521" s="18"/>
      <c r="T2521" s="18"/>
      <c r="U2521" s="18"/>
      <c r="V2521" s="18"/>
      <c r="W2521" s="18"/>
      <c r="X2521" s="18"/>
    </row>
    <row r="2522" spans="1:24" s="18" customFormat="1" ht="30" customHeight="1" x14ac:dyDescent="0.45">
      <c r="A2522" s="47" t="s">
        <v>358</v>
      </c>
      <c r="B2522" s="1008" t="s">
        <v>1250</v>
      </c>
      <c r="C2522" s="1009"/>
      <c r="D2522" s="1009"/>
      <c r="E2522" s="221">
        <v>4.38</v>
      </c>
      <c r="F2522" s="47" t="s">
        <v>35</v>
      </c>
      <c r="G2522" s="58"/>
      <c r="H2522" s="179"/>
      <c r="I2522" s="47">
        <v>1.03</v>
      </c>
      <c r="J2522" s="47"/>
      <c r="K2522" s="221">
        <f>+E2522*I2522</f>
        <v>4.5114000000000001</v>
      </c>
      <c r="L2522" s="47" t="s">
        <v>35</v>
      </c>
      <c r="M2522" s="25"/>
      <c r="N2522" s="2"/>
      <c r="O2522" s="3"/>
      <c r="P2522" s="2"/>
      <c r="Q2522" s="2"/>
      <c r="R2522" s="2"/>
      <c r="S2522" s="2"/>
      <c r="T2522" s="2"/>
      <c r="U2522" s="2"/>
      <c r="V2522" s="2"/>
      <c r="W2522" s="2"/>
      <c r="X2522" s="2"/>
    </row>
    <row r="2523" spans="1:24" ht="30" customHeight="1" x14ac:dyDescent="0.45">
      <c r="A2523" s="47" t="s">
        <v>1050</v>
      </c>
      <c r="B2523" s="1018" t="s">
        <v>1479</v>
      </c>
      <c r="C2523" s="1019"/>
      <c r="D2523" s="1020"/>
      <c r="E2523" s="221">
        <f>(20.3+31.5)/2</f>
        <v>25.9</v>
      </c>
      <c r="F2523" s="47" t="s">
        <v>35</v>
      </c>
      <c r="G2523" s="641">
        <f>81*E2523/H2519</f>
        <v>0.28227933261571586</v>
      </c>
      <c r="H2523" s="179" t="s">
        <v>1090</v>
      </c>
      <c r="I2523" s="47">
        <v>1.03</v>
      </c>
      <c r="J2523" s="47"/>
      <c r="K2523" s="221">
        <f t="shared" ref="K2523:K2528" si="59">+G2523*I2523</f>
        <v>0.29074771259418736</v>
      </c>
      <c r="L2523" s="47" t="s">
        <v>35</v>
      </c>
      <c r="M2523" s="25"/>
      <c r="N2523" s="229"/>
    </row>
    <row r="2524" spans="1:24" ht="30" customHeight="1" x14ac:dyDescent="0.45">
      <c r="A2524" s="47" t="s">
        <v>1050</v>
      </c>
      <c r="B2524" s="1018" t="s">
        <v>1313</v>
      </c>
      <c r="C2524" s="1019"/>
      <c r="D2524" s="1020"/>
      <c r="E2524" s="221">
        <f>(1710+2420)/2</f>
        <v>2065</v>
      </c>
      <c r="F2524" s="47" t="s">
        <v>88</v>
      </c>
      <c r="G2524" s="216">
        <f>+E2524/H2519</f>
        <v>0.2778525296017223</v>
      </c>
      <c r="H2524" s="179" t="s">
        <v>1090</v>
      </c>
      <c r="I2524" s="47">
        <v>1.03</v>
      </c>
      <c r="J2524" s="47"/>
      <c r="K2524" s="221">
        <f t="shared" si="59"/>
        <v>0.28618810548977397</v>
      </c>
      <c r="L2524" s="47" t="s">
        <v>35</v>
      </c>
      <c r="M2524" s="25"/>
      <c r="S2524" s="41"/>
      <c r="T2524" s="41"/>
    </row>
    <row r="2525" spans="1:24" ht="30" customHeight="1" x14ac:dyDescent="0.45">
      <c r="A2525" s="47" t="s">
        <v>1055</v>
      </c>
      <c r="B2525" s="1008" t="s">
        <v>1480</v>
      </c>
      <c r="C2525" s="1009"/>
      <c r="D2525" s="1010"/>
      <c r="E2525" s="221">
        <f>+(34.5+82)/2</f>
        <v>58.25</v>
      </c>
      <c r="F2525" s="47" t="s">
        <v>113</v>
      </c>
      <c r="G2525" s="216">
        <f>10*E2525/H2519</f>
        <v>7.8377287405812707E-2</v>
      </c>
      <c r="H2525" s="179" t="s">
        <v>1090</v>
      </c>
      <c r="I2525" s="47">
        <v>1.03</v>
      </c>
      <c r="J2525" s="47"/>
      <c r="K2525" s="221">
        <f t="shared" si="59"/>
        <v>8.0728606027987093E-2</v>
      </c>
      <c r="L2525" s="47" t="s">
        <v>35</v>
      </c>
      <c r="M2525" s="25"/>
      <c r="S2525" s="41"/>
      <c r="T2525" s="41"/>
    </row>
    <row r="2526" spans="1:24" ht="30" customHeight="1" x14ac:dyDescent="0.45">
      <c r="A2526" s="47" t="s">
        <v>1055</v>
      </c>
      <c r="B2526" s="197" t="s">
        <v>1057</v>
      </c>
      <c r="C2526" s="198"/>
      <c r="D2526" s="199"/>
      <c r="E2526" s="221">
        <f>+(6450+12300)/2</f>
        <v>9375</v>
      </c>
      <c r="F2526" s="47" t="s">
        <v>88</v>
      </c>
      <c r="G2526" s="216">
        <f>+E2526/H2519</f>
        <v>1.2614370290635091</v>
      </c>
      <c r="H2526" s="179" t="s">
        <v>1090</v>
      </c>
      <c r="I2526" s="47">
        <v>1.03</v>
      </c>
      <c r="J2526" s="47"/>
      <c r="K2526" s="221">
        <f t="shared" si="59"/>
        <v>1.2992801399354144</v>
      </c>
      <c r="L2526" s="47" t="s">
        <v>35</v>
      </c>
      <c r="M2526" s="25"/>
      <c r="O2526" s="5"/>
      <c r="P2526" s="18"/>
      <c r="Q2526" s="18"/>
      <c r="R2526" s="18"/>
      <c r="S2526" s="18"/>
      <c r="T2526" s="18"/>
      <c r="U2526" s="18"/>
      <c r="V2526" s="18"/>
      <c r="W2526" s="18"/>
      <c r="X2526" s="18"/>
    </row>
    <row r="2527" spans="1:24" s="18" customFormat="1" ht="30" customHeight="1" x14ac:dyDescent="0.45">
      <c r="A2527" s="47" t="s">
        <v>1055</v>
      </c>
      <c r="B2527" s="1008" t="s">
        <v>1481</v>
      </c>
      <c r="C2527" s="1009"/>
      <c r="D2527" s="1010"/>
      <c r="E2527" s="221">
        <f>+(660+1010)/2</f>
        <v>835</v>
      </c>
      <c r="F2527" s="47" t="s">
        <v>88</v>
      </c>
      <c r="G2527" s="216">
        <f>+E2527/H2519</f>
        <v>0.11235199138858988</v>
      </c>
      <c r="H2527" s="179" t="s">
        <v>1090</v>
      </c>
      <c r="I2527" s="47">
        <v>1.03</v>
      </c>
      <c r="J2527" s="47"/>
      <c r="K2527" s="221">
        <f t="shared" si="59"/>
        <v>0.11572255113024758</v>
      </c>
      <c r="L2527" s="47" t="s">
        <v>35</v>
      </c>
      <c r="M2527" s="25"/>
      <c r="N2527" s="2"/>
      <c r="O2527" s="3"/>
      <c r="P2527" s="2"/>
      <c r="Q2527" s="2"/>
      <c r="R2527" s="2"/>
      <c r="S2527" s="2"/>
      <c r="T2527" s="2"/>
      <c r="U2527" s="2"/>
      <c r="V2527" s="2"/>
      <c r="W2527" s="2"/>
      <c r="X2527" s="2"/>
    </row>
    <row r="2528" spans="1:24" ht="30" customHeight="1" x14ac:dyDescent="0.45">
      <c r="A2528" s="47" t="s">
        <v>1055</v>
      </c>
      <c r="B2528" s="1008" t="s">
        <v>1437</v>
      </c>
      <c r="C2528" s="1009"/>
      <c r="D2528" s="1010"/>
      <c r="E2528" s="221">
        <f>+(1160+3475)/2</f>
        <v>2317.5</v>
      </c>
      <c r="F2528" s="47" t="s">
        <v>88</v>
      </c>
      <c r="G2528" s="216">
        <f>+E2528/H2519</f>
        <v>0.31182723358449949</v>
      </c>
      <c r="H2528" s="179" t="s">
        <v>1090</v>
      </c>
      <c r="I2528" s="47">
        <v>1.03</v>
      </c>
      <c r="J2528" s="47"/>
      <c r="K2528" s="221">
        <f t="shared" si="59"/>
        <v>0.32118205059203447</v>
      </c>
      <c r="L2528" s="47" t="s">
        <v>35</v>
      </c>
      <c r="M2528" s="25"/>
      <c r="N2528" s="229"/>
    </row>
    <row r="2529" spans="1:24" ht="30" customHeight="1" x14ac:dyDescent="0.45">
      <c r="A2529" s="47"/>
      <c r="B2529" s="1092"/>
      <c r="C2529" s="1092"/>
      <c r="D2529" s="1092"/>
      <c r="E2529" s="221"/>
      <c r="F2529" s="47"/>
      <c r="G2529" s="58"/>
      <c r="H2529" s="179"/>
      <c r="I2529" s="47"/>
      <c r="J2529" s="47" t="s">
        <v>38</v>
      </c>
      <c r="K2529" s="221">
        <f>SUM(K2521:K2528)</f>
        <v>256.16524916576969</v>
      </c>
      <c r="L2529" s="47" t="s">
        <v>35</v>
      </c>
      <c r="M2529" s="25"/>
      <c r="N2529" s="3"/>
      <c r="S2529" s="41"/>
      <c r="T2529" s="41"/>
    </row>
    <row r="2530" spans="1:24" ht="30" customHeight="1" x14ac:dyDescent="0.45">
      <c r="A2530" s="47"/>
      <c r="B2530" s="224"/>
      <c r="C2530" s="224"/>
      <c r="D2530" s="224"/>
      <c r="E2530" s="221"/>
      <c r="F2530" s="1011" t="s">
        <v>285</v>
      </c>
      <c r="G2530" s="1013" t="s">
        <v>286</v>
      </c>
      <c r="H2530" s="1013"/>
      <c r="I2530" s="1013"/>
      <c r="J2530" s="1013"/>
      <c r="K2530" s="365">
        <f>(1.1+1.08)/2</f>
        <v>1.0900000000000001</v>
      </c>
      <c r="L2530" s="47"/>
      <c r="M2530" s="25"/>
      <c r="S2530" s="41"/>
      <c r="T2530" s="41"/>
    </row>
    <row r="2531" spans="1:24" ht="30" customHeight="1" x14ac:dyDescent="0.45">
      <c r="A2531" s="47"/>
      <c r="B2531" s="224"/>
      <c r="C2531" s="224"/>
      <c r="D2531" s="224"/>
      <c r="E2531" s="221"/>
      <c r="F2531" s="1012"/>
      <c r="G2531" s="18"/>
      <c r="H2531" s="1175" t="s">
        <v>580</v>
      </c>
      <c r="I2531" s="1086"/>
      <c r="J2531" s="1087"/>
      <c r="K2531" s="278">
        <v>1.08</v>
      </c>
      <c r="L2531" s="47"/>
      <c r="M2531" s="25"/>
      <c r="O2531" s="5"/>
      <c r="P2531" s="18"/>
      <c r="Q2531" s="18"/>
      <c r="R2531" s="18"/>
      <c r="S2531" s="18"/>
      <c r="T2531" s="18"/>
      <c r="U2531" s="18"/>
      <c r="V2531" s="18"/>
      <c r="W2531" s="18"/>
      <c r="X2531" s="18"/>
    </row>
    <row r="2532" spans="1:24" s="18" customFormat="1" ht="30" customHeight="1" x14ac:dyDescent="0.45">
      <c r="A2532" s="47"/>
      <c r="B2532" s="47"/>
      <c r="C2532" s="58"/>
      <c r="D2532" s="58"/>
      <c r="E2532" s="58"/>
      <c r="F2532" s="58"/>
      <c r="G2532" s="58"/>
      <c r="H2532" s="58"/>
      <c r="I2532" s="58"/>
      <c r="J2532" s="47" t="s">
        <v>39</v>
      </c>
      <c r="K2532" s="216">
        <f>+K2529*K2530/K2531</f>
        <v>258.53714962100827</v>
      </c>
      <c r="L2532" s="47" t="s">
        <v>35</v>
      </c>
      <c r="M2532" s="25"/>
      <c r="N2532" s="2"/>
      <c r="O2532" s="3"/>
      <c r="P2532" s="2"/>
      <c r="Q2532" s="2"/>
      <c r="R2532" s="2"/>
      <c r="S2532" s="2"/>
      <c r="T2532" s="2"/>
      <c r="U2532" s="2"/>
      <c r="V2532" s="2"/>
      <c r="W2532" s="2"/>
      <c r="X2532" s="2"/>
    </row>
    <row r="2533" spans="1:24" ht="30" customHeight="1" x14ac:dyDescent="0.45">
      <c r="A2533" s="47"/>
      <c r="B2533" s="47"/>
      <c r="C2533" s="58"/>
      <c r="D2533" s="58"/>
      <c r="E2533" s="58"/>
      <c r="F2533" s="58"/>
      <c r="G2533" s="1021" t="s">
        <v>288</v>
      </c>
      <c r="H2533" s="1022"/>
      <c r="I2533" s="1023"/>
      <c r="J2533" s="213">
        <f>VLOOKUP(B2519,'[1]Mil Cost Premiums for PUCs'!$A$4:$R$278,18,FALSE)</f>
        <v>1.3319480854780448</v>
      </c>
      <c r="K2533" s="216">
        <f>+K2532*J2533</f>
        <v>344.35806146265276</v>
      </c>
      <c r="L2533" s="47" t="s">
        <v>35</v>
      </c>
      <c r="M2533" s="25"/>
      <c r="N2533" s="229"/>
    </row>
    <row r="2534" spans="1:24" ht="30" customHeight="1" x14ac:dyDescent="0.45">
      <c r="A2534" s="531"/>
      <c r="B2534" s="531"/>
      <c r="C2534" s="538"/>
      <c r="D2534" s="538"/>
      <c r="E2534" s="552"/>
      <c r="F2534" s="1024" t="s">
        <v>581</v>
      </c>
      <c r="G2534" s="1024"/>
      <c r="H2534" s="1024"/>
      <c r="I2534" s="1024"/>
      <c r="J2534" s="543">
        <v>1.0833999999999999</v>
      </c>
      <c r="K2534" s="363">
        <f>K2533*J2534</f>
        <v>373.07752378863796</v>
      </c>
      <c r="L2534" s="47" t="s">
        <v>35</v>
      </c>
      <c r="M2534" s="25"/>
      <c r="S2534" s="41"/>
      <c r="T2534" s="41"/>
    </row>
    <row r="2535" spans="1:24" ht="30" customHeight="1" x14ac:dyDescent="0.45">
      <c r="A2535" s="225"/>
      <c r="B2535" s="225"/>
      <c r="C2535" s="150"/>
      <c r="D2535" s="150"/>
      <c r="E2535" s="150"/>
      <c r="F2535" s="150"/>
      <c r="G2535" s="1025" t="s">
        <v>299</v>
      </c>
      <c r="H2535" s="1026"/>
      <c r="I2535" s="1027"/>
      <c r="J2535" s="226">
        <v>1.1214</v>
      </c>
      <c r="K2535" s="227">
        <f>+K2534*J2535</f>
        <v>418.3691351765786</v>
      </c>
      <c r="L2535" s="47" t="s">
        <v>35</v>
      </c>
      <c r="M2535" s="25"/>
    </row>
    <row r="2536" spans="1:24" ht="65.099999999999994" customHeight="1" x14ac:dyDescent="0.45">
      <c r="A2536" s="1181" t="s">
        <v>366</v>
      </c>
      <c r="B2536" s="1182"/>
      <c r="C2536" s="1182"/>
      <c r="D2536" s="1182"/>
      <c r="E2536" s="1182"/>
      <c r="F2536" s="1182"/>
      <c r="G2536" s="1182"/>
      <c r="H2536" s="1182"/>
      <c r="I2536" s="1182"/>
      <c r="J2536" s="1182"/>
      <c r="K2536" s="1182"/>
      <c r="L2536" s="1183"/>
      <c r="M2536" s="25"/>
      <c r="S2536" s="41"/>
    </row>
    <row r="2537" spans="1:24" ht="75" customHeight="1" x14ac:dyDescent="0.45">
      <c r="A2537" s="1142" t="s">
        <v>367</v>
      </c>
      <c r="B2537" s="1117"/>
      <c r="C2537" s="1118"/>
      <c r="D2537" s="1181" t="s">
        <v>1482</v>
      </c>
      <c r="E2537" s="1182"/>
      <c r="F2537" s="1182"/>
      <c r="G2537" s="1182"/>
      <c r="H2537" s="1182"/>
      <c r="I2537" s="1182"/>
      <c r="J2537" s="1182"/>
      <c r="K2537" s="1182"/>
      <c r="L2537" s="1183"/>
      <c r="M2537" s="25"/>
      <c r="N2537" s="26"/>
      <c r="O2537" s="2"/>
      <c r="P2537" s="27"/>
      <c r="Q2537" s="26"/>
      <c r="R2537" s="28"/>
      <c r="T2537" s="41"/>
    </row>
    <row r="2538" spans="1:24" ht="30" customHeight="1" x14ac:dyDescent="0.45">
      <c r="A2538" s="1142" t="s">
        <v>369</v>
      </c>
      <c r="B2538" s="1117"/>
      <c r="C2538" s="1118"/>
      <c r="D2538" s="1181" t="s">
        <v>1483</v>
      </c>
      <c r="E2538" s="1182"/>
      <c r="F2538" s="1182"/>
      <c r="G2538" s="1182"/>
      <c r="H2538" s="1182"/>
      <c r="I2538" s="1182"/>
      <c r="J2538" s="1182"/>
      <c r="K2538" s="1182"/>
      <c r="L2538" s="1183"/>
      <c r="M2538" s="25"/>
      <c r="O2538" s="5"/>
      <c r="P2538" s="18"/>
      <c r="Q2538" s="18"/>
      <c r="R2538" s="18"/>
      <c r="S2538" s="18"/>
      <c r="T2538" s="18"/>
      <c r="U2538" s="18"/>
      <c r="V2538" s="18"/>
      <c r="W2538" s="18"/>
      <c r="X2538" s="18"/>
    </row>
    <row r="2539" spans="1:24" s="18" customFormat="1" ht="30" customHeight="1" x14ac:dyDescent="0.45">
      <c r="A2539" s="1142" t="s">
        <v>371</v>
      </c>
      <c r="B2539" s="1117"/>
      <c r="C2539" s="1118"/>
      <c r="D2539" s="1181" t="s">
        <v>1484</v>
      </c>
      <c r="E2539" s="1182"/>
      <c r="F2539" s="1182"/>
      <c r="G2539" s="1182"/>
      <c r="H2539" s="1182"/>
      <c r="I2539" s="1182"/>
      <c r="J2539" s="1182"/>
      <c r="K2539" s="1182"/>
      <c r="L2539" s="1183"/>
      <c r="M2539" s="25"/>
      <c r="N2539" s="2"/>
      <c r="O2539" s="3"/>
      <c r="P2539" s="2"/>
      <c r="Q2539" s="2"/>
      <c r="R2539" s="2"/>
      <c r="S2539" s="2"/>
      <c r="T2539" s="2"/>
      <c r="U2539" s="2"/>
      <c r="V2539" s="2"/>
      <c r="W2539" s="2"/>
      <c r="X2539" s="2"/>
    </row>
    <row r="2540" spans="1:24" ht="30" customHeight="1" x14ac:dyDescent="0.45">
      <c r="A2540" s="1142" t="s">
        <v>373</v>
      </c>
      <c r="B2540" s="1117"/>
      <c r="C2540" s="1118"/>
      <c r="D2540" s="1181" t="s">
        <v>1267</v>
      </c>
      <c r="E2540" s="1182"/>
      <c r="F2540" s="1182"/>
      <c r="G2540" s="1182"/>
      <c r="H2540" s="1182"/>
      <c r="I2540" s="1182"/>
      <c r="J2540" s="1182"/>
      <c r="K2540" s="1182"/>
      <c r="L2540" s="1183"/>
      <c r="M2540" s="25"/>
      <c r="N2540" s="229"/>
    </row>
    <row r="2541" spans="1:24" ht="45" customHeight="1" x14ac:dyDescent="0.45">
      <c r="A2541" s="1142" t="s">
        <v>375</v>
      </c>
      <c r="B2541" s="1117"/>
      <c r="C2541" s="1118"/>
      <c r="D2541" s="1181" t="s">
        <v>1485</v>
      </c>
      <c r="E2541" s="1182"/>
      <c r="F2541" s="1182"/>
      <c r="G2541" s="1182"/>
      <c r="H2541" s="1182"/>
      <c r="I2541" s="1182"/>
      <c r="J2541" s="1182"/>
      <c r="K2541" s="1182"/>
      <c r="L2541" s="1183"/>
      <c r="M2541" s="25"/>
      <c r="O2541" s="2"/>
      <c r="P2541" s="27"/>
      <c r="Q2541" s="26"/>
      <c r="R2541" s="28"/>
    </row>
    <row r="2542" spans="1:24" ht="45" customHeight="1" x14ac:dyDescent="0.45">
      <c r="A2542" s="1142" t="s">
        <v>377</v>
      </c>
      <c r="B2542" s="1117"/>
      <c r="C2542" s="1118"/>
      <c r="D2542" s="1181" t="s">
        <v>1486</v>
      </c>
      <c r="E2542" s="1182"/>
      <c r="F2542" s="1182"/>
      <c r="G2542" s="1182"/>
      <c r="H2542" s="1182"/>
      <c r="I2542" s="1182"/>
      <c r="J2542" s="1182"/>
      <c r="K2542" s="1182"/>
      <c r="L2542" s="1183"/>
      <c r="O2542" s="2"/>
      <c r="P2542" s="27"/>
      <c r="Q2542" s="26"/>
      <c r="R2542" s="28"/>
    </row>
    <row r="2543" spans="1:24" ht="30" customHeight="1" x14ac:dyDescent="0.45">
      <c r="A2543" s="1142" t="s">
        <v>379</v>
      </c>
      <c r="B2543" s="1117"/>
      <c r="C2543" s="1118"/>
      <c r="D2543" s="1181" t="s">
        <v>1270</v>
      </c>
      <c r="E2543" s="1182"/>
      <c r="F2543" s="1182"/>
      <c r="G2543" s="1182"/>
      <c r="H2543" s="1182"/>
      <c r="I2543" s="1182"/>
      <c r="J2543" s="1182"/>
      <c r="K2543" s="1182"/>
      <c r="L2543" s="1183"/>
      <c r="M2543" s="25"/>
      <c r="N2543" s="26"/>
      <c r="O2543" s="2"/>
      <c r="P2543" s="27"/>
      <c r="Q2543" s="26"/>
      <c r="R2543" s="28"/>
    </row>
    <row r="2544" spans="1:24" ht="30" customHeight="1" x14ac:dyDescent="0.45">
      <c r="A2544" s="1142" t="s">
        <v>381</v>
      </c>
      <c r="B2544" s="1117"/>
      <c r="C2544" s="1118"/>
      <c r="D2544" s="1181" t="s">
        <v>382</v>
      </c>
      <c r="E2544" s="1182"/>
      <c r="F2544" s="1182"/>
      <c r="G2544" s="1182"/>
      <c r="H2544" s="1182"/>
      <c r="I2544" s="1182"/>
      <c r="J2544" s="1182"/>
      <c r="K2544" s="1182"/>
      <c r="L2544" s="1183"/>
      <c r="M2544" s="25"/>
      <c r="O2544" s="5"/>
      <c r="P2544" s="18"/>
      <c r="Q2544" s="18"/>
      <c r="R2544" s="18"/>
      <c r="S2544" s="18"/>
      <c r="T2544" s="18"/>
      <c r="U2544" s="18"/>
      <c r="V2544" s="18"/>
      <c r="W2544" s="18"/>
      <c r="X2544" s="18"/>
    </row>
    <row r="2545" spans="1:24" s="18" customFormat="1" ht="51" customHeight="1" thickBot="1" x14ac:dyDescent="0.5">
      <c r="A2545" s="1142" t="s">
        <v>513</v>
      </c>
      <c r="B2545" s="1117"/>
      <c r="C2545" s="1118"/>
      <c r="D2545" s="1187" t="s">
        <v>1487</v>
      </c>
      <c r="E2545" s="1188"/>
      <c r="F2545" s="1188"/>
      <c r="G2545" s="1188"/>
      <c r="H2545" s="1188"/>
      <c r="I2545" s="1188"/>
      <c r="J2545" s="1188"/>
      <c r="K2545" s="1188"/>
      <c r="L2545" s="1189"/>
      <c r="M2545" s="25"/>
      <c r="N2545" s="2"/>
      <c r="O2545" s="3"/>
      <c r="P2545" s="2"/>
      <c r="Q2545" s="2"/>
      <c r="R2545" s="2"/>
      <c r="S2545" s="2"/>
      <c r="T2545" s="2"/>
      <c r="U2545" s="2"/>
      <c r="V2545" s="2"/>
      <c r="W2545" s="2"/>
      <c r="X2545" s="2"/>
    </row>
    <row r="2546" spans="1:24" ht="30" customHeight="1" thickBot="1" x14ac:dyDescent="0.5">
      <c r="A2546" s="999"/>
      <c r="B2546" s="1000"/>
      <c r="C2546" s="1000"/>
      <c r="D2546" s="1000"/>
      <c r="E2546" s="1000"/>
      <c r="F2546" s="1000"/>
      <c r="G2546" s="1000"/>
      <c r="H2546" s="1000"/>
      <c r="I2546" s="1000"/>
      <c r="J2546" s="1000"/>
      <c r="K2546" s="1000"/>
      <c r="L2546" s="1001"/>
      <c r="M2546" s="25"/>
      <c r="N2546" s="229"/>
    </row>
    <row r="2547" spans="1:24" ht="30" customHeight="1" x14ac:dyDescent="0.45">
      <c r="A2547" s="9" t="s">
        <v>4</v>
      </c>
      <c r="B2547" s="10">
        <v>5303</v>
      </c>
      <c r="C2547" s="983" t="s">
        <v>1488</v>
      </c>
      <c r="D2547" s="984"/>
      <c r="E2547" s="13" t="s">
        <v>7</v>
      </c>
      <c r="F2547" s="14" t="s">
        <v>35</v>
      </c>
      <c r="G2547" s="11" t="s">
        <v>6</v>
      </c>
      <c r="H2547" s="300">
        <v>7024</v>
      </c>
      <c r="I2547" s="13" t="s">
        <v>9</v>
      </c>
      <c r="J2547" s="985" t="s">
        <v>575</v>
      </c>
      <c r="K2547" s="985"/>
      <c r="L2547" s="986"/>
      <c r="M2547" s="121"/>
      <c r="S2547" s="41"/>
      <c r="T2547" s="41"/>
    </row>
    <row r="2548" spans="1:24" ht="30" customHeight="1" x14ac:dyDescent="0.45">
      <c r="A2548" s="85" t="s">
        <v>277</v>
      </c>
      <c r="B2548" s="987" t="s">
        <v>293</v>
      </c>
      <c r="C2548" s="988"/>
      <c r="D2548" s="989"/>
      <c r="E2548" s="220" t="s">
        <v>13</v>
      </c>
      <c r="F2548" s="220" t="s">
        <v>14</v>
      </c>
      <c r="G2548" s="990" t="s">
        <v>15</v>
      </c>
      <c r="H2548" s="991"/>
      <c r="I2548" s="19" t="s">
        <v>278</v>
      </c>
      <c r="J2548" s="19"/>
      <c r="K2548" s="992" t="s">
        <v>17</v>
      </c>
      <c r="L2548" s="993"/>
      <c r="M2548" s="25"/>
      <c r="S2548" s="41"/>
      <c r="T2548" s="41"/>
    </row>
    <row r="2549" spans="1:24" ht="30" customHeight="1" x14ac:dyDescent="0.45">
      <c r="A2549" s="642" t="s">
        <v>1489</v>
      </c>
      <c r="B2549" s="1008" t="s">
        <v>1490</v>
      </c>
      <c r="C2549" s="1009"/>
      <c r="D2549" s="1010"/>
      <c r="E2549" s="221">
        <v>181</v>
      </c>
      <c r="F2549" s="47" t="s">
        <v>35</v>
      </c>
      <c r="G2549" s="47"/>
      <c r="H2549" s="47"/>
      <c r="I2549" s="558">
        <f>(1.06+1.08)/2</f>
        <v>1.07</v>
      </c>
      <c r="J2549" s="365"/>
      <c r="K2549" s="221">
        <f>+E2549*I2549</f>
        <v>193.67000000000002</v>
      </c>
      <c r="L2549" s="47" t="s">
        <v>35</v>
      </c>
      <c r="M2549" s="25"/>
      <c r="S2549" s="41"/>
      <c r="T2549" s="41"/>
    </row>
    <row r="2550" spans="1:24" ht="30" customHeight="1" x14ac:dyDescent="0.45">
      <c r="A2550" s="642" t="s">
        <v>1491</v>
      </c>
      <c r="B2550" s="1018" t="s">
        <v>1457</v>
      </c>
      <c r="C2550" s="1019"/>
      <c r="D2550" s="1020"/>
      <c r="E2550" s="1">
        <v>3.66</v>
      </c>
      <c r="F2550" s="47" t="s">
        <v>35</v>
      </c>
      <c r="G2550" s="515"/>
      <c r="H2550" s="179"/>
      <c r="I2550" s="558">
        <f>(1.06+1.08)/2</f>
        <v>1.07</v>
      </c>
      <c r="J2550" s="365"/>
      <c r="K2550" s="221">
        <f>+E2550*I2550</f>
        <v>3.9162000000000003</v>
      </c>
      <c r="L2550" s="47" t="s">
        <v>35</v>
      </c>
      <c r="M2550" s="25"/>
      <c r="O2550" s="5"/>
      <c r="P2550" s="18"/>
      <c r="Q2550" s="18"/>
      <c r="R2550" s="18"/>
      <c r="S2550" s="18"/>
      <c r="T2550" s="18"/>
      <c r="U2550" s="18"/>
      <c r="V2550" s="18"/>
      <c r="W2550" s="18"/>
      <c r="X2550" s="18"/>
    </row>
    <row r="2551" spans="1:24" s="18" customFormat="1" ht="30" customHeight="1" x14ac:dyDescent="0.45">
      <c r="A2551" s="47"/>
      <c r="B2551" s="1092"/>
      <c r="C2551" s="1092"/>
      <c r="D2551" s="1092"/>
      <c r="E2551" s="221"/>
      <c r="F2551" s="47"/>
      <c r="G2551" s="58"/>
      <c r="H2551" s="179"/>
      <c r="I2551" s="47"/>
      <c r="J2551" s="47" t="s">
        <v>38</v>
      </c>
      <c r="K2551" s="221">
        <f>SUM(K2549:K2550)</f>
        <v>197.58620000000002</v>
      </c>
      <c r="L2551" s="47" t="s">
        <v>35</v>
      </c>
      <c r="M2551" s="25"/>
      <c r="N2551" s="2"/>
      <c r="O2551" s="3"/>
      <c r="P2551" s="2"/>
      <c r="Q2551" s="2"/>
      <c r="R2551" s="2"/>
      <c r="S2551" s="2"/>
      <c r="T2551" s="2"/>
      <c r="U2551" s="2"/>
      <c r="V2551" s="2"/>
      <c r="W2551" s="2"/>
      <c r="X2551" s="2"/>
    </row>
    <row r="2552" spans="1:24" ht="30" customHeight="1" x14ac:dyDescent="0.45">
      <c r="A2552" s="47"/>
      <c r="B2552" s="224"/>
      <c r="C2552" s="224"/>
      <c r="D2552" s="224"/>
      <c r="E2552" s="221"/>
      <c r="F2552" s="1011" t="s">
        <v>285</v>
      </c>
      <c r="G2552" s="1013" t="s">
        <v>286</v>
      </c>
      <c r="H2552" s="1013"/>
      <c r="I2552" s="1013"/>
      <c r="J2552" s="1013"/>
      <c r="K2552" s="365">
        <f>(1.1+1.08)/2</f>
        <v>1.0900000000000001</v>
      </c>
      <c r="L2552" s="47"/>
      <c r="M2552" s="25"/>
      <c r="N2552" s="229"/>
    </row>
    <row r="2553" spans="1:24" ht="30" customHeight="1" x14ac:dyDescent="0.45">
      <c r="A2553" s="47"/>
      <c r="B2553" s="224"/>
      <c r="C2553" s="224"/>
      <c r="D2553" s="224"/>
      <c r="E2553" s="221"/>
      <c r="F2553" s="1012"/>
      <c r="G2553" s="1014" t="s">
        <v>580</v>
      </c>
      <c r="H2553" s="1014"/>
      <c r="I2553" s="1014"/>
      <c r="J2553" s="1014"/>
      <c r="K2553" s="278">
        <v>1.08</v>
      </c>
      <c r="L2553" s="47"/>
      <c r="M2553" s="25"/>
      <c r="N2553" s="3"/>
      <c r="S2553" s="41"/>
      <c r="T2553" s="41"/>
    </row>
    <row r="2554" spans="1:24" ht="30" customHeight="1" x14ac:dyDescent="0.45">
      <c r="A2554" s="47"/>
      <c r="B2554" s="47"/>
      <c r="C2554" s="58"/>
      <c r="D2554" s="58"/>
      <c r="E2554" s="58"/>
      <c r="F2554" s="58"/>
      <c r="G2554" s="58"/>
      <c r="H2554" s="58"/>
      <c r="I2554" s="58"/>
      <c r="J2554" s="47" t="s">
        <v>39</v>
      </c>
      <c r="K2554" s="216">
        <f>+K2551*K2552/K2553</f>
        <v>199.41570185185188</v>
      </c>
      <c r="L2554" s="47" t="s">
        <v>35</v>
      </c>
      <c r="M2554" s="25"/>
      <c r="S2554" s="41"/>
      <c r="T2554" s="41"/>
    </row>
    <row r="2555" spans="1:24" ht="30" customHeight="1" x14ac:dyDescent="0.45">
      <c r="A2555" s="47"/>
      <c r="B2555" s="47"/>
      <c r="C2555" s="58"/>
      <c r="D2555" s="58"/>
      <c r="E2555" s="58"/>
      <c r="F2555" s="58"/>
      <c r="G2555" s="1021" t="s">
        <v>288</v>
      </c>
      <c r="H2555" s="1022"/>
      <c r="I2555" s="1023"/>
      <c r="J2555" s="213">
        <f>VLOOKUP(B2547,'[1]Mil Cost Premiums for PUCs'!$A$4:$R$278,18,FALSE)</f>
        <v>1.3319480854780448</v>
      </c>
      <c r="K2555" s="216">
        <f>+K2554*J2555</f>
        <v>265.61136229583468</v>
      </c>
      <c r="L2555" s="47" t="s">
        <v>35</v>
      </c>
      <c r="M2555" s="25"/>
      <c r="N2555" s="26"/>
      <c r="O2555" s="2"/>
      <c r="P2555" s="27"/>
      <c r="Q2555" s="26"/>
      <c r="R2555" s="28"/>
    </row>
    <row r="2556" spans="1:24" ht="30" customHeight="1" x14ac:dyDescent="0.45">
      <c r="A2556" s="531"/>
      <c r="B2556" s="531"/>
      <c r="C2556" s="538"/>
      <c r="D2556" s="538"/>
      <c r="E2556" s="552"/>
      <c r="F2556" s="1024" t="s">
        <v>581</v>
      </c>
      <c r="G2556" s="1024"/>
      <c r="H2556" s="1024"/>
      <c r="I2556" s="1024"/>
      <c r="J2556" s="543">
        <v>1.0833999999999999</v>
      </c>
      <c r="K2556" s="363">
        <f>K2555*J2556</f>
        <v>287.76334991130727</v>
      </c>
      <c r="L2556" s="47" t="s">
        <v>35</v>
      </c>
      <c r="M2556" s="25"/>
      <c r="N2556" s="26"/>
      <c r="O2556" s="2"/>
      <c r="P2556" s="27"/>
      <c r="Q2556" s="26"/>
      <c r="R2556" s="28"/>
    </row>
    <row r="2557" spans="1:24" ht="30" customHeight="1" thickBot="1" x14ac:dyDescent="0.5">
      <c r="A2557" s="225"/>
      <c r="B2557" s="225"/>
      <c r="C2557" s="150"/>
      <c r="D2557" s="150"/>
      <c r="E2557" s="150"/>
      <c r="F2557" s="150"/>
      <c r="G2557" s="1025" t="s">
        <v>299</v>
      </c>
      <c r="H2557" s="1026"/>
      <c r="I2557" s="1027"/>
      <c r="J2557" s="226">
        <v>1.1214</v>
      </c>
      <c r="K2557" s="227">
        <f>+K2556*J2557</f>
        <v>322.69782059053995</v>
      </c>
      <c r="L2557" s="47" t="s">
        <v>35</v>
      </c>
      <c r="M2557" s="25"/>
    </row>
    <row r="2558" spans="1:24" ht="30" customHeight="1" thickBot="1" x14ac:dyDescent="0.5">
      <c r="A2558" s="999"/>
      <c r="B2558" s="1000"/>
      <c r="C2558" s="1000"/>
      <c r="D2558" s="1000"/>
      <c r="E2558" s="1000"/>
      <c r="F2558" s="1000"/>
      <c r="G2558" s="1000"/>
      <c r="H2558" s="1000"/>
      <c r="I2558" s="1000"/>
      <c r="J2558" s="1000"/>
      <c r="K2558" s="1000"/>
      <c r="L2558" s="1001"/>
      <c r="M2558" s="25"/>
      <c r="N2558" s="3"/>
      <c r="O2558" s="2"/>
      <c r="P2558" s="27"/>
      <c r="Q2558" s="26"/>
      <c r="R2558" s="28"/>
    </row>
    <row r="2559" spans="1:24" ht="30" customHeight="1" x14ac:dyDescent="0.45">
      <c r="A2559" s="9" t="s">
        <v>4</v>
      </c>
      <c r="B2559" s="10">
        <v>5304</v>
      </c>
      <c r="C2559" s="983" t="s">
        <v>1492</v>
      </c>
      <c r="D2559" s="984"/>
      <c r="E2559" s="13" t="s">
        <v>7</v>
      </c>
      <c r="F2559" s="14" t="s">
        <v>35</v>
      </c>
      <c r="G2559" s="11" t="s">
        <v>6</v>
      </c>
      <c r="H2559" s="300">
        <v>3795</v>
      </c>
      <c r="I2559" s="13" t="s">
        <v>9</v>
      </c>
      <c r="J2559" s="985" t="s">
        <v>292</v>
      </c>
      <c r="K2559" s="985"/>
      <c r="L2559" s="986"/>
      <c r="M2559" s="25"/>
      <c r="N2559" s="26"/>
      <c r="O2559" s="2"/>
      <c r="P2559" s="27"/>
      <c r="Q2559" s="26"/>
      <c r="R2559" s="28"/>
    </row>
    <row r="2560" spans="1:24" ht="30" customHeight="1" x14ac:dyDescent="0.45">
      <c r="A2560" s="85" t="s">
        <v>277</v>
      </c>
      <c r="B2560" s="987" t="s">
        <v>293</v>
      </c>
      <c r="C2560" s="988"/>
      <c r="D2560" s="989"/>
      <c r="E2560" s="220" t="s">
        <v>13</v>
      </c>
      <c r="F2560" s="220" t="s">
        <v>14</v>
      </c>
      <c r="G2560" s="990" t="s">
        <v>15</v>
      </c>
      <c r="H2560" s="991"/>
      <c r="I2560" s="19" t="s">
        <v>278</v>
      </c>
      <c r="J2560" s="19"/>
      <c r="K2560" s="992" t="s">
        <v>17</v>
      </c>
      <c r="L2560" s="993"/>
      <c r="M2560" s="25"/>
      <c r="N2560" s="26"/>
      <c r="O2560" s="2"/>
      <c r="P2560" s="27"/>
      <c r="Q2560" s="26"/>
      <c r="R2560" s="28"/>
    </row>
    <row r="2561" spans="1:24" ht="30" customHeight="1" x14ac:dyDescent="0.45">
      <c r="A2561" s="642" t="s">
        <v>1493</v>
      </c>
      <c r="B2561" s="1018" t="s">
        <v>1494</v>
      </c>
      <c r="C2561" s="1019"/>
      <c r="D2561" s="1020"/>
      <c r="E2561" s="221">
        <f>213-4.32</f>
        <v>208.68</v>
      </c>
      <c r="F2561" s="47" t="s">
        <v>35</v>
      </c>
      <c r="G2561" s="47"/>
      <c r="H2561" s="47"/>
      <c r="I2561" s="365">
        <f>(1.18+1.17)/2</f>
        <v>1.1749999999999998</v>
      </c>
      <c r="J2561" s="47"/>
      <c r="K2561" s="221">
        <f>+E2561*I2561</f>
        <v>245.19899999999998</v>
      </c>
      <c r="L2561" s="47" t="s">
        <v>35</v>
      </c>
      <c r="M2561" s="25"/>
      <c r="N2561" s="26"/>
      <c r="O2561" s="2"/>
      <c r="P2561" s="27"/>
      <c r="Q2561" s="26"/>
      <c r="R2561" s="28"/>
    </row>
    <row r="2562" spans="1:24" ht="30" customHeight="1" x14ac:dyDescent="0.45">
      <c r="A2562" s="642" t="s">
        <v>397</v>
      </c>
      <c r="B2562" s="1018" t="s">
        <v>1495</v>
      </c>
      <c r="C2562" s="1019"/>
      <c r="D2562" s="1020"/>
      <c r="E2562" s="1">
        <v>4.49</v>
      </c>
      <c r="F2562" s="47" t="s">
        <v>35</v>
      </c>
      <c r="G2562" s="515"/>
      <c r="H2562" s="179"/>
      <c r="I2562" s="365">
        <f>(1.18+1.17)/2</f>
        <v>1.1749999999999998</v>
      </c>
      <c r="J2562" s="47"/>
      <c r="K2562" s="221">
        <f>+E2562*I2562</f>
        <v>5.2757499999999995</v>
      </c>
      <c r="L2562" s="47" t="s">
        <v>35</v>
      </c>
      <c r="M2562" s="25"/>
      <c r="N2562" s="26"/>
      <c r="O2562" s="2"/>
      <c r="P2562" s="27"/>
      <c r="Q2562" s="26"/>
      <c r="R2562" s="28"/>
    </row>
    <row r="2563" spans="1:24" ht="30" customHeight="1" x14ac:dyDescent="0.45">
      <c r="A2563" s="47"/>
      <c r="B2563" s="1092"/>
      <c r="C2563" s="1092"/>
      <c r="D2563" s="1092"/>
      <c r="E2563" s="221"/>
      <c r="F2563" s="47"/>
      <c r="G2563" s="58"/>
      <c r="H2563" s="179"/>
      <c r="I2563" s="47"/>
      <c r="J2563" s="47" t="s">
        <v>38</v>
      </c>
      <c r="K2563" s="221">
        <f>SUM(K2561:K2562)</f>
        <v>250.47474999999997</v>
      </c>
      <c r="L2563" s="47" t="s">
        <v>35</v>
      </c>
      <c r="M2563" s="25"/>
      <c r="N2563" s="26"/>
      <c r="O2563" s="2"/>
      <c r="P2563" s="27"/>
      <c r="Q2563" s="26"/>
      <c r="R2563" s="28"/>
    </row>
    <row r="2564" spans="1:24" ht="30" customHeight="1" x14ac:dyDescent="0.45">
      <c r="A2564" s="47"/>
      <c r="B2564" s="1273"/>
      <c r="C2564" s="1274"/>
      <c r="D2564" s="1275"/>
      <c r="E2564" s="221"/>
      <c r="F2564" s="1011" t="s">
        <v>285</v>
      </c>
      <c r="G2564" s="1013" t="s">
        <v>286</v>
      </c>
      <c r="H2564" s="1013"/>
      <c r="I2564" s="1013"/>
      <c r="J2564" s="1013"/>
      <c r="K2564" s="365">
        <f>(1.05+1.08)/2</f>
        <v>1.0649999999999999</v>
      </c>
      <c r="L2564" s="47"/>
      <c r="M2564" s="25"/>
      <c r="S2564" s="41"/>
      <c r="T2564" s="41"/>
    </row>
    <row r="2565" spans="1:24" ht="30" customHeight="1" x14ac:dyDescent="0.45">
      <c r="A2565" s="47"/>
      <c r="B2565" s="1279"/>
      <c r="C2565" s="1280"/>
      <c r="D2565" s="1281"/>
      <c r="E2565" s="221"/>
      <c r="F2565" s="1012"/>
      <c r="G2565" s="1014" t="s">
        <v>298</v>
      </c>
      <c r="H2565" s="1014"/>
      <c r="I2565" s="1014"/>
      <c r="J2565" s="1014"/>
      <c r="K2565" s="278">
        <v>1.06</v>
      </c>
      <c r="L2565" s="47"/>
      <c r="M2565" s="25"/>
      <c r="N2565" s="26"/>
    </row>
    <row r="2566" spans="1:24" ht="30" customHeight="1" x14ac:dyDescent="0.45">
      <c r="A2566" s="47"/>
      <c r="B2566" s="47"/>
      <c r="C2566" s="58"/>
      <c r="D2566" s="58"/>
      <c r="E2566" s="58"/>
      <c r="F2566" s="58"/>
      <c r="G2566" s="58"/>
      <c r="H2566" s="58"/>
      <c r="I2566" s="58"/>
      <c r="J2566" s="47" t="s">
        <v>39</v>
      </c>
      <c r="K2566" s="216">
        <f>+K2563*K2564/K2565</f>
        <v>251.65623466981128</v>
      </c>
      <c r="L2566" s="47" t="s">
        <v>35</v>
      </c>
      <c r="M2566" s="25"/>
    </row>
    <row r="2567" spans="1:24" ht="30" customHeight="1" x14ac:dyDescent="0.45">
      <c r="A2567" s="47"/>
      <c r="B2567" s="47"/>
      <c r="C2567" s="58"/>
      <c r="D2567" s="58"/>
      <c r="E2567" s="58"/>
      <c r="F2567" s="58"/>
      <c r="G2567" s="1021" t="s">
        <v>288</v>
      </c>
      <c r="H2567" s="1022"/>
      <c r="I2567" s="1023"/>
      <c r="J2567" s="213">
        <f>VLOOKUP(B2559,'[1]Mil Cost Premiums for PUCs'!$A$4:$R$278,18,FALSE)</f>
        <v>1.3319480854780448</v>
      </c>
      <c r="K2567" s="216">
        <f>+K2566*J2567</f>
        <v>335.19303996706867</v>
      </c>
      <c r="L2567" s="47" t="s">
        <v>35</v>
      </c>
      <c r="M2567" s="25"/>
      <c r="N2567" s="18"/>
      <c r="S2567" s="90"/>
      <c r="T2567" s="90"/>
    </row>
    <row r="2568" spans="1:24" ht="30" customHeight="1" thickBot="1" x14ac:dyDescent="0.5">
      <c r="A2568" s="225"/>
      <c r="B2568" s="225"/>
      <c r="C2568" s="150"/>
      <c r="D2568" s="150"/>
      <c r="E2568" s="150"/>
      <c r="F2568" s="150"/>
      <c r="G2568" s="1025" t="s">
        <v>299</v>
      </c>
      <c r="H2568" s="1026"/>
      <c r="I2568" s="1027"/>
      <c r="J2568" s="226">
        <v>1.1214</v>
      </c>
      <c r="K2568" s="227">
        <f>+K2567*J2568</f>
        <v>375.88547501907078</v>
      </c>
      <c r="L2568" s="47" t="s">
        <v>35</v>
      </c>
      <c r="M2568" s="25"/>
    </row>
    <row r="2569" spans="1:24" ht="30" customHeight="1" thickBot="1" x14ac:dyDescent="0.5">
      <c r="A2569" s="999"/>
      <c r="B2569" s="1000"/>
      <c r="C2569" s="1000"/>
      <c r="D2569" s="1000"/>
      <c r="E2569" s="1000"/>
      <c r="F2569" s="1000"/>
      <c r="G2569" s="1000"/>
      <c r="H2569" s="1000"/>
      <c r="I2569" s="1000"/>
      <c r="J2569" s="1000"/>
      <c r="K2569" s="1000"/>
      <c r="L2569" s="1001"/>
      <c r="M2569" s="25"/>
      <c r="S2569" s="41"/>
      <c r="T2569" s="41"/>
    </row>
    <row r="2570" spans="1:24" ht="30" customHeight="1" x14ac:dyDescent="0.45">
      <c r="A2570" s="9" t="s">
        <v>4</v>
      </c>
      <c r="B2570" s="10">
        <v>5306</v>
      </c>
      <c r="C2570" s="983" t="s">
        <v>1496</v>
      </c>
      <c r="D2570" s="984"/>
      <c r="E2570" s="13" t="s">
        <v>7</v>
      </c>
      <c r="F2570" s="14" t="s">
        <v>35</v>
      </c>
      <c r="G2570" s="11" t="s">
        <v>6</v>
      </c>
      <c r="H2570" s="300">
        <v>11919</v>
      </c>
      <c r="I2570" s="13" t="s">
        <v>9</v>
      </c>
      <c r="J2570" s="985" t="s">
        <v>292</v>
      </c>
      <c r="K2570" s="985"/>
      <c r="L2570" s="986"/>
      <c r="M2570" s="121"/>
      <c r="O2570" s="5"/>
      <c r="P2570" s="18"/>
      <c r="Q2570" s="18"/>
      <c r="R2570" s="18"/>
      <c r="S2570" s="18"/>
      <c r="T2570" s="18"/>
    </row>
    <row r="2571" spans="1:24" ht="30" customHeight="1" x14ac:dyDescent="0.45">
      <c r="A2571" s="85" t="s">
        <v>277</v>
      </c>
      <c r="B2571" s="987" t="s">
        <v>293</v>
      </c>
      <c r="C2571" s="988"/>
      <c r="D2571" s="989"/>
      <c r="E2571" s="220" t="s">
        <v>13</v>
      </c>
      <c r="F2571" s="220" t="s">
        <v>14</v>
      </c>
      <c r="G2571" s="990" t="s">
        <v>15</v>
      </c>
      <c r="H2571" s="991"/>
      <c r="I2571" s="19" t="s">
        <v>278</v>
      </c>
      <c r="J2571" s="19"/>
      <c r="K2571" s="992" t="s">
        <v>17</v>
      </c>
      <c r="L2571" s="993"/>
      <c r="M2571" s="25"/>
    </row>
    <row r="2572" spans="1:24" ht="30" customHeight="1" x14ac:dyDescent="0.45">
      <c r="A2572" s="642" t="s">
        <v>1431</v>
      </c>
      <c r="B2572" s="1008" t="s">
        <v>1497</v>
      </c>
      <c r="C2572" s="1009"/>
      <c r="D2572" s="1010"/>
      <c r="E2572" s="221">
        <v>86.5</v>
      </c>
      <c r="F2572" s="47" t="s">
        <v>35</v>
      </c>
      <c r="G2572" s="47"/>
      <c r="H2572" s="47"/>
      <c r="I2572" s="365">
        <f>(1.16+1.19)/2</f>
        <v>1.1749999999999998</v>
      </c>
      <c r="J2572" s="365"/>
      <c r="K2572" s="221">
        <f>+E2572*I2572</f>
        <v>101.63749999999999</v>
      </c>
      <c r="L2572" s="47" t="s">
        <v>35</v>
      </c>
      <c r="M2572" s="25"/>
      <c r="N2572" s="229"/>
      <c r="U2572" s="18"/>
      <c r="V2572" s="18"/>
      <c r="W2572" s="18"/>
      <c r="X2572" s="18"/>
    </row>
    <row r="2573" spans="1:24" s="18" customFormat="1" ht="30" customHeight="1" x14ac:dyDescent="0.45">
      <c r="A2573" s="643" t="s">
        <v>1431</v>
      </c>
      <c r="B2573" s="977" t="s">
        <v>1498</v>
      </c>
      <c r="C2573" s="1219"/>
      <c r="D2573" s="1220"/>
      <c r="E2573" s="646">
        <v>24.25</v>
      </c>
      <c r="F2573" s="47" t="s">
        <v>35</v>
      </c>
      <c r="G2573" s="301"/>
      <c r="H2573" s="225"/>
      <c r="I2573" s="365">
        <f>(1.16+1.19)/2</f>
        <v>1.1749999999999998</v>
      </c>
      <c r="J2573" s="365"/>
      <c r="K2573" s="221">
        <f>+E2573*I2573</f>
        <v>28.493749999999995</v>
      </c>
      <c r="L2573" s="47" t="s">
        <v>35</v>
      </c>
      <c r="M2573" s="25"/>
      <c r="N2573" s="2"/>
      <c r="O2573" s="3"/>
      <c r="P2573" s="2"/>
      <c r="Q2573" s="2"/>
      <c r="R2573" s="2"/>
      <c r="S2573" s="90"/>
      <c r="T2573" s="90"/>
      <c r="U2573" s="2"/>
      <c r="V2573" s="2"/>
      <c r="W2573" s="2"/>
      <c r="X2573" s="2"/>
    </row>
    <row r="2574" spans="1:24" ht="30" customHeight="1" x14ac:dyDescent="0.45">
      <c r="A2574" s="642" t="s">
        <v>358</v>
      </c>
      <c r="B2574" s="1092" t="s">
        <v>1250</v>
      </c>
      <c r="C2574" s="1092"/>
      <c r="D2574" s="1092"/>
      <c r="E2574" s="216">
        <v>4.38</v>
      </c>
      <c r="F2574" s="47" t="s">
        <v>35</v>
      </c>
      <c r="G2574" s="58"/>
      <c r="H2574" s="179"/>
      <c r="I2574" s="365">
        <f>(1.16+1.19)/2</f>
        <v>1.1749999999999998</v>
      </c>
      <c r="J2574" s="365"/>
      <c r="K2574" s="221">
        <f>+E2574*I2574</f>
        <v>5.1464999999999987</v>
      </c>
      <c r="L2574" s="47" t="s">
        <v>35</v>
      </c>
      <c r="M2574" s="25"/>
      <c r="S2574" s="41"/>
      <c r="T2574" s="41"/>
    </row>
    <row r="2575" spans="1:24" ht="30" customHeight="1" x14ac:dyDescent="0.45">
      <c r="A2575" s="47"/>
      <c r="B2575" s="1092"/>
      <c r="C2575" s="1092"/>
      <c r="D2575" s="1092"/>
      <c r="E2575" s="221"/>
      <c r="F2575" s="47"/>
      <c r="G2575" s="58"/>
      <c r="H2575" s="179"/>
      <c r="I2575" s="47"/>
      <c r="J2575" s="47" t="s">
        <v>38</v>
      </c>
      <c r="K2575" s="221">
        <f>SUM(K2572:K2574)</f>
        <v>135.27775</v>
      </c>
      <c r="L2575" s="47" t="s">
        <v>35</v>
      </c>
      <c r="M2575" s="25"/>
      <c r="O2575" s="5"/>
      <c r="P2575" s="18"/>
      <c r="Q2575" s="18"/>
      <c r="R2575" s="18"/>
      <c r="S2575" s="18"/>
      <c r="T2575" s="18"/>
    </row>
    <row r="2576" spans="1:24" ht="30" customHeight="1" x14ac:dyDescent="0.45">
      <c r="A2576" s="47"/>
      <c r="B2576" s="1273"/>
      <c r="C2576" s="1274"/>
      <c r="D2576" s="1275"/>
      <c r="E2576" s="221"/>
      <c r="F2576" s="1011" t="s">
        <v>285</v>
      </c>
      <c r="G2576" s="1013" t="s">
        <v>286</v>
      </c>
      <c r="H2576" s="1013"/>
      <c r="I2576" s="1013"/>
      <c r="J2576" s="1013"/>
      <c r="K2576" s="365">
        <f>(1.05+1.08)/2</f>
        <v>1.0649999999999999</v>
      </c>
      <c r="L2576" s="47"/>
      <c r="M2576" s="25"/>
    </row>
    <row r="2577" spans="1:24" ht="30" customHeight="1" x14ac:dyDescent="0.45">
      <c r="A2577" s="47"/>
      <c r="B2577" s="1276"/>
      <c r="C2577" s="1277"/>
      <c r="D2577" s="1278"/>
      <c r="E2577" s="221"/>
      <c r="F2577" s="1012"/>
      <c r="G2577" s="1014" t="s">
        <v>298</v>
      </c>
      <c r="H2577" s="1014"/>
      <c r="I2577" s="1014"/>
      <c r="J2577" s="1014"/>
      <c r="K2577" s="278">
        <v>1.06</v>
      </c>
      <c r="L2577" s="47"/>
      <c r="M2577" s="25"/>
      <c r="N2577" s="229"/>
      <c r="U2577" s="18"/>
      <c r="V2577" s="18"/>
      <c r="W2577" s="18"/>
      <c r="X2577" s="18"/>
    </row>
    <row r="2578" spans="1:24" s="18" customFormat="1" ht="30" customHeight="1" x14ac:dyDescent="0.45">
      <c r="A2578" s="47"/>
      <c r="B2578" s="47"/>
      <c r="C2578" s="58"/>
      <c r="D2578" s="58"/>
      <c r="E2578" s="58"/>
      <c r="F2578" s="58"/>
      <c r="G2578" s="58"/>
      <c r="H2578" s="58"/>
      <c r="I2578" s="58"/>
      <c r="J2578" s="47" t="s">
        <v>39</v>
      </c>
      <c r="K2578" s="216">
        <f>+K2575*K2576/K2577</f>
        <v>135.91585259433961</v>
      </c>
      <c r="L2578" s="47" t="s">
        <v>35</v>
      </c>
      <c r="M2578" s="25"/>
      <c r="N2578" s="2"/>
      <c r="O2578" s="3"/>
      <c r="P2578" s="2"/>
      <c r="Q2578" s="2"/>
      <c r="R2578" s="2"/>
      <c r="S2578" s="90"/>
      <c r="T2578" s="90"/>
      <c r="U2578" s="2"/>
      <c r="V2578" s="2"/>
      <c r="W2578" s="2"/>
      <c r="X2578" s="2"/>
    </row>
    <row r="2579" spans="1:24" ht="30" customHeight="1" x14ac:dyDescent="0.45">
      <c r="A2579" s="47"/>
      <c r="B2579" s="47"/>
      <c r="C2579" s="58"/>
      <c r="D2579" s="58"/>
      <c r="E2579" s="58"/>
      <c r="F2579" s="58"/>
      <c r="G2579" s="1021" t="s">
        <v>288</v>
      </c>
      <c r="H2579" s="1022"/>
      <c r="I2579" s="1023"/>
      <c r="J2579" s="213">
        <f>VLOOKUP(B2570,'[1]Mil Cost Premiums for PUCs'!$A$4:$R$278,18,FALSE)</f>
        <v>1.2981950150858137</v>
      </c>
      <c r="K2579" s="216">
        <f>+K2578*J2579</f>
        <v>176.44528230910996</v>
      </c>
      <c r="L2579" s="47" t="s">
        <v>35</v>
      </c>
      <c r="M2579" s="25"/>
      <c r="N2579" s="5"/>
      <c r="S2579" s="41"/>
      <c r="T2579" s="41"/>
    </row>
    <row r="2580" spans="1:24" ht="30" customHeight="1" thickBot="1" x14ac:dyDescent="0.5">
      <c r="A2580" s="225"/>
      <c r="B2580" s="225"/>
      <c r="C2580" s="150"/>
      <c r="D2580" s="150"/>
      <c r="E2580" s="150"/>
      <c r="F2580" s="150"/>
      <c r="G2580" s="1025" t="s">
        <v>299</v>
      </c>
      <c r="H2580" s="1026"/>
      <c r="I2580" s="1027"/>
      <c r="J2580" s="226">
        <v>1.1214</v>
      </c>
      <c r="K2580" s="227">
        <f>+K2579*J2580</f>
        <v>197.86573958143589</v>
      </c>
      <c r="L2580" s="47" t="s">
        <v>35</v>
      </c>
      <c r="M2580" s="25"/>
    </row>
    <row r="2581" spans="1:24" ht="30" customHeight="1" thickBot="1" x14ac:dyDescent="0.5">
      <c r="A2581" s="999"/>
      <c r="B2581" s="1000"/>
      <c r="C2581" s="1000"/>
      <c r="D2581" s="1000"/>
      <c r="E2581" s="1000"/>
      <c r="F2581" s="1000"/>
      <c r="G2581" s="1000"/>
      <c r="H2581" s="1000"/>
      <c r="I2581" s="1000"/>
      <c r="J2581" s="1000"/>
      <c r="K2581" s="1000"/>
      <c r="L2581" s="1001"/>
      <c r="M2581" s="25"/>
      <c r="N2581" s="5"/>
      <c r="S2581" s="41"/>
      <c r="T2581" s="41"/>
    </row>
    <row r="2582" spans="1:24" ht="30" customHeight="1" x14ac:dyDescent="0.45">
      <c r="A2582" s="9" t="s">
        <v>4</v>
      </c>
      <c r="B2582" s="10">
        <v>5307</v>
      </c>
      <c r="C2582" s="983" t="s">
        <v>1499</v>
      </c>
      <c r="D2582" s="984"/>
      <c r="E2582" s="13" t="s">
        <v>7</v>
      </c>
      <c r="F2582" s="14" t="s">
        <v>35</v>
      </c>
      <c r="G2582" s="11" t="s">
        <v>6</v>
      </c>
      <c r="H2582" s="300">
        <v>1813</v>
      </c>
      <c r="I2582" s="13" t="s">
        <v>9</v>
      </c>
      <c r="J2582" s="985" t="s">
        <v>292</v>
      </c>
      <c r="K2582" s="985"/>
      <c r="L2582" s="986"/>
      <c r="M2582" s="25"/>
      <c r="O2582" s="5"/>
      <c r="P2582" s="18"/>
      <c r="Q2582" s="18"/>
      <c r="R2582" s="18"/>
      <c r="S2582" s="18"/>
      <c r="T2582" s="18"/>
    </row>
    <row r="2583" spans="1:24" ht="30" customHeight="1" x14ac:dyDescent="0.45">
      <c r="A2583" s="85" t="s">
        <v>277</v>
      </c>
      <c r="B2583" s="987" t="s">
        <v>293</v>
      </c>
      <c r="C2583" s="988"/>
      <c r="D2583" s="989"/>
      <c r="E2583" s="220" t="s">
        <v>13</v>
      </c>
      <c r="F2583" s="220" t="s">
        <v>14</v>
      </c>
      <c r="G2583" s="990" t="s">
        <v>15</v>
      </c>
      <c r="H2583" s="991"/>
      <c r="I2583" s="19" t="s">
        <v>278</v>
      </c>
      <c r="J2583" s="19"/>
      <c r="K2583" s="992" t="s">
        <v>17</v>
      </c>
      <c r="L2583" s="993"/>
      <c r="M2583" s="25"/>
      <c r="N2583" s="18"/>
      <c r="O2583" s="5"/>
      <c r="P2583" s="18"/>
      <c r="Q2583" s="18"/>
      <c r="R2583" s="18"/>
      <c r="S2583" s="18"/>
      <c r="T2583" s="18"/>
    </row>
    <row r="2584" spans="1:24" ht="30" customHeight="1" x14ac:dyDescent="0.45">
      <c r="A2584" s="642" t="s">
        <v>1455</v>
      </c>
      <c r="B2584" s="1008" t="s">
        <v>1500</v>
      </c>
      <c r="C2584" s="1009"/>
      <c r="D2584" s="1010"/>
      <c r="E2584" s="221">
        <v>79</v>
      </c>
      <c r="F2584" s="47" t="s">
        <v>35</v>
      </c>
      <c r="G2584" s="47"/>
      <c r="H2584" s="47"/>
      <c r="I2584" s="365">
        <v>1.19</v>
      </c>
      <c r="J2584" s="365"/>
      <c r="K2584" s="221">
        <f>+E2584*I2584</f>
        <v>94.009999999999991</v>
      </c>
      <c r="L2584" s="47" t="s">
        <v>35</v>
      </c>
      <c r="M2584" s="25"/>
      <c r="N2584" s="363"/>
    </row>
    <row r="2585" spans="1:24" ht="30" customHeight="1" x14ac:dyDescent="0.45">
      <c r="A2585" s="642" t="s">
        <v>358</v>
      </c>
      <c r="B2585" s="1018" t="s">
        <v>1207</v>
      </c>
      <c r="C2585" s="1019"/>
      <c r="D2585" s="1020"/>
      <c r="E2585" s="1">
        <v>4.1500000000000004</v>
      </c>
      <c r="F2585" s="47" t="s">
        <v>35</v>
      </c>
      <c r="G2585" s="515"/>
      <c r="H2585" s="179"/>
      <c r="I2585" s="365">
        <v>1.19</v>
      </c>
      <c r="J2585" s="365"/>
      <c r="K2585" s="221">
        <f>+E2585*I2585</f>
        <v>4.9385000000000003</v>
      </c>
      <c r="L2585" s="47" t="s">
        <v>35</v>
      </c>
      <c r="M2585" s="25"/>
      <c r="N2585" s="647"/>
      <c r="U2585" s="18"/>
      <c r="V2585" s="18"/>
      <c r="W2585" s="18"/>
      <c r="X2585" s="18"/>
    </row>
    <row r="2586" spans="1:24" s="18" customFormat="1" ht="30" customHeight="1" x14ac:dyDescent="0.45">
      <c r="A2586" s="47"/>
      <c r="B2586" s="1092"/>
      <c r="C2586" s="1092"/>
      <c r="D2586" s="1092"/>
      <c r="E2586" s="221"/>
      <c r="F2586" s="47"/>
      <c r="G2586" s="58"/>
      <c r="H2586" s="179"/>
      <c r="I2586" s="47"/>
      <c r="J2586" s="47" t="s">
        <v>38</v>
      </c>
      <c r="K2586" s="221">
        <f>SUM(K2584:K2585)</f>
        <v>98.948499999999996</v>
      </c>
      <c r="L2586" s="47" t="s">
        <v>35</v>
      </c>
      <c r="M2586" s="25"/>
      <c r="N2586" s="2"/>
      <c r="O2586" s="3"/>
      <c r="P2586" s="2"/>
      <c r="Q2586" s="2"/>
      <c r="R2586" s="2"/>
      <c r="S2586" s="41"/>
      <c r="T2586" s="41"/>
      <c r="U2586" s="2"/>
      <c r="V2586" s="2"/>
      <c r="W2586" s="2"/>
      <c r="X2586" s="2"/>
    </row>
    <row r="2587" spans="1:24" ht="30" customHeight="1" x14ac:dyDescent="0.45">
      <c r="A2587" s="47"/>
      <c r="B2587" s="1273"/>
      <c r="C2587" s="1274"/>
      <c r="D2587" s="1275"/>
      <c r="E2587" s="221"/>
      <c r="F2587" s="1011" t="s">
        <v>285</v>
      </c>
      <c r="G2587" s="1013" t="s">
        <v>286</v>
      </c>
      <c r="H2587" s="1013"/>
      <c r="I2587" s="1013"/>
      <c r="J2587" s="1013"/>
      <c r="K2587" s="365">
        <v>1.08</v>
      </c>
      <c r="L2587" s="47"/>
      <c r="M2587" s="25"/>
      <c r="S2587" s="41"/>
      <c r="T2587" s="41"/>
    </row>
    <row r="2588" spans="1:24" ht="30" customHeight="1" x14ac:dyDescent="0.45">
      <c r="A2588" s="47"/>
      <c r="B2588" s="224"/>
      <c r="C2588" s="224"/>
      <c r="D2588" s="224"/>
      <c r="E2588" s="221"/>
      <c r="F2588" s="1012"/>
      <c r="G2588" s="1014" t="s">
        <v>298</v>
      </c>
      <c r="H2588" s="1014"/>
      <c r="I2588" s="1014"/>
      <c r="J2588" s="1014"/>
      <c r="K2588" s="278">
        <v>1.06</v>
      </c>
      <c r="L2588" s="47"/>
      <c r="M2588" s="25"/>
      <c r="O2588" s="2"/>
      <c r="P2588" s="27"/>
      <c r="Q2588" s="26"/>
      <c r="R2588" s="28"/>
    </row>
    <row r="2589" spans="1:24" ht="30" customHeight="1" x14ac:dyDescent="0.45">
      <c r="A2589" s="47"/>
      <c r="B2589" s="47"/>
      <c r="C2589" s="58"/>
      <c r="D2589" s="58"/>
      <c r="E2589" s="58"/>
      <c r="F2589" s="58"/>
      <c r="G2589" s="58"/>
      <c r="H2589" s="58"/>
      <c r="I2589" s="58"/>
      <c r="J2589" s="58" t="s">
        <v>39</v>
      </c>
      <c r="K2589" s="216">
        <f>+K2586*K2587/K2588</f>
        <v>100.81545283018868</v>
      </c>
      <c r="L2589" s="47" t="s">
        <v>35</v>
      </c>
      <c r="M2589" s="25"/>
      <c r="O2589" s="2"/>
      <c r="P2589" s="27"/>
      <c r="Q2589" s="26"/>
      <c r="R2589" s="28"/>
    </row>
    <row r="2590" spans="1:24" ht="30" customHeight="1" x14ac:dyDescent="0.45">
      <c r="A2590" s="47"/>
      <c r="B2590" s="47"/>
      <c r="C2590" s="58"/>
      <c r="D2590" s="58"/>
      <c r="E2590" s="58"/>
      <c r="F2590" s="58"/>
      <c r="G2590" s="1021" t="s">
        <v>288</v>
      </c>
      <c r="H2590" s="1022"/>
      <c r="I2590" s="1023"/>
      <c r="J2590" s="213">
        <f>VLOOKUP(B2582,'[1]Mil Cost Premiums for PUCs'!$A$4:$R$278,18,FALSE)</f>
        <v>1.1199953840399997</v>
      </c>
      <c r="K2590" s="216">
        <f>+K2589*J2590</f>
        <v>112.91284180971364</v>
      </c>
      <c r="L2590" s="47" t="s">
        <v>35</v>
      </c>
      <c r="M2590" s="25"/>
      <c r="N2590" s="26"/>
      <c r="O2590" s="2"/>
      <c r="P2590" s="27"/>
      <c r="Q2590" s="26"/>
      <c r="R2590" s="28"/>
    </row>
    <row r="2591" spans="1:24" ht="30" customHeight="1" thickBot="1" x14ac:dyDescent="0.5">
      <c r="A2591" s="225"/>
      <c r="B2591" s="225"/>
      <c r="C2591" s="150"/>
      <c r="D2591" s="150"/>
      <c r="E2591" s="150"/>
      <c r="F2591" s="150"/>
      <c r="G2591" s="1025" t="s">
        <v>299</v>
      </c>
      <c r="H2591" s="1026"/>
      <c r="I2591" s="1027"/>
      <c r="J2591" s="226">
        <v>1.1214</v>
      </c>
      <c r="K2591" s="227">
        <f>+K2590*J2591</f>
        <v>126.62046080541288</v>
      </c>
      <c r="L2591" s="47" t="s">
        <v>35</v>
      </c>
      <c r="M2591" s="25"/>
    </row>
    <row r="2592" spans="1:24" ht="30" customHeight="1" thickBot="1" x14ac:dyDescent="0.5">
      <c r="A2592" s="999"/>
      <c r="B2592" s="1000"/>
      <c r="C2592" s="1000"/>
      <c r="D2592" s="1000"/>
      <c r="E2592" s="1000"/>
      <c r="F2592" s="1000"/>
      <c r="G2592" s="1000"/>
      <c r="H2592" s="1000"/>
      <c r="I2592" s="1000"/>
      <c r="J2592" s="1000"/>
      <c r="K2592" s="1000"/>
      <c r="L2592" s="1001"/>
      <c r="M2592" s="25"/>
      <c r="N2592" s="26"/>
      <c r="O2592" s="2"/>
      <c r="P2592" s="27"/>
      <c r="Q2592" s="26"/>
      <c r="R2592" s="28"/>
    </row>
    <row r="2593" spans="1:24" ht="30" customHeight="1" x14ac:dyDescent="0.45">
      <c r="A2593" s="9" t="s">
        <v>4</v>
      </c>
      <c r="B2593" s="10">
        <v>5400</v>
      </c>
      <c r="C2593" s="1138" t="s">
        <v>1501</v>
      </c>
      <c r="D2593" s="1139"/>
      <c r="E2593" s="13" t="s">
        <v>7</v>
      </c>
      <c r="F2593" s="14" t="s">
        <v>35</v>
      </c>
      <c r="G2593" s="11" t="s">
        <v>6</v>
      </c>
      <c r="H2593" s="273">
        <v>11890</v>
      </c>
      <c r="I2593" s="13" t="s">
        <v>9</v>
      </c>
      <c r="J2593" s="985" t="s">
        <v>1502</v>
      </c>
      <c r="K2593" s="985"/>
      <c r="L2593" s="986"/>
      <c r="M2593" s="25"/>
      <c r="N2593" s="26"/>
      <c r="O2593" s="2"/>
      <c r="P2593" s="27"/>
      <c r="Q2593" s="26"/>
      <c r="R2593" s="28"/>
    </row>
    <row r="2594" spans="1:24" ht="30" customHeight="1" x14ac:dyDescent="0.45">
      <c r="A2594" s="19" t="s">
        <v>11</v>
      </c>
      <c r="B2594" s="1005" t="s">
        <v>12</v>
      </c>
      <c r="C2594" s="1005"/>
      <c r="D2594" s="1005"/>
      <c r="E2594" s="132" t="s">
        <v>267</v>
      </c>
      <c r="F2594" s="20" t="s">
        <v>13</v>
      </c>
      <c r="G2594" s="19"/>
      <c r="H2594" s="19"/>
      <c r="I2594" s="1068" t="s">
        <v>16</v>
      </c>
      <c r="J2594" s="1069"/>
      <c r="K2594" s="992" t="s">
        <v>17</v>
      </c>
      <c r="L2594" s="993"/>
      <c r="M2594" s="25"/>
      <c r="N2594" s="26"/>
      <c r="O2594" s="2"/>
      <c r="P2594" s="27"/>
      <c r="Q2594" s="26"/>
      <c r="R2594" s="28"/>
    </row>
    <row r="2595" spans="1:24" ht="30" customHeight="1" x14ac:dyDescent="0.45">
      <c r="A2595" s="29" t="s">
        <v>268</v>
      </c>
      <c r="B2595" s="994" t="s">
        <v>1503</v>
      </c>
      <c r="C2595" s="994"/>
      <c r="D2595" s="994"/>
      <c r="E2595" s="176">
        <v>17000</v>
      </c>
      <c r="F2595" s="145">
        <v>552</v>
      </c>
      <c r="G2595" s="177"/>
      <c r="H2595" s="178"/>
      <c r="I2595" s="1119">
        <f>'[1]2023 MILCON Inflation Table'!F14</f>
        <v>1.3545159367405897</v>
      </c>
      <c r="J2595" s="1120"/>
      <c r="K2595" s="145">
        <f>+F2595*I2595</f>
        <v>747.69279708080546</v>
      </c>
      <c r="L2595" s="29" t="s">
        <v>35</v>
      </c>
      <c r="M2595" s="25"/>
      <c r="N2595" s="26"/>
      <c r="O2595" s="2"/>
      <c r="P2595" s="27"/>
      <c r="Q2595" s="26"/>
      <c r="R2595" s="28"/>
    </row>
    <row r="2596" spans="1:24" ht="30" customHeight="1" thickBot="1" x14ac:dyDescent="0.5">
      <c r="A2596" s="47"/>
      <c r="B2596" s="1092"/>
      <c r="C2596" s="1092"/>
      <c r="D2596" s="1092"/>
      <c r="E2596" s="180"/>
      <c r="F2596" s="181"/>
      <c r="G2596" s="181"/>
      <c r="H2596" s="182"/>
      <c r="I2596" s="58"/>
      <c r="J2596" s="85" t="s">
        <v>39</v>
      </c>
      <c r="K2596" s="216">
        <f>+K2595</f>
        <v>747.69279708080546</v>
      </c>
      <c r="L2596" s="47" t="s">
        <v>35</v>
      </c>
      <c r="M2596" s="121"/>
      <c r="N2596" s="26"/>
      <c r="O2596" s="2"/>
      <c r="P2596" s="27"/>
      <c r="Q2596" s="26"/>
      <c r="R2596" s="28"/>
    </row>
    <row r="2597" spans="1:24" ht="30" customHeight="1" thickBot="1" x14ac:dyDescent="0.5">
      <c r="A2597" s="999"/>
      <c r="B2597" s="1000"/>
      <c r="C2597" s="1000"/>
      <c r="D2597" s="1000"/>
      <c r="E2597" s="1000"/>
      <c r="F2597" s="1000"/>
      <c r="G2597" s="1000"/>
      <c r="H2597" s="1000"/>
      <c r="I2597" s="1000"/>
      <c r="J2597" s="1000"/>
      <c r="K2597" s="1000"/>
      <c r="L2597" s="1001"/>
      <c r="M2597" s="25"/>
      <c r="N2597" s="26"/>
      <c r="O2597" s="2"/>
      <c r="P2597" s="27"/>
      <c r="Q2597" s="26"/>
      <c r="R2597" s="28"/>
    </row>
    <row r="2598" spans="1:24" ht="30" customHeight="1" x14ac:dyDescent="0.45">
      <c r="A2598" s="9" t="s">
        <v>4</v>
      </c>
      <c r="B2598" s="10">
        <v>5500</v>
      </c>
      <c r="C2598" s="1138" t="s">
        <v>1504</v>
      </c>
      <c r="D2598" s="1139"/>
      <c r="E2598" s="13" t="s">
        <v>7</v>
      </c>
      <c r="F2598" s="14" t="s">
        <v>35</v>
      </c>
      <c r="G2598" s="11" t="s">
        <v>6</v>
      </c>
      <c r="H2598" s="273">
        <v>25144.511089887601</v>
      </c>
      <c r="I2598" s="13" t="s">
        <v>9</v>
      </c>
      <c r="J2598" s="985" t="s">
        <v>266</v>
      </c>
      <c r="K2598" s="985"/>
      <c r="L2598" s="986"/>
      <c r="M2598" s="25"/>
      <c r="N2598" s="26"/>
      <c r="O2598" s="2"/>
      <c r="P2598" s="27"/>
      <c r="Q2598" s="26"/>
      <c r="R2598" s="28"/>
    </row>
    <row r="2599" spans="1:24" ht="30" customHeight="1" x14ac:dyDescent="0.45">
      <c r="A2599" s="19" t="s">
        <v>11</v>
      </c>
      <c r="B2599" s="1005" t="s">
        <v>12</v>
      </c>
      <c r="C2599" s="1005"/>
      <c r="D2599" s="1005"/>
      <c r="E2599" s="132" t="s">
        <v>267</v>
      </c>
      <c r="F2599" s="20" t="s">
        <v>13</v>
      </c>
      <c r="G2599" s="19"/>
      <c r="H2599" s="19"/>
      <c r="I2599" s="1140" t="s">
        <v>60</v>
      </c>
      <c r="J2599" s="1141"/>
      <c r="K2599" s="992" t="s">
        <v>17</v>
      </c>
      <c r="L2599" s="993"/>
      <c r="M2599" s="25"/>
      <c r="N2599" s="26"/>
      <c r="O2599" s="5"/>
      <c r="P2599" s="18"/>
      <c r="Q2599" s="18"/>
      <c r="R2599" s="18"/>
      <c r="S2599" s="18"/>
      <c r="T2599" s="18"/>
    </row>
    <row r="2600" spans="1:24" ht="30" customHeight="1" x14ac:dyDescent="0.45">
      <c r="A2600" s="29" t="s">
        <v>268</v>
      </c>
      <c r="B2600" s="994" t="s">
        <v>1505</v>
      </c>
      <c r="C2600" s="994"/>
      <c r="D2600" s="994"/>
      <c r="E2600" s="176">
        <v>26000</v>
      </c>
      <c r="F2600" s="145">
        <v>593</v>
      </c>
      <c r="G2600" s="177"/>
      <c r="H2600" s="178"/>
      <c r="I2600" s="1119" t="s">
        <v>270</v>
      </c>
      <c r="J2600" s="1120"/>
      <c r="K2600" s="145">
        <f>+F2600</f>
        <v>593</v>
      </c>
      <c r="L2600" s="29" t="s">
        <v>35</v>
      </c>
      <c r="M2600" s="25"/>
      <c r="N2600" s="146"/>
      <c r="O2600" s="5"/>
      <c r="P2600" s="18"/>
      <c r="Q2600" s="18"/>
      <c r="R2600" s="18"/>
      <c r="S2600" s="18"/>
      <c r="T2600" s="18"/>
    </row>
    <row r="2601" spans="1:24" ht="30" customHeight="1" thickBot="1" x14ac:dyDescent="0.5">
      <c r="A2601" s="47"/>
      <c r="B2601" s="1092"/>
      <c r="C2601" s="1092"/>
      <c r="D2601" s="1092"/>
      <c r="E2601" s="180"/>
      <c r="F2601" s="181"/>
      <c r="G2601" s="181"/>
      <c r="H2601" s="182"/>
      <c r="I2601" s="58"/>
      <c r="J2601" s="85" t="s">
        <v>39</v>
      </c>
      <c r="K2601" s="216">
        <f>+K2600</f>
        <v>593</v>
      </c>
      <c r="L2601" s="47" t="s">
        <v>35</v>
      </c>
      <c r="M2601" s="25"/>
      <c r="N2601" s="18"/>
      <c r="O2601" s="5"/>
      <c r="P2601" s="18"/>
      <c r="Q2601" s="18"/>
      <c r="R2601" s="18"/>
      <c r="S2601" s="18"/>
      <c r="T2601" s="18"/>
      <c r="U2601" s="18"/>
      <c r="V2601" s="18"/>
      <c r="W2601" s="18"/>
      <c r="X2601" s="18"/>
    </row>
    <row r="2602" spans="1:24" s="18" customFormat="1" ht="30" customHeight="1" thickBot="1" x14ac:dyDescent="0.5">
      <c r="A2602" s="6"/>
      <c r="B2602" s="7"/>
      <c r="C2602" s="7"/>
      <c r="D2602" s="7"/>
      <c r="E2602" s="7"/>
      <c r="F2602" s="7"/>
      <c r="G2602" s="7"/>
      <c r="H2602" s="7"/>
      <c r="I2602" s="7"/>
      <c r="J2602" s="7"/>
      <c r="K2602" s="7"/>
      <c r="L2602" s="8"/>
      <c r="M2602" s="25"/>
      <c r="N2602" s="2"/>
      <c r="O2602" s="3"/>
      <c r="P2602" s="2"/>
      <c r="Q2602" s="2"/>
      <c r="R2602" s="2"/>
      <c r="S2602" s="2"/>
      <c r="T2602" s="2"/>
      <c r="U2602" s="2"/>
      <c r="V2602" s="2"/>
      <c r="W2602" s="2"/>
      <c r="X2602" s="2"/>
    </row>
    <row r="2603" spans="1:24" ht="30" customHeight="1" x14ac:dyDescent="0.45">
      <c r="A2603" s="9" t="s">
        <v>4</v>
      </c>
      <c r="B2603" s="10">
        <v>5501</v>
      </c>
      <c r="C2603" s="1138" t="s">
        <v>1506</v>
      </c>
      <c r="D2603" s="1139"/>
      <c r="E2603" s="13" t="s">
        <v>7</v>
      </c>
      <c r="F2603" s="14" t="s">
        <v>35</v>
      </c>
      <c r="G2603" s="11" t="s">
        <v>6</v>
      </c>
      <c r="H2603" s="273">
        <v>102518</v>
      </c>
      <c r="I2603" s="13" t="s">
        <v>9</v>
      </c>
      <c r="J2603" s="985" t="s">
        <v>1507</v>
      </c>
      <c r="K2603" s="985"/>
      <c r="L2603" s="986"/>
      <c r="M2603" s="25"/>
      <c r="N2603" s="3"/>
      <c r="O2603" s="5"/>
      <c r="P2603" s="18"/>
      <c r="Q2603" s="18"/>
      <c r="R2603" s="18"/>
      <c r="S2603" s="18"/>
      <c r="T2603" s="18"/>
      <c r="U2603" s="18"/>
      <c r="V2603" s="18"/>
      <c r="W2603" s="18"/>
      <c r="X2603" s="18"/>
    </row>
    <row r="2604" spans="1:24" s="18" customFormat="1" ht="30" customHeight="1" x14ac:dyDescent="0.45">
      <c r="A2604" s="19" t="s">
        <v>11</v>
      </c>
      <c r="B2604" s="1005" t="s">
        <v>12</v>
      </c>
      <c r="C2604" s="1005"/>
      <c r="D2604" s="1005"/>
      <c r="E2604" s="132" t="s">
        <v>267</v>
      </c>
      <c r="F2604" s="20" t="s">
        <v>13</v>
      </c>
      <c r="G2604" s="19"/>
      <c r="H2604" s="19"/>
      <c r="I2604" s="1068" t="s">
        <v>16</v>
      </c>
      <c r="J2604" s="1069"/>
      <c r="K2604" s="992" t="s">
        <v>17</v>
      </c>
      <c r="L2604" s="993"/>
      <c r="M2604" s="25"/>
      <c r="N2604" s="26"/>
      <c r="O2604" s="5"/>
    </row>
    <row r="2605" spans="1:24" s="18" customFormat="1" ht="30" customHeight="1" x14ac:dyDescent="0.45">
      <c r="A2605" s="29" t="s">
        <v>268</v>
      </c>
      <c r="B2605" s="994" t="s">
        <v>1508</v>
      </c>
      <c r="C2605" s="994"/>
      <c r="D2605" s="994"/>
      <c r="E2605" s="176">
        <v>120000</v>
      </c>
      <c r="F2605" s="145">
        <v>360</v>
      </c>
      <c r="G2605" s="177"/>
      <c r="H2605" s="178"/>
      <c r="I2605" s="1119">
        <f>'[1]2023 MILCON Inflation Table'!F16</f>
        <v>1.2278483487290333</v>
      </c>
      <c r="J2605" s="1120"/>
      <c r="K2605" s="145">
        <f>+F2605*I2605</f>
        <v>442.02540554245195</v>
      </c>
      <c r="L2605" s="29" t="s">
        <v>35</v>
      </c>
      <c r="M2605" s="25"/>
      <c r="N2605" s="26"/>
      <c r="O2605" s="5"/>
    </row>
    <row r="2606" spans="1:24" s="18" customFormat="1" ht="30" customHeight="1" thickBot="1" x14ac:dyDescent="0.5">
      <c r="A2606" s="47"/>
      <c r="B2606" s="1092"/>
      <c r="C2606" s="1092"/>
      <c r="D2606" s="1092"/>
      <c r="E2606" s="180"/>
      <c r="F2606" s="181"/>
      <c r="G2606" s="181"/>
      <c r="H2606" s="182"/>
      <c r="I2606" s="58"/>
      <c r="J2606" s="85" t="s">
        <v>39</v>
      </c>
      <c r="K2606" s="216">
        <f>+K2605</f>
        <v>442.02540554245195</v>
      </c>
      <c r="L2606" s="47" t="s">
        <v>35</v>
      </c>
      <c r="M2606" s="121"/>
      <c r="N2606" s="26"/>
      <c r="O2606" s="5"/>
    </row>
    <row r="2607" spans="1:24" s="18" customFormat="1" ht="30" customHeight="1" thickBot="1" x14ac:dyDescent="0.5">
      <c r="A2607" s="999"/>
      <c r="B2607" s="1000"/>
      <c r="C2607" s="1000"/>
      <c r="D2607" s="1000"/>
      <c r="E2607" s="1000"/>
      <c r="F2607" s="1000"/>
      <c r="G2607" s="1000"/>
      <c r="H2607" s="1000"/>
      <c r="I2607" s="1000"/>
      <c r="J2607" s="1000"/>
      <c r="K2607" s="1000"/>
      <c r="L2607" s="1001"/>
      <c r="M2607" s="25"/>
      <c r="N2607" s="2"/>
      <c r="O2607" s="3"/>
      <c r="P2607" s="2"/>
      <c r="Q2607" s="2"/>
      <c r="R2607" s="2"/>
      <c r="S2607" s="2"/>
    </row>
    <row r="2608" spans="1:24" ht="30" customHeight="1" x14ac:dyDescent="0.45">
      <c r="A2608" s="9" t="s">
        <v>4</v>
      </c>
      <c r="B2608" s="10">
        <v>6100</v>
      </c>
      <c r="C2608" s="1138" t="s">
        <v>1509</v>
      </c>
      <c r="D2608" s="1139"/>
      <c r="E2608" s="13" t="s">
        <v>7</v>
      </c>
      <c r="F2608" s="14" t="s">
        <v>35</v>
      </c>
      <c r="G2608" s="11" t="s">
        <v>6</v>
      </c>
      <c r="H2608" s="273">
        <v>14452.987105513699</v>
      </c>
      <c r="I2608" s="13" t="s">
        <v>9</v>
      </c>
      <c r="J2608" s="985" t="s">
        <v>266</v>
      </c>
      <c r="K2608" s="985"/>
      <c r="L2608" s="986"/>
      <c r="M2608" s="25"/>
      <c r="N2608" s="3"/>
      <c r="O2608" s="5"/>
      <c r="P2608" s="18"/>
      <c r="Q2608" s="18"/>
      <c r="R2608" s="18"/>
      <c r="S2608" s="18"/>
    </row>
    <row r="2609" spans="1:19" s="18" customFormat="1" ht="30" customHeight="1" x14ac:dyDescent="0.45">
      <c r="A2609" s="19" t="s">
        <v>11</v>
      </c>
      <c r="B2609" s="1005" t="s">
        <v>12</v>
      </c>
      <c r="C2609" s="1005"/>
      <c r="D2609" s="1005"/>
      <c r="E2609" s="132" t="s">
        <v>267</v>
      </c>
      <c r="F2609" s="20" t="s">
        <v>13</v>
      </c>
      <c r="G2609" s="19"/>
      <c r="H2609" s="19"/>
      <c r="I2609" s="1140" t="s">
        <v>60</v>
      </c>
      <c r="J2609" s="1141"/>
      <c r="K2609" s="992" t="s">
        <v>17</v>
      </c>
      <c r="L2609" s="993"/>
      <c r="M2609" s="25"/>
      <c r="N2609" s="26"/>
      <c r="O2609" s="5"/>
    </row>
    <row r="2610" spans="1:19" s="18" customFormat="1" ht="30" customHeight="1" x14ac:dyDescent="0.45">
      <c r="A2610" s="29" t="s">
        <v>268</v>
      </c>
      <c r="B2610" s="994" t="s">
        <v>1510</v>
      </c>
      <c r="C2610" s="994"/>
      <c r="D2610" s="994"/>
      <c r="E2610" s="176">
        <v>49000</v>
      </c>
      <c r="F2610" s="145">
        <v>507</v>
      </c>
      <c r="G2610" s="177"/>
      <c r="H2610" s="178"/>
      <c r="I2610" s="1119" t="s">
        <v>270</v>
      </c>
      <c r="J2610" s="1120"/>
      <c r="K2610" s="145">
        <f>+F2610</f>
        <v>507</v>
      </c>
      <c r="L2610" s="29" t="s">
        <v>35</v>
      </c>
      <c r="M2610" s="25"/>
      <c r="N2610" s="26"/>
      <c r="O2610" s="5"/>
    </row>
    <row r="2611" spans="1:19" s="18" customFormat="1" ht="30" customHeight="1" thickBot="1" x14ac:dyDescent="0.5">
      <c r="A2611" s="47"/>
      <c r="B2611" s="1092"/>
      <c r="C2611" s="1092"/>
      <c r="D2611" s="1092"/>
      <c r="E2611" s="180"/>
      <c r="F2611" s="181"/>
      <c r="G2611" s="181"/>
      <c r="H2611" s="182"/>
      <c r="I2611" s="58"/>
      <c r="J2611" s="85" t="s">
        <v>39</v>
      </c>
      <c r="K2611" s="216">
        <f>+K2610</f>
        <v>507</v>
      </c>
      <c r="L2611" s="47" t="s">
        <v>35</v>
      </c>
      <c r="M2611" s="25"/>
      <c r="N2611" s="26"/>
      <c r="O2611" s="5"/>
    </row>
    <row r="2612" spans="1:19" s="18" customFormat="1" ht="30" customHeight="1" thickBot="1" x14ac:dyDescent="0.5">
      <c r="A2612" s="999"/>
      <c r="B2612" s="1000"/>
      <c r="C2612" s="1000"/>
      <c r="D2612" s="1000"/>
      <c r="E2612" s="1000"/>
      <c r="F2612" s="1000"/>
      <c r="G2612" s="1000"/>
      <c r="H2612" s="1000"/>
      <c r="I2612" s="1000"/>
      <c r="J2612" s="1000"/>
      <c r="K2612" s="1000"/>
      <c r="L2612" s="1001"/>
      <c r="M2612" s="1"/>
      <c r="N2612" s="2"/>
      <c r="O2612" s="2"/>
      <c r="P2612" s="27"/>
      <c r="Q2612" s="26"/>
      <c r="R2612" s="28"/>
      <c r="S2612" s="2"/>
    </row>
    <row r="2613" spans="1:19" ht="30" customHeight="1" x14ac:dyDescent="0.45">
      <c r="A2613" s="9" t="s">
        <v>4</v>
      </c>
      <c r="B2613" s="10">
        <v>6101</v>
      </c>
      <c r="C2613" s="1138" t="s">
        <v>1511</v>
      </c>
      <c r="D2613" s="1139"/>
      <c r="E2613" s="13" t="s">
        <v>7</v>
      </c>
      <c r="F2613" s="14" t="s">
        <v>35</v>
      </c>
      <c r="G2613" s="11" t="s">
        <v>6</v>
      </c>
      <c r="H2613" s="184">
        <v>13363.0961063909</v>
      </c>
      <c r="I2613" s="13" t="s">
        <v>9</v>
      </c>
      <c r="J2613" s="985" t="s">
        <v>266</v>
      </c>
      <c r="K2613" s="985"/>
      <c r="L2613" s="986"/>
      <c r="M2613" s="25"/>
      <c r="N2613" s="26"/>
      <c r="O2613" s="2"/>
      <c r="P2613" s="27"/>
      <c r="Q2613" s="26"/>
      <c r="R2613" s="28"/>
    </row>
    <row r="2614" spans="1:19" ht="30" customHeight="1" x14ac:dyDescent="0.45">
      <c r="A2614" s="19" t="s">
        <v>11</v>
      </c>
      <c r="B2614" s="1005" t="s">
        <v>12</v>
      </c>
      <c r="C2614" s="1005"/>
      <c r="D2614" s="1005"/>
      <c r="E2614" s="132" t="s">
        <v>267</v>
      </c>
      <c r="F2614" s="20" t="s">
        <v>13</v>
      </c>
      <c r="G2614" s="19"/>
      <c r="H2614" s="19"/>
      <c r="I2614" s="1140" t="s">
        <v>60</v>
      </c>
      <c r="J2614" s="1141"/>
      <c r="K2614" s="992" t="s">
        <v>17</v>
      </c>
      <c r="L2614" s="993"/>
      <c r="M2614" s="25"/>
      <c r="N2614" s="26"/>
      <c r="O2614" s="2"/>
      <c r="P2614" s="27"/>
      <c r="Q2614" s="26"/>
      <c r="R2614" s="28"/>
    </row>
    <row r="2615" spans="1:19" ht="30" customHeight="1" x14ac:dyDescent="0.45">
      <c r="A2615" s="29" t="s">
        <v>268</v>
      </c>
      <c r="B2615" s="994" t="s">
        <v>1512</v>
      </c>
      <c r="C2615" s="994"/>
      <c r="D2615" s="994"/>
      <c r="E2615" s="176">
        <v>29000</v>
      </c>
      <c r="F2615" s="145">
        <v>539</v>
      </c>
      <c r="G2615" s="177"/>
      <c r="H2615" s="178"/>
      <c r="I2615" s="1119" t="s">
        <v>270</v>
      </c>
      <c r="J2615" s="1120"/>
      <c r="K2615" s="145">
        <f>+F2615</f>
        <v>539</v>
      </c>
      <c r="L2615" s="29" t="s">
        <v>35</v>
      </c>
      <c r="M2615" s="25"/>
      <c r="N2615" s="26"/>
      <c r="O2615" s="2"/>
      <c r="P2615" s="27"/>
      <c r="Q2615" s="26"/>
      <c r="R2615" s="28"/>
    </row>
    <row r="2616" spans="1:19" ht="30" customHeight="1" thickBot="1" x14ac:dyDescent="0.5">
      <c r="A2616" s="47"/>
      <c r="B2616" s="1092"/>
      <c r="C2616" s="1092"/>
      <c r="D2616" s="1092"/>
      <c r="E2616" s="180"/>
      <c r="F2616" s="181"/>
      <c r="G2616" s="181"/>
      <c r="H2616" s="182"/>
      <c r="I2616" s="58"/>
      <c r="J2616" s="85" t="s">
        <v>39</v>
      </c>
      <c r="K2616" s="216">
        <f>+K2615</f>
        <v>539</v>
      </c>
      <c r="L2616" s="47" t="s">
        <v>35</v>
      </c>
      <c r="M2616" s="25"/>
      <c r="N2616" s="26"/>
      <c r="O2616" s="2"/>
      <c r="P2616" s="27"/>
      <c r="Q2616" s="26"/>
      <c r="R2616" s="28"/>
    </row>
    <row r="2617" spans="1:19" ht="30" customHeight="1" thickBot="1" x14ac:dyDescent="0.5">
      <c r="A2617" s="999"/>
      <c r="B2617" s="1000"/>
      <c r="C2617" s="1000"/>
      <c r="D2617" s="1000"/>
      <c r="E2617" s="1000"/>
      <c r="F2617" s="1000"/>
      <c r="G2617" s="1000"/>
      <c r="H2617" s="1000"/>
      <c r="I2617" s="1000"/>
      <c r="J2617" s="1000"/>
      <c r="K2617" s="1000"/>
      <c r="L2617" s="1001"/>
      <c r="M2617" s="25"/>
      <c r="N2617" s="26"/>
      <c r="O2617" s="2"/>
      <c r="P2617" s="27"/>
      <c r="Q2617" s="26"/>
      <c r="R2617" s="28"/>
    </row>
    <row r="2618" spans="1:19" ht="30" customHeight="1" x14ac:dyDescent="0.45">
      <c r="A2618" s="9" t="s">
        <v>4</v>
      </c>
      <c r="B2618" s="10">
        <v>6102</v>
      </c>
      <c r="C2618" s="1138" t="s">
        <v>1513</v>
      </c>
      <c r="D2618" s="1139"/>
      <c r="E2618" s="13" t="s">
        <v>7</v>
      </c>
      <c r="F2618" s="14" t="s">
        <v>35</v>
      </c>
      <c r="G2618" s="11" t="s">
        <v>6</v>
      </c>
      <c r="H2618" s="184">
        <v>14496.0025772223</v>
      </c>
      <c r="I2618" s="13" t="s">
        <v>9</v>
      </c>
      <c r="J2618" s="985" t="s">
        <v>266</v>
      </c>
      <c r="K2618" s="985"/>
      <c r="L2618" s="986"/>
      <c r="M2618" s="25"/>
      <c r="N2618" s="26"/>
      <c r="O2618" s="2"/>
      <c r="P2618" s="27"/>
      <c r="Q2618" s="26"/>
      <c r="R2618" s="28"/>
    </row>
    <row r="2619" spans="1:19" ht="30" customHeight="1" x14ac:dyDescent="0.45">
      <c r="A2619" s="19" t="s">
        <v>11</v>
      </c>
      <c r="B2619" s="1005" t="s">
        <v>12</v>
      </c>
      <c r="C2619" s="1005"/>
      <c r="D2619" s="1005"/>
      <c r="E2619" s="132" t="s">
        <v>267</v>
      </c>
      <c r="F2619" s="20" t="s">
        <v>13</v>
      </c>
      <c r="G2619" s="19"/>
      <c r="H2619" s="19"/>
      <c r="I2619" s="1140" t="s">
        <v>60</v>
      </c>
      <c r="J2619" s="1141"/>
      <c r="K2619" s="992" t="s">
        <v>17</v>
      </c>
      <c r="L2619" s="993"/>
      <c r="M2619" s="25"/>
      <c r="N2619" s="26"/>
      <c r="O2619" s="2"/>
      <c r="P2619" s="27"/>
      <c r="Q2619" s="26"/>
      <c r="R2619" s="28"/>
    </row>
    <row r="2620" spans="1:19" ht="30" customHeight="1" x14ac:dyDescent="0.45">
      <c r="A2620" s="29" t="s">
        <v>268</v>
      </c>
      <c r="B2620" s="994" t="s">
        <v>1514</v>
      </c>
      <c r="C2620" s="994"/>
      <c r="D2620" s="994"/>
      <c r="E2620" s="176">
        <v>71000</v>
      </c>
      <c r="F2620" s="145">
        <v>459</v>
      </c>
      <c r="G2620" s="177"/>
      <c r="H2620" s="178"/>
      <c r="I2620" s="1119" t="s">
        <v>270</v>
      </c>
      <c r="J2620" s="1120"/>
      <c r="K2620" s="145">
        <f>+F2620</f>
        <v>459</v>
      </c>
      <c r="L2620" s="29" t="s">
        <v>35</v>
      </c>
      <c r="M2620" s="25"/>
      <c r="N2620" s="26"/>
      <c r="O2620" s="2"/>
      <c r="P2620" s="27"/>
      <c r="Q2620" s="26"/>
      <c r="R2620" s="28"/>
    </row>
    <row r="2621" spans="1:19" ht="30" customHeight="1" thickBot="1" x14ac:dyDescent="0.5">
      <c r="A2621" s="47"/>
      <c r="B2621" s="1092"/>
      <c r="C2621" s="1092"/>
      <c r="D2621" s="1092"/>
      <c r="E2621" s="180"/>
      <c r="F2621" s="181"/>
      <c r="G2621" s="181"/>
      <c r="H2621" s="182"/>
      <c r="I2621" s="58"/>
      <c r="J2621" s="85" t="s">
        <v>39</v>
      </c>
      <c r="K2621" s="216">
        <f>+K2620</f>
        <v>459</v>
      </c>
      <c r="L2621" s="47" t="s">
        <v>35</v>
      </c>
      <c r="M2621" s="25"/>
      <c r="N2621" s="26"/>
      <c r="O2621" s="2"/>
      <c r="P2621" s="27"/>
      <c r="Q2621" s="26"/>
      <c r="R2621" s="28"/>
    </row>
    <row r="2622" spans="1:19" ht="30" customHeight="1" thickBot="1" x14ac:dyDescent="0.5">
      <c r="A2622" s="999"/>
      <c r="B2622" s="1000"/>
      <c r="C2622" s="1000"/>
      <c r="D2622" s="1000"/>
      <c r="E2622" s="1000"/>
      <c r="F2622" s="1000"/>
      <c r="G2622" s="1000"/>
      <c r="H2622" s="1000"/>
      <c r="I2622" s="1000"/>
      <c r="J2622" s="1000"/>
      <c r="K2622" s="1000"/>
      <c r="L2622" s="1001"/>
      <c r="M2622" s="121"/>
      <c r="N2622" s="26"/>
      <c r="O2622" s="2"/>
      <c r="P2622" s="27"/>
      <c r="Q2622" s="26"/>
      <c r="R2622" s="28"/>
    </row>
    <row r="2623" spans="1:19" ht="30" customHeight="1" x14ac:dyDescent="0.45">
      <c r="A2623" s="9" t="s">
        <v>4</v>
      </c>
      <c r="B2623" s="10">
        <v>6103</v>
      </c>
      <c r="C2623" s="983" t="s">
        <v>1515</v>
      </c>
      <c r="D2623" s="984"/>
      <c r="E2623" s="13" t="s">
        <v>7</v>
      </c>
      <c r="F2623" s="155" t="s">
        <v>35</v>
      </c>
      <c r="G2623" s="11" t="s">
        <v>6</v>
      </c>
      <c r="H2623" s="512">
        <v>6927</v>
      </c>
      <c r="I2623" s="13" t="s">
        <v>9</v>
      </c>
      <c r="J2623" s="985" t="s">
        <v>292</v>
      </c>
      <c r="K2623" s="985"/>
      <c r="L2623" s="986"/>
      <c r="M2623" s="25"/>
      <c r="N2623" s="26"/>
      <c r="O2623" s="2"/>
      <c r="P2623" s="27"/>
      <c r="Q2623" s="26"/>
      <c r="R2623" s="28"/>
    </row>
    <row r="2624" spans="1:19" ht="30" customHeight="1" x14ac:dyDescent="0.45">
      <c r="A2624" s="85" t="s">
        <v>277</v>
      </c>
      <c r="B2624" s="987" t="s">
        <v>293</v>
      </c>
      <c r="C2624" s="988"/>
      <c r="D2624" s="989"/>
      <c r="E2624" s="220" t="s">
        <v>13</v>
      </c>
      <c r="F2624" s="220" t="s">
        <v>14</v>
      </c>
      <c r="G2624" s="990" t="s">
        <v>15</v>
      </c>
      <c r="H2624" s="991"/>
      <c r="I2624" s="19" t="s">
        <v>278</v>
      </c>
      <c r="J2624" s="19"/>
      <c r="K2624" s="992" t="s">
        <v>17</v>
      </c>
      <c r="L2624" s="993"/>
      <c r="M2624" s="25"/>
      <c r="N2624" s="26"/>
      <c r="O2624" s="2"/>
      <c r="P2624" s="27"/>
      <c r="Q2624" s="26"/>
      <c r="R2624" s="28"/>
    </row>
    <row r="2625" spans="1:25" ht="30" customHeight="1" x14ac:dyDescent="0.45">
      <c r="A2625" s="642" t="s">
        <v>1243</v>
      </c>
      <c r="B2625" s="1008" t="s">
        <v>1516</v>
      </c>
      <c r="C2625" s="1009"/>
      <c r="D2625" s="1010"/>
      <c r="E2625" s="221">
        <v>80</v>
      </c>
      <c r="F2625" s="47" t="s">
        <v>35</v>
      </c>
      <c r="G2625" s="47"/>
      <c r="H2625" s="47"/>
      <c r="I2625" s="47">
        <v>1.19</v>
      </c>
      <c r="J2625" s="365"/>
      <c r="K2625" s="221">
        <f>+E2625*I2625</f>
        <v>95.199999999999989</v>
      </c>
      <c r="L2625" s="47" t="s">
        <v>35</v>
      </c>
      <c r="M2625" s="25"/>
      <c r="N2625" s="26"/>
      <c r="O2625" s="2"/>
      <c r="P2625" s="27"/>
      <c r="Q2625" s="26"/>
      <c r="R2625" s="28"/>
    </row>
    <row r="2626" spans="1:25" ht="30" customHeight="1" x14ac:dyDescent="0.45">
      <c r="A2626" s="642" t="s">
        <v>358</v>
      </c>
      <c r="B2626" s="1092" t="s">
        <v>1457</v>
      </c>
      <c r="C2626" s="1092"/>
      <c r="D2626" s="1092"/>
      <c r="E2626" s="216">
        <v>3.34</v>
      </c>
      <c r="F2626" s="47" t="s">
        <v>35</v>
      </c>
      <c r="G2626" s="58"/>
      <c r="H2626" s="179"/>
      <c r="I2626" s="47">
        <v>1.19</v>
      </c>
      <c r="J2626" s="365"/>
      <c r="K2626" s="221">
        <f>+E2626*I2626</f>
        <v>3.9745999999999997</v>
      </c>
      <c r="L2626" s="47" t="s">
        <v>35</v>
      </c>
      <c r="M2626" s="25"/>
      <c r="N2626" s="26"/>
      <c r="O2626" s="2"/>
      <c r="P2626" s="27"/>
      <c r="Q2626" s="26"/>
      <c r="R2626" s="28"/>
    </row>
    <row r="2627" spans="1:25" ht="30" customHeight="1" x14ac:dyDescent="0.45">
      <c r="A2627" s="47"/>
      <c r="B2627" s="1092"/>
      <c r="C2627" s="1092"/>
      <c r="D2627" s="1092"/>
      <c r="E2627" s="221"/>
      <c r="F2627" s="47"/>
      <c r="G2627" s="58"/>
      <c r="H2627" s="179"/>
      <c r="I2627" s="47"/>
      <c r="J2627" s="47" t="s">
        <v>38</v>
      </c>
      <c r="K2627" s="221">
        <f>SUM(K2625:K2626)</f>
        <v>99.174599999999984</v>
      </c>
      <c r="L2627" s="47" t="s">
        <v>35</v>
      </c>
      <c r="M2627" s="25"/>
      <c r="N2627" s="26"/>
      <c r="O2627" s="2"/>
      <c r="P2627" s="27"/>
      <c r="Q2627" s="26"/>
      <c r="R2627" s="28"/>
    </row>
    <row r="2628" spans="1:25" ht="30" customHeight="1" x14ac:dyDescent="0.45">
      <c r="A2628" s="47"/>
      <c r="B2628" s="224"/>
      <c r="C2628" s="224"/>
      <c r="D2628" s="224"/>
      <c r="E2628" s="221"/>
      <c r="F2628" s="1011" t="s">
        <v>285</v>
      </c>
      <c r="G2628" s="1013" t="s">
        <v>286</v>
      </c>
      <c r="H2628" s="1013"/>
      <c r="I2628" s="1013"/>
      <c r="J2628" s="1013"/>
      <c r="K2628" s="365">
        <v>1.08</v>
      </c>
      <c r="L2628" s="47"/>
      <c r="M2628" s="25"/>
      <c r="N2628" s="26"/>
      <c r="O2628" s="2"/>
      <c r="P2628" s="27"/>
      <c r="Q2628" s="26"/>
      <c r="R2628" s="28"/>
    </row>
    <row r="2629" spans="1:25" ht="30" customHeight="1" x14ac:dyDescent="0.45">
      <c r="A2629" s="47"/>
      <c r="B2629" s="224"/>
      <c r="C2629" s="224"/>
      <c r="D2629" s="224"/>
      <c r="E2629" s="221"/>
      <c r="F2629" s="1012"/>
      <c r="G2629" s="1014" t="s">
        <v>298</v>
      </c>
      <c r="H2629" s="1014"/>
      <c r="I2629" s="1014"/>
      <c r="J2629" s="1014"/>
      <c r="K2629" s="278">
        <v>1.06</v>
      </c>
      <c r="L2629" s="47"/>
      <c r="M2629" s="25"/>
      <c r="N2629" s="26"/>
      <c r="O2629" s="2"/>
      <c r="P2629" s="27"/>
      <c r="Q2629" s="26"/>
      <c r="R2629" s="28"/>
    </row>
    <row r="2630" spans="1:25" ht="30" customHeight="1" x14ac:dyDescent="0.45">
      <c r="A2630" s="47"/>
      <c r="B2630" s="47"/>
      <c r="C2630" s="58"/>
      <c r="D2630" s="58"/>
      <c r="E2630" s="58"/>
      <c r="F2630" s="58"/>
      <c r="G2630" s="58"/>
      <c r="H2630" s="58"/>
      <c r="I2630" s="58"/>
      <c r="J2630" s="47" t="s">
        <v>39</v>
      </c>
      <c r="K2630" s="216">
        <f>+K2627*K2628/K2629</f>
        <v>101.04581886792451</v>
      </c>
      <c r="L2630" s="47" t="s">
        <v>35</v>
      </c>
      <c r="M2630" s="25"/>
      <c r="N2630" s="26"/>
      <c r="O2630" s="2"/>
      <c r="P2630" s="27"/>
      <c r="Q2630" s="26"/>
      <c r="R2630" s="28"/>
    </row>
    <row r="2631" spans="1:25" ht="30" customHeight="1" x14ac:dyDescent="0.45">
      <c r="A2631" s="47"/>
      <c r="B2631" s="47"/>
      <c r="C2631" s="58"/>
      <c r="D2631" s="58"/>
      <c r="E2631" s="58"/>
      <c r="F2631" s="58"/>
      <c r="G2631" s="1021" t="s">
        <v>288</v>
      </c>
      <c r="H2631" s="1022"/>
      <c r="I2631" s="1023"/>
      <c r="J2631" s="213">
        <f>VLOOKUP(B2623,'[1]Mil Cost Premiums for PUCs'!$A$4:$R$278,18,FALSE)</f>
        <v>1.1861082984327833</v>
      </c>
      <c r="K2631" s="216">
        <f>+K2630*J2631</f>
        <v>119.85128428118117</v>
      </c>
      <c r="L2631" s="47" t="s">
        <v>35</v>
      </c>
      <c r="M2631" s="25"/>
      <c r="N2631" s="26"/>
      <c r="O2631" s="2"/>
      <c r="P2631" s="27"/>
      <c r="Q2631" s="26"/>
      <c r="R2631" s="28"/>
    </row>
    <row r="2632" spans="1:25" ht="30" customHeight="1" thickBot="1" x14ac:dyDescent="0.5">
      <c r="A2632" s="225"/>
      <c r="B2632" s="225"/>
      <c r="C2632" s="150"/>
      <c r="D2632" s="150"/>
      <c r="E2632" s="150"/>
      <c r="F2632" s="150"/>
      <c r="G2632" s="1025" t="s">
        <v>299</v>
      </c>
      <c r="H2632" s="1026"/>
      <c r="I2632" s="1027"/>
      <c r="J2632" s="226">
        <v>1.1214</v>
      </c>
      <c r="K2632" s="227">
        <f>+K2631*J2632</f>
        <v>134.40123019291656</v>
      </c>
      <c r="L2632" s="47" t="s">
        <v>35</v>
      </c>
      <c r="M2632" s="25"/>
    </row>
    <row r="2633" spans="1:25" ht="30" customHeight="1" thickBot="1" x14ac:dyDescent="0.5">
      <c r="A2633" s="999"/>
      <c r="B2633" s="1000"/>
      <c r="C2633" s="1000"/>
      <c r="D2633" s="1000"/>
      <c r="E2633" s="1000"/>
      <c r="F2633" s="1000"/>
      <c r="G2633" s="1000"/>
      <c r="H2633" s="1000"/>
      <c r="I2633" s="1000"/>
      <c r="J2633" s="1000"/>
      <c r="K2633" s="1000"/>
      <c r="L2633" s="1001"/>
      <c r="M2633" s="25"/>
      <c r="N2633" s="26"/>
      <c r="O2633" s="2"/>
      <c r="P2633" s="27"/>
      <c r="Q2633" s="26"/>
      <c r="R2633" s="28"/>
    </row>
    <row r="2634" spans="1:25" ht="30" customHeight="1" x14ac:dyDescent="0.45">
      <c r="A2634" s="9" t="s">
        <v>4</v>
      </c>
      <c r="B2634" s="10">
        <v>6104</v>
      </c>
      <c r="C2634" s="1138" t="s">
        <v>1517</v>
      </c>
      <c r="D2634" s="1139"/>
      <c r="E2634" s="13" t="s">
        <v>7</v>
      </c>
      <c r="F2634" s="14" t="s">
        <v>35</v>
      </c>
      <c r="G2634" s="11" t="s">
        <v>6</v>
      </c>
      <c r="H2634" s="512">
        <v>12410</v>
      </c>
      <c r="I2634" s="13" t="s">
        <v>9</v>
      </c>
      <c r="J2634" s="985" t="s">
        <v>1518</v>
      </c>
      <c r="K2634" s="985"/>
      <c r="L2634" s="986"/>
      <c r="M2634" s="25"/>
      <c r="N2634" s="26"/>
      <c r="O2634" s="2"/>
      <c r="P2634" s="27"/>
      <c r="Q2634" s="26"/>
      <c r="R2634" s="28"/>
    </row>
    <row r="2635" spans="1:25" ht="30" customHeight="1" x14ac:dyDescent="0.45">
      <c r="A2635" s="19"/>
      <c r="B2635" s="1005" t="s">
        <v>12</v>
      </c>
      <c r="C2635" s="1005"/>
      <c r="D2635" s="1005"/>
      <c r="E2635" s="19" t="s">
        <v>267</v>
      </c>
      <c r="F2635" s="19" t="s">
        <v>13</v>
      </c>
      <c r="G2635" s="1068"/>
      <c r="H2635" s="1069"/>
      <c r="I2635" s="1068" t="s">
        <v>16</v>
      </c>
      <c r="J2635" s="1069"/>
      <c r="K2635" s="992" t="s">
        <v>17</v>
      </c>
      <c r="L2635" s="993"/>
      <c r="M2635" s="25"/>
      <c r="N2635" s="26"/>
      <c r="O2635" s="2"/>
      <c r="P2635" s="27"/>
      <c r="Q2635" s="26"/>
      <c r="R2635" s="28"/>
    </row>
    <row r="2636" spans="1:25" ht="30" customHeight="1" x14ac:dyDescent="0.45">
      <c r="A2636" s="38" t="s">
        <v>268</v>
      </c>
      <c r="B2636" s="994" t="s">
        <v>1519</v>
      </c>
      <c r="C2636" s="994"/>
      <c r="D2636" s="994"/>
      <c r="E2636" s="53">
        <v>26000</v>
      </c>
      <c r="F2636" s="145">
        <v>294</v>
      </c>
      <c r="G2636" s="1261"/>
      <c r="H2636" s="1262"/>
      <c r="I2636" s="1119">
        <f>+'[1]2023 MILCON Inflation Table'!F12</f>
        <v>1.4640481013141711</v>
      </c>
      <c r="J2636" s="1120"/>
      <c r="K2636" s="419">
        <f>+F2636*I2636</f>
        <v>430.43014178636628</v>
      </c>
      <c r="L2636" s="38" t="s">
        <v>35</v>
      </c>
      <c r="N2636" s="26"/>
      <c r="O2636" s="2"/>
      <c r="P2636" s="27"/>
      <c r="Q2636" s="26"/>
      <c r="R2636" s="28"/>
      <c r="T2636" s="5"/>
      <c r="U2636" s="648"/>
      <c r="V2636" s="101"/>
      <c r="W2636" s="1075"/>
      <c r="X2636" s="1075"/>
      <c r="Y2636" s="1075"/>
    </row>
    <row r="2637" spans="1:25" ht="30" customHeight="1" thickBot="1" x14ac:dyDescent="0.5">
      <c r="A2637" s="47"/>
      <c r="B2637" s="1092"/>
      <c r="C2637" s="1092"/>
      <c r="D2637" s="1092"/>
      <c r="E2637" s="180"/>
      <c r="F2637" s="181"/>
      <c r="G2637" s="181"/>
      <c r="H2637" s="182"/>
      <c r="I2637" s="58"/>
      <c r="J2637" s="85" t="s">
        <v>39</v>
      </c>
      <c r="K2637" s="216">
        <f>+K2636</f>
        <v>430.43014178636628</v>
      </c>
      <c r="L2637" s="47" t="s">
        <v>35</v>
      </c>
      <c r="M2637" s="25"/>
      <c r="N2637" s="146"/>
      <c r="O2637" s="146"/>
      <c r="P2637" s="1271"/>
      <c r="Q2637" s="1271"/>
      <c r="R2637" s="101"/>
      <c r="S2637" s="18"/>
      <c r="T2637" s="1272"/>
      <c r="U2637" s="1272"/>
      <c r="V2637" s="416"/>
      <c r="W2637" s="416"/>
      <c r="X2637" s="1272"/>
      <c r="Y2637" s="1272"/>
    </row>
    <row r="2638" spans="1:25" ht="30" customHeight="1" thickBot="1" x14ac:dyDescent="0.5">
      <c r="A2638" s="999"/>
      <c r="B2638" s="1000"/>
      <c r="C2638" s="1000"/>
      <c r="D2638" s="1000"/>
      <c r="E2638" s="1000"/>
      <c r="F2638" s="1000"/>
      <c r="G2638" s="1000"/>
      <c r="H2638" s="1000"/>
      <c r="I2638" s="1000"/>
      <c r="J2638" s="1000"/>
      <c r="K2638" s="1000"/>
      <c r="L2638" s="1001"/>
      <c r="M2638" s="25"/>
      <c r="N2638" s="416"/>
      <c r="O2638" s="1268"/>
      <c r="P2638" s="1268"/>
      <c r="Q2638" s="1268"/>
      <c r="R2638" s="416"/>
      <c r="S2638" s="416"/>
      <c r="T2638" s="1269"/>
      <c r="U2638" s="1269"/>
      <c r="V2638" s="491"/>
      <c r="W2638" s="649"/>
      <c r="X2638" s="325"/>
      <c r="Y2638" s="491"/>
    </row>
    <row r="2639" spans="1:25" ht="30" customHeight="1" x14ac:dyDescent="0.45">
      <c r="A2639" s="9" t="s">
        <v>4</v>
      </c>
      <c r="B2639" s="10">
        <v>6105</v>
      </c>
      <c r="C2639" s="1138" t="s">
        <v>1520</v>
      </c>
      <c r="D2639" s="1139"/>
      <c r="E2639" s="13" t="s">
        <v>7</v>
      </c>
      <c r="F2639" s="14" t="s">
        <v>35</v>
      </c>
      <c r="G2639" s="11" t="s">
        <v>6</v>
      </c>
      <c r="H2639" s="184">
        <v>227136</v>
      </c>
      <c r="I2639" s="13" t="s">
        <v>9</v>
      </c>
      <c r="J2639" s="985" t="s">
        <v>1521</v>
      </c>
      <c r="K2639" s="985"/>
      <c r="L2639" s="986"/>
      <c r="M2639" s="25"/>
      <c r="N2639" s="111"/>
      <c r="O2639" s="1270"/>
      <c r="P2639" s="1270"/>
      <c r="Q2639" s="1270"/>
      <c r="R2639" s="651"/>
      <c r="S2639" s="491"/>
      <c r="T2639" s="649"/>
      <c r="U2639" s="649"/>
      <c r="V2639" s="491"/>
      <c r="W2639" s="649"/>
      <c r="X2639" s="325"/>
      <c r="Y2639" s="491"/>
    </row>
    <row r="2640" spans="1:25" ht="30" customHeight="1" x14ac:dyDescent="0.45">
      <c r="A2640" s="19" t="s">
        <v>11</v>
      </c>
      <c r="B2640" s="1005" t="s">
        <v>12</v>
      </c>
      <c r="C2640" s="1005"/>
      <c r="D2640" s="1005"/>
      <c r="E2640" s="20" t="s">
        <v>13</v>
      </c>
      <c r="F2640" s="19" t="s">
        <v>267</v>
      </c>
      <c r="G2640" s="1114" t="s">
        <v>15</v>
      </c>
      <c r="H2640" s="1115"/>
      <c r="I2640" s="1068" t="s">
        <v>16</v>
      </c>
      <c r="J2640" s="1069"/>
      <c r="K2640" s="992" t="s">
        <v>17</v>
      </c>
      <c r="L2640" s="993"/>
      <c r="M2640" s="25"/>
      <c r="N2640" s="111"/>
      <c r="O2640" s="650"/>
      <c r="P2640" s="650"/>
      <c r="Q2640" s="650"/>
      <c r="R2640" s="651"/>
      <c r="S2640" s="491"/>
      <c r="T2640" s="649"/>
      <c r="U2640" s="649"/>
      <c r="V2640" s="491"/>
      <c r="W2640" s="649"/>
      <c r="X2640" s="325"/>
      <c r="Y2640" s="491"/>
    </row>
    <row r="2641" spans="1:19" ht="30" customHeight="1" x14ac:dyDescent="0.45">
      <c r="A2641" s="47"/>
      <c r="B2641" s="1265" t="s">
        <v>1522</v>
      </c>
      <c r="C2641" s="1266"/>
      <c r="D2641" s="1267"/>
      <c r="E2641" s="221">
        <v>813.893416</v>
      </c>
      <c r="F2641" s="394"/>
      <c r="G2641" s="29"/>
      <c r="H2641" s="29"/>
      <c r="I2641" s="1161">
        <v>1.1214</v>
      </c>
      <c r="J2641" s="1162"/>
      <c r="K2641" s="145">
        <f>E2641*I2641</f>
        <v>912.7000767024</v>
      </c>
      <c r="L2641" s="29" t="s">
        <v>35</v>
      </c>
      <c r="M2641" s="25"/>
      <c r="N2641" s="111"/>
      <c r="O2641" s="650"/>
      <c r="P2641" s="650"/>
      <c r="Q2641" s="650"/>
      <c r="R2641" s="651"/>
      <c r="S2641" s="491"/>
    </row>
    <row r="2642" spans="1:19" ht="30" customHeight="1" thickBot="1" x14ac:dyDescent="0.5">
      <c r="A2642" s="47"/>
      <c r="B2642" s="1018"/>
      <c r="C2642" s="1019"/>
      <c r="D2642" s="1020"/>
      <c r="E2642" s="652"/>
      <c r="F2642" s="653"/>
      <c r="G2642" s="653"/>
      <c r="H2642" s="654"/>
      <c r="I2642" s="58"/>
      <c r="J2642" s="85" t="s">
        <v>39</v>
      </c>
      <c r="K2642" s="216">
        <f>AVERAGE(K2641:K2641)</f>
        <v>912.7000767024</v>
      </c>
      <c r="L2642" s="29" t="s">
        <v>35</v>
      </c>
      <c r="M2642" s="25"/>
      <c r="N2642" s="26"/>
      <c r="O2642" s="2"/>
      <c r="P2642" s="27"/>
      <c r="Q2642" s="26"/>
      <c r="R2642" s="28"/>
    </row>
    <row r="2643" spans="1:19" ht="30" customHeight="1" thickBot="1" x14ac:dyDescent="0.5">
      <c r="A2643" s="999"/>
      <c r="B2643" s="1000"/>
      <c r="C2643" s="1000"/>
      <c r="D2643" s="1000"/>
      <c r="E2643" s="1000"/>
      <c r="F2643" s="1000"/>
      <c r="G2643" s="1000"/>
      <c r="H2643" s="1000"/>
      <c r="I2643" s="1000"/>
      <c r="J2643" s="1000"/>
      <c r="K2643" s="1000"/>
      <c r="L2643" s="1001"/>
      <c r="M2643" s="25"/>
      <c r="N2643" s="26"/>
      <c r="O2643" s="2"/>
      <c r="P2643" s="27"/>
      <c r="Q2643" s="26"/>
      <c r="R2643" s="28"/>
    </row>
    <row r="2644" spans="1:19" ht="30" customHeight="1" x14ac:dyDescent="0.45">
      <c r="A2644" s="9" t="s">
        <v>4</v>
      </c>
      <c r="B2644" s="10">
        <v>6106</v>
      </c>
      <c r="C2644" s="1138" t="s">
        <v>1523</v>
      </c>
      <c r="D2644" s="1139"/>
      <c r="E2644" s="13" t="s">
        <v>7</v>
      </c>
      <c r="F2644" s="14" t="s">
        <v>35</v>
      </c>
      <c r="G2644" s="11" t="s">
        <v>6</v>
      </c>
      <c r="H2644" s="184">
        <v>197384</v>
      </c>
      <c r="I2644" s="13" t="s">
        <v>9</v>
      </c>
      <c r="J2644" s="985" t="s">
        <v>1524</v>
      </c>
      <c r="K2644" s="985"/>
      <c r="L2644" s="986"/>
      <c r="M2644" s="25"/>
      <c r="N2644" s="26"/>
      <c r="O2644" s="2"/>
      <c r="P2644" s="27"/>
      <c r="Q2644" s="26"/>
      <c r="R2644" s="28"/>
    </row>
    <row r="2645" spans="1:19" ht="30" customHeight="1" x14ac:dyDescent="0.45">
      <c r="A2645" s="19" t="s">
        <v>11</v>
      </c>
      <c r="B2645" s="1005" t="s">
        <v>12</v>
      </c>
      <c r="C2645" s="1005"/>
      <c r="D2645" s="1005"/>
      <c r="E2645" s="20" t="s">
        <v>13</v>
      </c>
      <c r="F2645" s="19" t="s">
        <v>267</v>
      </c>
      <c r="G2645" s="1114" t="s">
        <v>15</v>
      </c>
      <c r="H2645" s="1115"/>
      <c r="I2645" s="1068" t="s">
        <v>16</v>
      </c>
      <c r="J2645" s="1069"/>
      <c r="K2645" s="992" t="s">
        <v>17</v>
      </c>
      <c r="L2645" s="993"/>
      <c r="M2645" s="25"/>
      <c r="N2645" s="26"/>
      <c r="O2645" s="2"/>
      <c r="P2645" s="27"/>
      <c r="Q2645" s="26"/>
      <c r="R2645" s="28"/>
    </row>
    <row r="2646" spans="1:19" ht="30" customHeight="1" x14ac:dyDescent="0.45">
      <c r="A2646" s="47">
        <v>21910</v>
      </c>
      <c r="B2646" s="1018" t="s">
        <v>1525</v>
      </c>
      <c r="C2646" s="1019"/>
      <c r="D2646" s="1020"/>
      <c r="E2646" s="221">
        <v>287</v>
      </c>
      <c r="F2646" s="394">
        <v>8200</v>
      </c>
      <c r="G2646" s="29"/>
      <c r="H2646" s="29"/>
      <c r="I2646" s="1161">
        <f>'[1]2023 MILCON Inflation Table'!F17</f>
        <v>1.2152790130673263</v>
      </c>
      <c r="J2646" s="1162"/>
      <c r="K2646" s="145">
        <f>E2646*I2646</f>
        <v>348.78507675032267</v>
      </c>
      <c r="L2646" s="29" t="s">
        <v>35</v>
      </c>
      <c r="M2646" s="25"/>
      <c r="N2646" s="26"/>
      <c r="O2646" s="2"/>
      <c r="P2646" s="27"/>
      <c r="Q2646" s="26"/>
      <c r="R2646" s="28"/>
    </row>
    <row r="2647" spans="1:19" ht="30" customHeight="1" thickBot="1" x14ac:dyDescent="0.5">
      <c r="A2647" s="47"/>
      <c r="B2647" s="1018" t="s">
        <v>1526</v>
      </c>
      <c r="C2647" s="1019"/>
      <c r="D2647" s="1020"/>
      <c r="E2647" s="652"/>
      <c r="F2647" s="1263"/>
      <c r="G2647" s="1263"/>
      <c r="H2647" s="1264"/>
      <c r="I2647" s="58" t="s">
        <v>56</v>
      </c>
      <c r="J2647" s="85" t="s">
        <v>39</v>
      </c>
      <c r="K2647" s="216">
        <f>AVERAGE(K2646:K2646)</f>
        <v>348.78507675032267</v>
      </c>
      <c r="L2647" s="29" t="s">
        <v>35</v>
      </c>
      <c r="M2647" s="25"/>
      <c r="N2647" s="26"/>
      <c r="O2647" s="2"/>
      <c r="P2647" s="27"/>
      <c r="Q2647" s="26"/>
      <c r="R2647" s="28"/>
    </row>
    <row r="2648" spans="1:19" ht="30" customHeight="1" thickBot="1" x14ac:dyDescent="0.5">
      <c r="A2648" s="999"/>
      <c r="B2648" s="1000"/>
      <c r="C2648" s="1000"/>
      <c r="D2648" s="1000"/>
      <c r="E2648" s="1000"/>
      <c r="F2648" s="1000"/>
      <c r="G2648" s="1000"/>
      <c r="H2648" s="1000"/>
      <c r="I2648" s="1000"/>
      <c r="J2648" s="1000"/>
      <c r="K2648" s="1000"/>
      <c r="L2648" s="1001"/>
      <c r="M2648" s="25"/>
      <c r="N2648" s="26"/>
      <c r="O2648" s="2"/>
      <c r="P2648" s="27"/>
      <c r="Q2648" s="26"/>
      <c r="R2648" s="28"/>
    </row>
    <row r="2649" spans="1:19" ht="30" customHeight="1" x14ac:dyDescent="0.45">
      <c r="A2649" s="9" t="s">
        <v>4</v>
      </c>
      <c r="B2649" s="10">
        <v>6107</v>
      </c>
      <c r="C2649" s="1138" t="s">
        <v>1527</v>
      </c>
      <c r="D2649" s="1139"/>
      <c r="E2649" s="13" t="s">
        <v>7</v>
      </c>
      <c r="F2649" s="155" t="s">
        <v>35</v>
      </c>
      <c r="G2649" s="11" t="s">
        <v>6</v>
      </c>
      <c r="H2649" s="512">
        <v>326900</v>
      </c>
      <c r="I2649" s="13" t="s">
        <v>9</v>
      </c>
      <c r="J2649" s="985" t="s">
        <v>292</v>
      </c>
      <c r="K2649" s="985"/>
      <c r="L2649" s="986"/>
      <c r="M2649" s="25"/>
      <c r="N2649" s="186"/>
      <c r="O2649" s="2"/>
      <c r="P2649" s="27"/>
      <c r="Q2649" s="26"/>
      <c r="R2649" s="28"/>
    </row>
    <row r="2650" spans="1:19" ht="30" customHeight="1" x14ac:dyDescent="0.45">
      <c r="A2650" s="85" t="s">
        <v>277</v>
      </c>
      <c r="B2650" s="987" t="s">
        <v>293</v>
      </c>
      <c r="C2650" s="988"/>
      <c r="D2650" s="989"/>
      <c r="E2650" s="220" t="s">
        <v>13</v>
      </c>
      <c r="F2650" s="220" t="s">
        <v>14</v>
      </c>
      <c r="G2650" s="990" t="s">
        <v>15</v>
      </c>
      <c r="H2650" s="991"/>
      <c r="I2650" s="19" t="s">
        <v>278</v>
      </c>
      <c r="J2650" s="19"/>
      <c r="K2650" s="992" t="s">
        <v>17</v>
      </c>
      <c r="L2650" s="993"/>
      <c r="M2650" s="25"/>
      <c r="N2650" s="186"/>
      <c r="O2650" s="2"/>
      <c r="P2650" s="27"/>
      <c r="Q2650" s="26"/>
      <c r="R2650" s="28"/>
    </row>
    <row r="2651" spans="1:19" ht="30" customHeight="1" x14ac:dyDescent="0.45">
      <c r="A2651" s="642" t="s">
        <v>1528</v>
      </c>
      <c r="B2651" s="1008" t="s">
        <v>1529</v>
      </c>
      <c r="C2651" s="1009"/>
      <c r="D2651" s="1010"/>
      <c r="E2651" s="221">
        <v>228</v>
      </c>
      <c r="F2651" s="47" t="s">
        <v>35</v>
      </c>
      <c r="G2651" s="47"/>
      <c r="H2651" s="47"/>
      <c r="I2651" s="47">
        <v>1.18</v>
      </c>
      <c r="J2651" s="365"/>
      <c r="K2651" s="221">
        <f>+E2651*I2651</f>
        <v>269.03999999999996</v>
      </c>
      <c r="L2651" s="47" t="s">
        <v>35</v>
      </c>
      <c r="M2651" s="25"/>
      <c r="N2651" s="26"/>
      <c r="O2651" s="2"/>
      <c r="P2651" s="27"/>
      <c r="Q2651" s="26"/>
      <c r="R2651" s="28"/>
    </row>
    <row r="2652" spans="1:19" ht="30" customHeight="1" x14ac:dyDescent="0.45">
      <c r="A2652" s="642" t="s">
        <v>1528</v>
      </c>
      <c r="B2652" s="1092" t="s">
        <v>1530</v>
      </c>
      <c r="C2652" s="1092"/>
      <c r="D2652" s="1092"/>
      <c r="E2652" s="216"/>
      <c r="F2652" s="47"/>
      <c r="G2652" s="556">
        <f>13*0.005</f>
        <v>6.5000000000000002E-2</v>
      </c>
      <c r="H2652" s="179"/>
      <c r="I2652" s="47">
        <v>1.18</v>
      </c>
      <c r="J2652" s="365"/>
      <c r="K2652" s="221">
        <f>+K2651*I2652*G2652</f>
        <v>20.635367999999996</v>
      </c>
      <c r="L2652" s="47" t="s">
        <v>35</v>
      </c>
      <c r="M2652" s="25"/>
      <c r="N2652" s="186"/>
      <c r="O2652" s="2"/>
      <c r="P2652" s="27"/>
      <c r="Q2652" s="26"/>
      <c r="R2652" s="28"/>
    </row>
    <row r="2653" spans="1:19" ht="30" customHeight="1" x14ac:dyDescent="0.45">
      <c r="A2653" s="642" t="s">
        <v>397</v>
      </c>
      <c r="B2653" s="1092" t="s">
        <v>1531</v>
      </c>
      <c r="C2653" s="1092"/>
      <c r="D2653" s="1092"/>
      <c r="E2653" s="216">
        <v>2.31</v>
      </c>
      <c r="F2653" s="47" t="s">
        <v>35</v>
      </c>
      <c r="G2653" s="655"/>
      <c r="H2653" s="179"/>
      <c r="I2653" s="47">
        <v>1.18</v>
      </c>
      <c r="J2653" s="365"/>
      <c r="K2653" s="221">
        <f>+E2653*I2653</f>
        <v>2.7258</v>
      </c>
      <c r="L2653" s="47" t="s">
        <v>35</v>
      </c>
      <c r="M2653" s="25"/>
      <c r="N2653" s="186"/>
      <c r="O2653" s="2"/>
      <c r="P2653" s="27"/>
      <c r="Q2653" s="26"/>
      <c r="R2653" s="28"/>
    </row>
    <row r="2654" spans="1:19" ht="30" customHeight="1" x14ac:dyDescent="0.45">
      <c r="A2654" s="47"/>
      <c r="B2654" s="1092"/>
      <c r="C2654" s="1092"/>
      <c r="D2654" s="1092"/>
      <c r="E2654" s="221"/>
      <c r="F2654" s="47"/>
      <c r="G2654" s="58"/>
      <c r="H2654" s="179"/>
      <c r="I2654" s="47"/>
      <c r="J2654" s="47" t="s">
        <v>38</v>
      </c>
      <c r="K2654" s="221">
        <f>SUM(K2651:K2653)</f>
        <v>292.40116799999993</v>
      </c>
      <c r="L2654" s="47" t="s">
        <v>35</v>
      </c>
      <c r="M2654" s="25"/>
      <c r="N2654" s="26"/>
      <c r="O2654" s="2"/>
      <c r="P2654" s="27"/>
      <c r="Q2654" s="26"/>
      <c r="R2654" s="28"/>
    </row>
    <row r="2655" spans="1:19" ht="30" customHeight="1" x14ac:dyDescent="0.45">
      <c r="A2655" s="47"/>
      <c r="B2655" s="1092"/>
      <c r="C2655" s="1092"/>
      <c r="D2655" s="1092"/>
      <c r="E2655" s="221"/>
      <c r="F2655" s="1011" t="s">
        <v>285</v>
      </c>
      <c r="G2655" s="1013" t="s">
        <v>286</v>
      </c>
      <c r="H2655" s="1013"/>
      <c r="I2655" s="1013"/>
      <c r="J2655" s="1013"/>
      <c r="K2655" s="365">
        <v>1.05</v>
      </c>
      <c r="L2655" s="47"/>
      <c r="M2655" s="25"/>
      <c r="N2655" s="26"/>
      <c r="O2655" s="2"/>
      <c r="P2655" s="27"/>
      <c r="Q2655" s="26"/>
      <c r="R2655" s="28"/>
    </row>
    <row r="2656" spans="1:19" ht="30" customHeight="1" x14ac:dyDescent="0.45">
      <c r="A2656" s="47"/>
      <c r="B2656" s="1092"/>
      <c r="C2656" s="1092"/>
      <c r="D2656" s="1092"/>
      <c r="E2656" s="221"/>
      <c r="F2656" s="1012"/>
      <c r="G2656" s="1014" t="s">
        <v>298</v>
      </c>
      <c r="H2656" s="1014"/>
      <c r="I2656" s="1014"/>
      <c r="J2656" s="1014"/>
      <c r="K2656" s="278">
        <v>1.06</v>
      </c>
      <c r="L2656" s="47"/>
      <c r="M2656" s="25"/>
      <c r="N2656" s="26"/>
      <c r="O2656" s="2"/>
      <c r="P2656" s="27"/>
      <c r="Q2656" s="26"/>
      <c r="R2656" s="28"/>
    </row>
    <row r="2657" spans="1:18" ht="30" customHeight="1" x14ac:dyDescent="0.45">
      <c r="A2657" s="47"/>
      <c r="B2657" s="1092"/>
      <c r="C2657" s="1092"/>
      <c r="D2657" s="1092"/>
      <c r="E2657" s="58"/>
      <c r="F2657" s="58"/>
      <c r="G2657" s="58"/>
      <c r="H2657" s="58"/>
      <c r="I2657" s="58"/>
      <c r="J2657" s="47" t="s">
        <v>39</v>
      </c>
      <c r="K2657" s="216">
        <f>+K2654*K2655/K2656</f>
        <v>289.64266641509425</v>
      </c>
      <c r="L2657" s="47" t="s">
        <v>35</v>
      </c>
      <c r="M2657" s="25"/>
      <c r="N2657" s="26"/>
      <c r="O2657" s="2"/>
      <c r="P2657" s="27"/>
      <c r="Q2657" s="26"/>
      <c r="R2657" s="28"/>
    </row>
    <row r="2658" spans="1:18" ht="30" customHeight="1" x14ac:dyDescent="0.45">
      <c r="A2658" s="47"/>
      <c r="B2658" s="1092"/>
      <c r="C2658" s="1092"/>
      <c r="D2658" s="1092"/>
      <c r="E2658" s="58"/>
      <c r="F2658" s="58"/>
      <c r="G2658" s="1021" t="s">
        <v>288</v>
      </c>
      <c r="H2658" s="1022"/>
      <c r="I2658" s="1023"/>
      <c r="J2658" s="213">
        <f>VLOOKUP(B2649,'[1]Mil Cost Premiums for PUCs'!$A$4:$R$278,18,FALSE)</f>
        <v>1.3319480854780448</v>
      </c>
      <c r="K2658" s="216">
        <f>+K2657*J2658</f>
        <v>385.78899500434079</v>
      </c>
      <c r="L2658" s="47" t="s">
        <v>35</v>
      </c>
      <c r="M2658" s="25"/>
      <c r="N2658" s="5"/>
      <c r="O2658" s="2"/>
      <c r="P2658" s="27"/>
      <c r="Q2658" s="26"/>
      <c r="R2658" s="28"/>
    </row>
    <row r="2659" spans="1:18" ht="30" customHeight="1" thickBot="1" x14ac:dyDescent="0.5">
      <c r="A2659" s="225"/>
      <c r="B2659" s="225"/>
      <c r="C2659" s="150"/>
      <c r="D2659" s="150"/>
      <c r="E2659" s="150"/>
      <c r="F2659" s="150"/>
      <c r="G2659" s="1025" t="s">
        <v>299</v>
      </c>
      <c r="H2659" s="1026"/>
      <c r="I2659" s="1027"/>
      <c r="J2659" s="226">
        <v>1.1214</v>
      </c>
      <c r="K2659" s="227">
        <f>+K2658*J2659</f>
        <v>432.62377899786776</v>
      </c>
      <c r="L2659" s="47" t="s">
        <v>35</v>
      </c>
      <c r="M2659" s="25"/>
    </row>
    <row r="2660" spans="1:18" ht="30" customHeight="1" thickBot="1" x14ac:dyDescent="0.5">
      <c r="A2660" s="999"/>
      <c r="B2660" s="1000"/>
      <c r="C2660" s="1000"/>
      <c r="D2660" s="1000"/>
      <c r="E2660" s="1000"/>
      <c r="F2660" s="1000"/>
      <c r="G2660" s="1000"/>
      <c r="H2660" s="1000"/>
      <c r="I2660" s="1000"/>
      <c r="J2660" s="1000"/>
      <c r="K2660" s="1000"/>
      <c r="L2660" s="1001"/>
      <c r="M2660" s="25"/>
      <c r="N2660" s="5"/>
      <c r="O2660" s="2"/>
      <c r="P2660" s="27"/>
      <c r="Q2660" s="26"/>
      <c r="R2660" s="28"/>
    </row>
    <row r="2661" spans="1:18" ht="30" customHeight="1" x14ac:dyDescent="0.45">
      <c r="A2661" s="9" t="s">
        <v>4</v>
      </c>
      <c r="B2661" s="10">
        <v>6200</v>
      </c>
      <c r="C2661" s="1138" t="s">
        <v>1532</v>
      </c>
      <c r="D2661" s="1139"/>
      <c r="E2661" s="13" t="s">
        <v>7</v>
      </c>
      <c r="F2661" s="14" t="s">
        <v>35</v>
      </c>
      <c r="G2661" s="11" t="s">
        <v>6</v>
      </c>
      <c r="H2661" s="163">
        <v>13333</v>
      </c>
      <c r="I2661" s="13" t="s">
        <v>9</v>
      </c>
      <c r="J2661" s="985" t="s">
        <v>1235</v>
      </c>
      <c r="K2661" s="985"/>
      <c r="L2661" s="986"/>
      <c r="M2661" s="25"/>
      <c r="N2661" s="26"/>
      <c r="O2661" s="2"/>
      <c r="P2661" s="27"/>
      <c r="Q2661" s="26"/>
      <c r="R2661" s="28"/>
    </row>
    <row r="2662" spans="1:18" ht="30" customHeight="1" x14ac:dyDescent="0.45">
      <c r="A2662" s="19" t="s">
        <v>11</v>
      </c>
      <c r="B2662" s="1005" t="s">
        <v>12</v>
      </c>
      <c r="C2662" s="1005"/>
      <c r="D2662" s="1005"/>
      <c r="E2662" s="132" t="s">
        <v>267</v>
      </c>
      <c r="F2662" s="20" t="s">
        <v>13</v>
      </c>
      <c r="G2662" s="656"/>
      <c r="I2662" s="1068" t="s">
        <v>16</v>
      </c>
      <c r="J2662" s="1069"/>
      <c r="K2662" s="992" t="s">
        <v>17</v>
      </c>
      <c r="L2662" s="993"/>
      <c r="M2662" s="25"/>
      <c r="N2662" s="26"/>
      <c r="O2662" s="2"/>
      <c r="P2662" s="27"/>
      <c r="Q2662" s="26"/>
      <c r="R2662" s="28"/>
    </row>
    <row r="2663" spans="1:18" ht="30" customHeight="1" x14ac:dyDescent="0.45">
      <c r="A2663" s="29">
        <v>62010</v>
      </c>
      <c r="B2663" s="994" t="s">
        <v>1533</v>
      </c>
      <c r="C2663" s="994"/>
      <c r="D2663" s="994"/>
      <c r="E2663" s="176">
        <v>6000</v>
      </c>
      <c r="F2663" s="145">
        <v>235</v>
      </c>
      <c r="G2663" s="29"/>
      <c r="H2663" s="232"/>
      <c r="I2663" s="1161">
        <f>+'[1]2023 MILCON Inflation Table'!F8</f>
        <v>1.6732905027856291</v>
      </c>
      <c r="J2663" s="1162"/>
      <c r="K2663" s="36">
        <f>+F2663*I2663</f>
        <v>393.22326815462282</v>
      </c>
      <c r="L2663" s="29" t="s">
        <v>35</v>
      </c>
      <c r="M2663" s="25"/>
      <c r="N2663" s="26"/>
      <c r="O2663" s="2"/>
      <c r="P2663" s="27"/>
      <c r="Q2663" s="26"/>
      <c r="R2663" s="28"/>
    </row>
    <row r="2664" spans="1:18" ht="30" customHeight="1" thickBot="1" x14ac:dyDescent="0.5">
      <c r="A2664" s="47"/>
      <c r="B2664" s="1092"/>
      <c r="C2664" s="1092"/>
      <c r="D2664" s="1092"/>
      <c r="E2664" s="180"/>
      <c r="F2664" s="181"/>
      <c r="G2664" s="181"/>
      <c r="H2664" s="182"/>
      <c r="I2664" s="58"/>
      <c r="J2664" s="85" t="s">
        <v>39</v>
      </c>
      <c r="K2664" s="185">
        <f>+K2663</f>
        <v>393.22326815462282</v>
      </c>
      <c r="L2664" s="47" t="s">
        <v>35</v>
      </c>
      <c r="N2664" s="5"/>
      <c r="O2664" s="2"/>
      <c r="P2664" s="27"/>
      <c r="Q2664" s="26"/>
      <c r="R2664" s="28"/>
    </row>
    <row r="2665" spans="1:18" ht="30" customHeight="1" thickBot="1" x14ac:dyDescent="0.5">
      <c r="A2665" s="999"/>
      <c r="B2665" s="1000"/>
      <c r="C2665" s="1000"/>
      <c r="D2665" s="1000"/>
      <c r="E2665" s="1000"/>
      <c r="F2665" s="1000"/>
      <c r="G2665" s="1000"/>
      <c r="H2665" s="1000"/>
      <c r="I2665" s="1000"/>
      <c r="J2665" s="1000"/>
      <c r="K2665" s="1000"/>
      <c r="L2665" s="1001"/>
      <c r="M2665" s="25"/>
      <c r="N2665" s="26"/>
      <c r="O2665" s="2"/>
      <c r="P2665" s="27"/>
      <c r="Q2665" s="26"/>
      <c r="R2665" s="28"/>
    </row>
    <row r="2666" spans="1:18" ht="30" customHeight="1" x14ac:dyDescent="0.45">
      <c r="A2666" s="9" t="s">
        <v>4</v>
      </c>
      <c r="B2666" s="10">
        <v>6201</v>
      </c>
      <c r="C2666" s="1138" t="s">
        <v>1534</v>
      </c>
      <c r="D2666" s="1139"/>
      <c r="E2666" s="13" t="s">
        <v>7</v>
      </c>
      <c r="F2666" s="14" t="s">
        <v>35</v>
      </c>
      <c r="G2666" s="11" t="s">
        <v>6</v>
      </c>
      <c r="H2666" s="184">
        <v>231854</v>
      </c>
      <c r="I2666" s="13" t="s">
        <v>9</v>
      </c>
      <c r="J2666" s="985" t="s">
        <v>1535</v>
      </c>
      <c r="K2666" s="985"/>
      <c r="L2666" s="986"/>
      <c r="M2666" s="25"/>
      <c r="N2666" s="26"/>
      <c r="O2666" s="2"/>
      <c r="P2666" s="27"/>
      <c r="Q2666" s="26"/>
      <c r="R2666" s="28"/>
    </row>
    <row r="2667" spans="1:18" ht="30" customHeight="1" x14ac:dyDescent="0.45">
      <c r="A2667" s="19" t="s">
        <v>11</v>
      </c>
      <c r="B2667" s="1005" t="s">
        <v>12</v>
      </c>
      <c r="C2667" s="1005"/>
      <c r="D2667" s="1005"/>
      <c r="E2667" s="132" t="s">
        <v>267</v>
      </c>
      <c r="F2667" s="20" t="s">
        <v>13</v>
      </c>
      <c r="G2667" s="656"/>
      <c r="H2667" s="132"/>
      <c r="I2667" s="1068" t="s">
        <v>16</v>
      </c>
      <c r="J2667" s="1069"/>
      <c r="K2667" s="992" t="s">
        <v>17</v>
      </c>
      <c r="L2667" s="993"/>
      <c r="M2667" s="25"/>
      <c r="N2667" s="5"/>
      <c r="O2667" s="2"/>
      <c r="P2667" s="27"/>
      <c r="Q2667" s="26"/>
      <c r="R2667" s="28"/>
    </row>
    <row r="2668" spans="1:18" ht="30" customHeight="1" x14ac:dyDescent="0.45">
      <c r="A2668" s="38" t="s">
        <v>268</v>
      </c>
      <c r="B2668" s="994" t="s">
        <v>1536</v>
      </c>
      <c r="C2668" s="994"/>
      <c r="D2668" s="994"/>
      <c r="E2668" s="53">
        <v>57000</v>
      </c>
      <c r="F2668" s="657">
        <v>489</v>
      </c>
      <c r="G2668" s="29"/>
      <c r="H2668" s="514"/>
      <c r="I2668" s="1161" t="s">
        <v>1537</v>
      </c>
      <c r="J2668" s="1162"/>
      <c r="K2668" s="658">
        <f>F2668</f>
        <v>489</v>
      </c>
      <c r="L2668" s="38" t="s">
        <v>35</v>
      </c>
      <c r="M2668" s="25"/>
      <c r="N2668" s="5"/>
      <c r="O2668" s="2"/>
      <c r="P2668" s="27"/>
      <c r="Q2668" s="26"/>
      <c r="R2668" s="28"/>
    </row>
    <row r="2669" spans="1:18" ht="30" customHeight="1" x14ac:dyDescent="0.45">
      <c r="A2669" s="29">
        <v>62010</v>
      </c>
      <c r="B2669" s="994" t="s">
        <v>1538</v>
      </c>
      <c r="C2669" s="994"/>
      <c r="D2669" s="994"/>
      <c r="E2669" s="176">
        <v>6000</v>
      </c>
      <c r="F2669" s="145">
        <v>235</v>
      </c>
      <c r="G2669" s="29"/>
      <c r="H2669" s="232"/>
      <c r="I2669" s="1161">
        <f>+'[1]2023 MILCON Inflation Table'!F8</f>
        <v>1.6732905027856291</v>
      </c>
      <c r="J2669" s="1162"/>
      <c r="K2669" s="145">
        <f>+F2669*I2669</f>
        <v>393.22326815462282</v>
      </c>
      <c r="L2669" s="29" t="s">
        <v>35</v>
      </c>
      <c r="M2669" s="25"/>
      <c r="N2669" s="26"/>
      <c r="O2669" s="2"/>
      <c r="P2669" s="27"/>
      <c r="Q2669" s="26"/>
      <c r="R2669" s="28"/>
    </row>
    <row r="2670" spans="1:18" ht="30" customHeight="1" x14ac:dyDescent="0.45">
      <c r="A2670" s="29"/>
      <c r="B2670" s="4"/>
      <c r="C2670" s="4"/>
      <c r="D2670" s="4"/>
      <c r="E2670" s="280"/>
      <c r="F2670" s="281"/>
      <c r="G2670" s="370"/>
      <c r="H2670" s="659"/>
      <c r="I2670" s="1161" t="s">
        <v>56</v>
      </c>
      <c r="J2670" s="1162"/>
      <c r="K2670" s="145">
        <f>+AVERAGE(K2668:K2669)</f>
        <v>441.11163407731141</v>
      </c>
      <c r="L2670" s="29" t="s">
        <v>35</v>
      </c>
      <c r="M2670" s="25"/>
      <c r="N2670" s="26"/>
      <c r="O2670" s="2"/>
      <c r="P2670" s="27"/>
      <c r="Q2670" s="26"/>
      <c r="R2670" s="28"/>
    </row>
    <row r="2671" spans="1:18" ht="30" customHeight="1" x14ac:dyDescent="0.45">
      <c r="A2671" s="47"/>
      <c r="B2671" s="1092"/>
      <c r="C2671" s="1092"/>
      <c r="D2671" s="1092"/>
      <c r="E2671" s="180"/>
      <c r="F2671" s="181"/>
      <c r="G2671" s="181"/>
      <c r="H2671" s="182"/>
      <c r="I2671" s="58"/>
      <c r="J2671" s="85" t="s">
        <v>39</v>
      </c>
      <c r="K2671" s="216">
        <f>K2670</f>
        <v>441.11163407731141</v>
      </c>
      <c r="L2671" s="47" t="s">
        <v>35</v>
      </c>
      <c r="M2671" s="25"/>
      <c r="N2671" s="186"/>
      <c r="O2671" s="2"/>
      <c r="P2671" s="27"/>
      <c r="Q2671" s="26"/>
      <c r="R2671" s="28"/>
    </row>
    <row r="2672" spans="1:18" ht="30" customHeight="1" thickBot="1" x14ac:dyDescent="0.5">
      <c r="A2672" s="225"/>
      <c r="B2672" s="225"/>
      <c r="C2672" s="150"/>
      <c r="D2672" s="150"/>
      <c r="E2672" s="150"/>
      <c r="F2672" s="150"/>
      <c r="G2672" s="1025" t="s">
        <v>299</v>
      </c>
      <c r="H2672" s="1026"/>
      <c r="I2672" s="1027"/>
      <c r="J2672" s="226">
        <v>1.1214</v>
      </c>
      <c r="K2672" s="227">
        <f>+K2671*J2672</f>
        <v>494.66258645429701</v>
      </c>
      <c r="L2672" s="47" t="s">
        <v>35</v>
      </c>
      <c r="M2672" s="25"/>
    </row>
    <row r="2673" spans="1:25" ht="30" customHeight="1" thickBot="1" x14ac:dyDescent="0.5">
      <c r="A2673" s="999"/>
      <c r="B2673" s="1000"/>
      <c r="C2673" s="1000"/>
      <c r="D2673" s="1000"/>
      <c r="E2673" s="1000"/>
      <c r="F2673" s="1000"/>
      <c r="G2673" s="1000"/>
      <c r="H2673" s="1000"/>
      <c r="I2673" s="1000"/>
      <c r="J2673" s="1000"/>
      <c r="K2673" s="1000"/>
      <c r="L2673" s="1001"/>
      <c r="M2673" s="25"/>
      <c r="N2673" s="186"/>
      <c r="O2673" s="2"/>
      <c r="P2673" s="27"/>
      <c r="Q2673" s="26"/>
      <c r="R2673" s="28"/>
    </row>
    <row r="2674" spans="1:25" ht="30" customHeight="1" x14ac:dyDescent="0.45">
      <c r="A2674" s="9" t="s">
        <v>4</v>
      </c>
      <c r="B2674" s="10">
        <v>6900</v>
      </c>
      <c r="C2674" s="1138" t="s">
        <v>1539</v>
      </c>
      <c r="D2674" s="1139"/>
      <c r="E2674" s="13" t="s">
        <v>7</v>
      </c>
      <c r="F2674" s="14" t="s">
        <v>88</v>
      </c>
      <c r="G2674" s="173" t="s">
        <v>148</v>
      </c>
      <c r="H2674" s="155">
        <v>1</v>
      </c>
      <c r="I2674" s="13" t="s">
        <v>9</v>
      </c>
      <c r="J2674" s="985" t="s">
        <v>292</v>
      </c>
      <c r="K2674" s="985"/>
      <c r="L2674" s="986"/>
      <c r="M2674" s="25"/>
      <c r="O2674" s="2"/>
      <c r="P2674" s="27"/>
      <c r="Q2674" s="26"/>
      <c r="R2674" s="28"/>
    </row>
    <row r="2675" spans="1:25" ht="30" customHeight="1" x14ac:dyDescent="0.45">
      <c r="A2675" s="85" t="s">
        <v>277</v>
      </c>
      <c r="B2675" s="987" t="s">
        <v>293</v>
      </c>
      <c r="C2675" s="988"/>
      <c r="D2675" s="989"/>
      <c r="E2675" s="220" t="s">
        <v>13</v>
      </c>
      <c r="F2675" s="220" t="s">
        <v>14</v>
      </c>
      <c r="G2675" s="990" t="s">
        <v>15</v>
      </c>
      <c r="H2675" s="991"/>
      <c r="I2675" s="19" t="s">
        <v>278</v>
      </c>
      <c r="J2675" s="19"/>
      <c r="K2675" s="992" t="s">
        <v>17</v>
      </c>
      <c r="L2675" s="993"/>
      <c r="M2675" s="25"/>
      <c r="O2675" s="2"/>
      <c r="P2675" s="27"/>
      <c r="Q2675" s="26"/>
      <c r="R2675" s="28"/>
    </row>
    <row r="2676" spans="1:25" ht="30" customHeight="1" x14ac:dyDescent="0.45">
      <c r="A2676" s="642" t="s">
        <v>480</v>
      </c>
      <c r="B2676" s="1018" t="s">
        <v>1540</v>
      </c>
      <c r="C2676" s="1019"/>
      <c r="D2676" s="1020"/>
      <c r="E2676" s="221">
        <f>+(3475+7650)/2</f>
        <v>5562.5</v>
      </c>
      <c r="F2676" s="47" t="s">
        <v>88</v>
      </c>
      <c r="G2676" s="47"/>
      <c r="H2676" s="47"/>
      <c r="I2676" s="47">
        <v>1.23</v>
      </c>
      <c r="J2676" s="655"/>
      <c r="K2676" s="221">
        <f>+E2676*I2676</f>
        <v>6841.875</v>
      </c>
      <c r="L2676" s="47" t="s">
        <v>88</v>
      </c>
      <c r="M2676" s="25"/>
      <c r="N2676" s="26"/>
      <c r="O2676" s="2"/>
      <c r="P2676" s="27"/>
      <c r="Q2676" s="26"/>
      <c r="R2676" s="28"/>
    </row>
    <row r="2677" spans="1:25" ht="30" customHeight="1" x14ac:dyDescent="0.45">
      <c r="A2677" s="642" t="s">
        <v>1541</v>
      </c>
      <c r="B2677" s="1018" t="s">
        <v>1542</v>
      </c>
      <c r="C2677" s="1019"/>
      <c r="D2677" s="1020"/>
      <c r="E2677" s="216">
        <f>+((62.5+69.5)/2)*75</f>
        <v>4950</v>
      </c>
      <c r="F2677" s="47" t="s">
        <v>88</v>
      </c>
      <c r="G2677" s="515"/>
      <c r="H2677" s="179"/>
      <c r="I2677" s="47">
        <v>1.23</v>
      </c>
      <c r="J2677" s="655"/>
      <c r="K2677" s="221">
        <f>+E2677*I2677</f>
        <v>6088.5</v>
      </c>
      <c r="L2677" s="47" t="s">
        <v>88</v>
      </c>
      <c r="M2677" s="25"/>
      <c r="N2677" s="26"/>
      <c r="O2677" s="2"/>
      <c r="P2677" s="27"/>
      <c r="Q2677" s="26"/>
      <c r="R2677" s="28"/>
      <c r="T2677" s="41"/>
    </row>
    <row r="2678" spans="1:25" ht="30" customHeight="1" x14ac:dyDescent="0.45">
      <c r="A2678" s="642" t="s">
        <v>1543</v>
      </c>
      <c r="B2678" s="1018" t="s">
        <v>1544</v>
      </c>
      <c r="C2678" s="1019"/>
      <c r="D2678" s="1020"/>
      <c r="E2678" s="216">
        <f>((95+147)/2) *2*15</f>
        <v>3630</v>
      </c>
      <c r="F2678" s="47" t="s">
        <v>88</v>
      </c>
      <c r="G2678" s="515"/>
      <c r="H2678" s="179"/>
      <c r="I2678" s="47">
        <v>1.24</v>
      </c>
      <c r="J2678" s="655"/>
      <c r="K2678" s="221">
        <f>E2678*I2678</f>
        <v>4501.2</v>
      </c>
      <c r="L2678" s="47"/>
      <c r="M2678" s="25"/>
      <c r="N2678" s="5"/>
      <c r="O2678" s="2"/>
      <c r="P2678" s="27"/>
      <c r="Q2678" s="26"/>
      <c r="R2678" s="28"/>
      <c r="T2678" s="41"/>
    </row>
    <row r="2679" spans="1:25" ht="30" customHeight="1" x14ac:dyDescent="0.45">
      <c r="A2679" s="642"/>
      <c r="B2679" s="204"/>
      <c r="C2679" s="205"/>
      <c r="D2679" s="206"/>
      <c r="E2679" s="1"/>
      <c r="F2679" s="47"/>
      <c r="G2679" s="515"/>
      <c r="H2679" s="179"/>
      <c r="I2679" s="1175" t="s">
        <v>1545</v>
      </c>
      <c r="J2679" s="1087"/>
      <c r="K2679" s="221">
        <f>+K2677+K2678</f>
        <v>10589.7</v>
      </c>
      <c r="L2679" s="47"/>
      <c r="M2679" s="25"/>
      <c r="N2679" s="5"/>
      <c r="O2679" s="2"/>
      <c r="P2679" s="27"/>
      <c r="Q2679" s="26"/>
      <c r="R2679" s="28"/>
      <c r="T2679" s="41"/>
    </row>
    <row r="2680" spans="1:25" ht="30" customHeight="1" x14ac:dyDescent="0.45">
      <c r="A2680" s="47"/>
      <c r="B2680" s="1092"/>
      <c r="C2680" s="1092"/>
      <c r="D2680" s="1092"/>
      <c r="E2680" s="221"/>
      <c r="F2680" s="47"/>
      <c r="G2680" s="58"/>
      <c r="H2680" s="179"/>
      <c r="I2680" s="1175" t="s">
        <v>1546</v>
      </c>
      <c r="J2680" s="1087"/>
      <c r="K2680" s="221">
        <f>(+K2679+K2676)/2</f>
        <v>8715.7875000000004</v>
      </c>
      <c r="L2680" s="47" t="s">
        <v>88</v>
      </c>
      <c r="M2680" s="25"/>
      <c r="N2680" s="26"/>
      <c r="S2680" s="41"/>
      <c r="Y2680" s="18"/>
    </row>
    <row r="2681" spans="1:25" ht="30" customHeight="1" x14ac:dyDescent="0.45">
      <c r="A2681" s="47"/>
      <c r="B2681" s="224"/>
      <c r="C2681" s="224"/>
      <c r="D2681" s="224"/>
      <c r="E2681" s="221"/>
      <c r="F2681" s="1011" t="s">
        <v>285</v>
      </c>
      <c r="G2681" s="1013" t="s">
        <v>286</v>
      </c>
      <c r="H2681" s="1013"/>
      <c r="I2681" s="1013"/>
      <c r="J2681" s="1013"/>
      <c r="K2681" s="278">
        <v>1.06</v>
      </c>
      <c r="L2681" s="47"/>
      <c r="M2681" s="25"/>
      <c r="N2681" s="26"/>
      <c r="S2681" s="41"/>
    </row>
    <row r="2682" spans="1:25" ht="30" customHeight="1" x14ac:dyDescent="0.45">
      <c r="A2682" s="47"/>
      <c r="B2682" s="224"/>
      <c r="C2682" s="224"/>
      <c r="D2682" s="224"/>
      <c r="E2682" s="221"/>
      <c r="F2682" s="1012"/>
      <c r="G2682" s="1014" t="s">
        <v>298</v>
      </c>
      <c r="H2682" s="1014"/>
      <c r="I2682" s="1014"/>
      <c r="J2682" s="1014"/>
      <c r="K2682" s="278">
        <v>1.06</v>
      </c>
      <c r="L2682" s="47"/>
      <c r="M2682" s="25"/>
      <c r="N2682" s="18"/>
      <c r="O2682" s="5"/>
      <c r="P2682" s="18"/>
      <c r="Q2682" s="18"/>
      <c r="R2682" s="18"/>
      <c r="S2682" s="18"/>
      <c r="T2682" s="41"/>
    </row>
    <row r="2683" spans="1:25" s="18" customFormat="1" ht="30" customHeight="1" x14ac:dyDescent="0.45">
      <c r="A2683" s="47"/>
      <c r="B2683" s="47"/>
      <c r="C2683" s="58"/>
      <c r="D2683" s="58"/>
      <c r="E2683" s="58"/>
      <c r="F2683" s="58"/>
      <c r="G2683" s="58"/>
      <c r="H2683" s="58"/>
      <c r="I2683" s="58"/>
      <c r="J2683" s="47" t="s">
        <v>39</v>
      </c>
      <c r="K2683" s="216">
        <f>+K2680*K2681/K2682</f>
        <v>8715.7875000000004</v>
      </c>
      <c r="L2683" s="47" t="s">
        <v>88</v>
      </c>
      <c r="M2683" s="25"/>
      <c r="N2683" s="2"/>
      <c r="O2683" s="3"/>
      <c r="P2683" s="2"/>
      <c r="Q2683" s="2"/>
      <c r="R2683" s="2"/>
      <c r="S2683" s="2"/>
      <c r="Y2683" s="2"/>
    </row>
    <row r="2684" spans="1:25" ht="30" customHeight="1" x14ac:dyDescent="0.45">
      <c r="A2684" s="47"/>
      <c r="B2684" s="47"/>
      <c r="C2684" s="58"/>
      <c r="D2684" s="58"/>
      <c r="E2684" s="58"/>
      <c r="F2684" s="58"/>
      <c r="G2684" s="1021" t="s">
        <v>288</v>
      </c>
      <c r="H2684" s="1022"/>
      <c r="I2684" s="1023"/>
      <c r="J2684" s="213">
        <f>VLOOKUP(B2674,'[1]Mil Cost Premiums for PUCs'!$A$4:$R$278,18,FALSE)</f>
        <v>1.0209999999999999</v>
      </c>
      <c r="K2684" s="216">
        <f>+K2683*J2684</f>
        <v>8898.8190374999995</v>
      </c>
      <c r="L2684" s="47" t="s">
        <v>88</v>
      </c>
      <c r="M2684" s="25"/>
      <c r="N2684" s="26"/>
      <c r="Y2684" s="18"/>
    </row>
    <row r="2685" spans="1:25" ht="30" customHeight="1" thickBot="1" x14ac:dyDescent="0.5">
      <c r="A2685" s="225"/>
      <c r="B2685" s="225"/>
      <c r="C2685" s="150"/>
      <c r="D2685" s="150"/>
      <c r="E2685" s="150"/>
      <c r="F2685" s="150"/>
      <c r="G2685" s="1025" t="s">
        <v>299</v>
      </c>
      <c r="H2685" s="1026"/>
      <c r="I2685" s="1027"/>
      <c r="J2685" s="226">
        <v>1.1214</v>
      </c>
      <c r="K2685" s="227">
        <f>+K2684*J2685</f>
        <v>9979.1356686524996</v>
      </c>
      <c r="L2685" s="47" t="s">
        <v>88</v>
      </c>
      <c r="M2685" s="25"/>
    </row>
    <row r="2686" spans="1:25" ht="30" customHeight="1" thickBot="1" x14ac:dyDescent="0.5">
      <c r="A2686" s="999"/>
      <c r="B2686" s="1000"/>
      <c r="C2686" s="1000"/>
      <c r="D2686" s="1000"/>
      <c r="E2686" s="1000"/>
      <c r="F2686" s="1000"/>
      <c r="G2686" s="1000"/>
      <c r="H2686" s="1000"/>
      <c r="I2686" s="1000"/>
      <c r="J2686" s="1000"/>
      <c r="K2686" s="1000"/>
      <c r="L2686" s="1001"/>
      <c r="M2686" s="25"/>
      <c r="N2686" s="26"/>
      <c r="S2686" s="41"/>
    </row>
    <row r="2687" spans="1:25" ht="30" customHeight="1" x14ac:dyDescent="0.45">
      <c r="A2687" s="9" t="s">
        <v>4</v>
      </c>
      <c r="B2687" s="10">
        <v>7110</v>
      </c>
      <c r="C2687" s="1138" t="s">
        <v>1547</v>
      </c>
      <c r="D2687" s="1139"/>
      <c r="E2687" s="13" t="s">
        <v>7</v>
      </c>
      <c r="F2687" s="14" t="s">
        <v>35</v>
      </c>
      <c r="G2687" s="11" t="s">
        <v>6</v>
      </c>
      <c r="H2687" s="184">
        <v>3340.3309124474199</v>
      </c>
      <c r="I2687" s="13" t="s">
        <v>9</v>
      </c>
      <c r="J2687" s="985" t="s">
        <v>10</v>
      </c>
      <c r="K2687" s="985"/>
      <c r="L2687" s="986"/>
      <c r="M2687" s="25"/>
      <c r="N2687" s="26"/>
      <c r="O2687" s="5"/>
      <c r="P2687" s="18"/>
      <c r="Q2687" s="18"/>
      <c r="R2687" s="18"/>
      <c r="S2687" s="18"/>
      <c r="T2687" s="41"/>
    </row>
    <row r="2688" spans="1:25" s="18" customFormat="1" ht="30" customHeight="1" x14ac:dyDescent="0.45">
      <c r="A2688" s="19" t="s">
        <v>11</v>
      </c>
      <c r="B2688" s="1005" t="s">
        <v>12</v>
      </c>
      <c r="C2688" s="1005"/>
      <c r="D2688" s="1005"/>
      <c r="E2688" s="132" t="s">
        <v>267</v>
      </c>
      <c r="F2688" s="20" t="s">
        <v>13</v>
      </c>
      <c r="G2688" s="19"/>
      <c r="H2688" s="19"/>
      <c r="I2688" s="1068" t="s">
        <v>16</v>
      </c>
      <c r="J2688" s="1069"/>
      <c r="K2688" s="992" t="s">
        <v>17</v>
      </c>
      <c r="L2688" s="993"/>
      <c r="M2688" s="25"/>
      <c r="N2688" s="26"/>
      <c r="O2688" s="3"/>
      <c r="P2688" s="2"/>
      <c r="Q2688" s="2"/>
      <c r="R2688" s="2"/>
      <c r="S2688" s="2"/>
      <c r="T2688" s="41"/>
      <c r="U2688" s="2"/>
      <c r="V2688" s="2"/>
      <c r="W2688" s="2"/>
      <c r="X2688" s="2"/>
      <c r="Y2688" s="2"/>
    </row>
    <row r="2689" spans="1:25" ht="30" customHeight="1" x14ac:dyDescent="0.45">
      <c r="A2689" s="47">
        <v>71111</v>
      </c>
      <c r="B2689" s="1008" t="s">
        <v>1548</v>
      </c>
      <c r="C2689" s="1009"/>
      <c r="D2689" s="1010"/>
      <c r="E2689" s="394">
        <v>3330</v>
      </c>
      <c r="F2689" s="221">
        <v>370.96</v>
      </c>
      <c r="G2689" s="370"/>
      <c r="H2689" s="167"/>
      <c r="I2689" s="1090">
        <f>+'[1]2023 MILCON Inflation Table'!F22</f>
        <v>0.93771935922451721</v>
      </c>
      <c r="J2689" s="1091"/>
      <c r="K2689" s="393">
        <f t="shared" ref="K2689:K2695" si="60">+F2689*I2689</f>
        <v>347.85637349792688</v>
      </c>
      <c r="L2689" s="47" t="s">
        <v>35</v>
      </c>
      <c r="M2689" s="25"/>
      <c r="T2689" s="18"/>
      <c r="U2689" s="18"/>
      <c r="V2689" s="18"/>
      <c r="W2689" s="18"/>
      <c r="X2689" s="18"/>
    </row>
    <row r="2690" spans="1:25" ht="30" customHeight="1" x14ac:dyDescent="0.45">
      <c r="A2690" s="47">
        <v>71112</v>
      </c>
      <c r="B2690" s="1008" t="s">
        <v>1549</v>
      </c>
      <c r="C2690" s="1009"/>
      <c r="D2690" s="1010"/>
      <c r="E2690" s="394">
        <v>2520</v>
      </c>
      <c r="F2690" s="221">
        <v>302.97000000000003</v>
      </c>
      <c r="G2690" s="370"/>
      <c r="H2690" s="167"/>
      <c r="I2690" s="1090">
        <f>+I2689</f>
        <v>0.93771935922451721</v>
      </c>
      <c r="J2690" s="1091"/>
      <c r="K2690" s="393">
        <f t="shared" si="60"/>
        <v>284.100834264252</v>
      </c>
      <c r="L2690" s="47" t="s">
        <v>35</v>
      </c>
      <c r="M2690" s="25"/>
      <c r="S2690" s="41"/>
      <c r="Y2690" s="18"/>
    </row>
    <row r="2691" spans="1:25" ht="30" customHeight="1" x14ac:dyDescent="0.45">
      <c r="A2691" s="47">
        <v>71113</v>
      </c>
      <c r="B2691" s="1018" t="s">
        <v>1550</v>
      </c>
      <c r="C2691" s="1019"/>
      <c r="D2691" s="1020"/>
      <c r="E2691" s="394">
        <v>2310</v>
      </c>
      <c r="F2691" s="221">
        <v>285.73</v>
      </c>
      <c r="G2691" s="370"/>
      <c r="H2691" s="167"/>
      <c r="I2691" s="1090">
        <f>+I2689</f>
        <v>0.93771935922451721</v>
      </c>
      <c r="J2691" s="1091"/>
      <c r="K2691" s="393">
        <f t="shared" si="60"/>
        <v>267.93455251122134</v>
      </c>
      <c r="L2691" s="47" t="s">
        <v>35</v>
      </c>
      <c r="M2691" s="25"/>
      <c r="S2691" s="41"/>
    </row>
    <row r="2692" spans="1:25" ht="30" customHeight="1" x14ac:dyDescent="0.45">
      <c r="A2692" s="47">
        <v>71114</v>
      </c>
      <c r="B2692" s="1018" t="s">
        <v>1551</v>
      </c>
      <c r="C2692" s="1019"/>
      <c r="D2692" s="1020"/>
      <c r="E2692" s="394">
        <v>2150</v>
      </c>
      <c r="F2692" s="221">
        <v>258.64</v>
      </c>
      <c r="G2692" s="370"/>
      <c r="H2692" s="167"/>
      <c r="I2692" s="1090">
        <f>+I2689</f>
        <v>0.93771935922451721</v>
      </c>
      <c r="J2692" s="1091"/>
      <c r="K2692" s="393">
        <f t="shared" si="60"/>
        <v>242.53173506982912</v>
      </c>
      <c r="L2692" s="47" t="s">
        <v>35</v>
      </c>
      <c r="M2692" s="25"/>
      <c r="O2692" s="5"/>
      <c r="P2692" s="18"/>
      <c r="Q2692" s="18"/>
      <c r="R2692" s="18"/>
      <c r="S2692" s="18"/>
      <c r="T2692" s="41"/>
    </row>
    <row r="2693" spans="1:25" s="18" customFormat="1" ht="30" customHeight="1" x14ac:dyDescent="0.45">
      <c r="A2693" s="47">
        <v>71115</v>
      </c>
      <c r="B2693" s="1008" t="s">
        <v>1552</v>
      </c>
      <c r="C2693" s="1009"/>
      <c r="D2693" s="1010"/>
      <c r="E2693" s="394">
        <v>2020</v>
      </c>
      <c r="F2693" s="221">
        <v>300.51</v>
      </c>
      <c r="G2693" s="370"/>
      <c r="H2693" s="167"/>
      <c r="I2693" s="1090">
        <f>+I2689</f>
        <v>0.93771935922451721</v>
      </c>
      <c r="J2693" s="1091"/>
      <c r="K2693" s="393">
        <f t="shared" si="60"/>
        <v>281.79404464055966</v>
      </c>
      <c r="L2693" s="47" t="s">
        <v>35</v>
      </c>
      <c r="M2693" s="25"/>
      <c r="N2693" s="229"/>
      <c r="O2693" s="3"/>
      <c r="P2693" s="2"/>
      <c r="Q2693" s="2"/>
      <c r="R2693" s="2"/>
      <c r="S2693" s="2"/>
      <c r="T2693" s="41"/>
      <c r="U2693" s="2"/>
      <c r="V2693" s="2"/>
      <c r="W2693" s="2"/>
      <c r="X2693" s="2"/>
      <c r="Y2693" s="2"/>
    </row>
    <row r="2694" spans="1:25" ht="30" customHeight="1" x14ac:dyDescent="0.45">
      <c r="A2694" s="47">
        <v>71115</v>
      </c>
      <c r="B2694" s="1008" t="s">
        <v>1553</v>
      </c>
      <c r="C2694" s="1009"/>
      <c r="D2694" s="1010"/>
      <c r="E2694" s="394">
        <v>1860</v>
      </c>
      <c r="F2694" s="221">
        <v>262.33</v>
      </c>
      <c r="G2694" s="370"/>
      <c r="H2694" s="167"/>
      <c r="I2694" s="1090">
        <f>+I2689</f>
        <v>0.93771935922451721</v>
      </c>
      <c r="J2694" s="1091"/>
      <c r="K2694" s="393">
        <f t="shared" si="60"/>
        <v>245.99191950536758</v>
      </c>
      <c r="L2694" s="47" t="s">
        <v>35</v>
      </c>
      <c r="M2694" s="25"/>
      <c r="T2694" s="18"/>
      <c r="U2694" s="18"/>
      <c r="V2694" s="18"/>
      <c r="W2694" s="18"/>
      <c r="X2694" s="18"/>
    </row>
    <row r="2695" spans="1:25" ht="30" customHeight="1" x14ac:dyDescent="0.45">
      <c r="A2695" s="47">
        <v>71116</v>
      </c>
      <c r="B2695" s="1008" t="s">
        <v>1554</v>
      </c>
      <c r="C2695" s="1009"/>
      <c r="D2695" s="1010"/>
      <c r="E2695" s="394">
        <v>1950</v>
      </c>
      <c r="F2695" s="221">
        <v>264.79000000000002</v>
      </c>
      <c r="G2695" s="370"/>
      <c r="H2695" s="167"/>
      <c r="I2695" s="1090">
        <f>+I2689</f>
        <v>0.93771935922451721</v>
      </c>
      <c r="J2695" s="1091"/>
      <c r="K2695" s="393">
        <f t="shared" si="60"/>
        <v>248.29870912905994</v>
      </c>
      <c r="L2695" s="47" t="s">
        <v>35</v>
      </c>
      <c r="M2695" s="25"/>
      <c r="S2695" s="41"/>
      <c r="Y2695" s="18"/>
    </row>
    <row r="2696" spans="1:25" ht="30" customHeight="1" thickBot="1" x14ac:dyDescent="0.5">
      <c r="A2696" s="47"/>
      <c r="B2696" s="197"/>
      <c r="C2696" s="198"/>
      <c r="D2696" s="199" t="s">
        <v>1555</v>
      </c>
      <c r="E2696" s="293">
        <f>AVERAGE(E2689:E2695)</f>
        <v>2305.7142857142858</v>
      </c>
      <c r="F2696" s="294"/>
      <c r="G2696" s="294"/>
      <c r="H2696" s="295"/>
      <c r="I2696" s="58" t="s">
        <v>56</v>
      </c>
      <c r="J2696" s="85" t="s">
        <v>39</v>
      </c>
      <c r="K2696" s="216">
        <f>AVERAGE(K2689:K2695)</f>
        <v>274.0725955168881</v>
      </c>
      <c r="L2696" s="47" t="s">
        <v>35</v>
      </c>
      <c r="M2696" s="25"/>
      <c r="S2696" s="41"/>
    </row>
    <row r="2697" spans="1:25" ht="30" customHeight="1" thickBot="1" x14ac:dyDescent="0.5">
      <c r="A2697" s="999"/>
      <c r="B2697" s="1000"/>
      <c r="C2697" s="1000"/>
      <c r="D2697" s="1000"/>
      <c r="E2697" s="1000"/>
      <c r="F2697" s="1000"/>
      <c r="G2697" s="1000"/>
      <c r="H2697" s="1000"/>
      <c r="I2697" s="1000"/>
      <c r="J2697" s="1000"/>
      <c r="K2697" s="1000"/>
      <c r="L2697" s="1001"/>
      <c r="M2697" s="25"/>
      <c r="O2697" s="5"/>
      <c r="P2697" s="18"/>
      <c r="Q2697" s="18"/>
      <c r="R2697" s="18"/>
      <c r="S2697" s="18"/>
    </row>
    <row r="2698" spans="1:25" s="18" customFormat="1" ht="30" customHeight="1" x14ac:dyDescent="0.45">
      <c r="A2698" s="9" t="s">
        <v>4</v>
      </c>
      <c r="B2698" s="10">
        <v>7113</v>
      </c>
      <c r="C2698" s="983" t="s">
        <v>1556</v>
      </c>
      <c r="D2698" s="984"/>
      <c r="E2698" s="13" t="s">
        <v>7</v>
      </c>
      <c r="F2698" s="14" t="s">
        <v>35</v>
      </c>
      <c r="G2698" s="161" t="s">
        <v>6</v>
      </c>
      <c r="H2698" s="300">
        <v>140404.03571428501</v>
      </c>
      <c r="I2698" s="13" t="s">
        <v>9</v>
      </c>
      <c r="J2698" s="985" t="s">
        <v>266</v>
      </c>
      <c r="K2698" s="985"/>
      <c r="L2698" s="986"/>
      <c r="M2698" s="25"/>
      <c r="N2698" s="229"/>
      <c r="O2698" s="3"/>
      <c r="P2698" s="2"/>
      <c r="Q2698" s="2"/>
      <c r="R2698" s="2"/>
      <c r="S2698" s="2"/>
      <c r="T2698" s="2"/>
      <c r="U2698" s="2"/>
      <c r="V2698" s="2"/>
      <c r="W2698" s="2"/>
      <c r="X2698" s="2"/>
      <c r="Y2698" s="2"/>
    </row>
    <row r="2699" spans="1:25" ht="30" customHeight="1" x14ac:dyDescent="0.45">
      <c r="A2699" s="19"/>
      <c r="B2699" s="1005" t="s">
        <v>12</v>
      </c>
      <c r="C2699" s="1005"/>
      <c r="D2699" s="1005"/>
      <c r="E2699" s="19" t="s">
        <v>267</v>
      </c>
      <c r="F2699" s="19" t="s">
        <v>13</v>
      </c>
      <c r="G2699" s="1068"/>
      <c r="H2699" s="1069"/>
      <c r="I2699" s="1140" t="s">
        <v>60</v>
      </c>
      <c r="J2699" s="1141"/>
      <c r="K2699" s="992" t="s">
        <v>17</v>
      </c>
      <c r="L2699" s="993"/>
      <c r="M2699" s="25"/>
    </row>
    <row r="2700" spans="1:25" ht="30" customHeight="1" x14ac:dyDescent="0.45">
      <c r="A2700" s="38" t="s">
        <v>268</v>
      </c>
      <c r="B2700" s="994" t="s">
        <v>1557</v>
      </c>
      <c r="C2700" s="994"/>
      <c r="D2700" s="994"/>
      <c r="E2700" s="53">
        <v>210000</v>
      </c>
      <c r="F2700" s="145">
        <v>214</v>
      </c>
      <c r="G2700" s="1261"/>
      <c r="H2700" s="1262"/>
      <c r="I2700" s="1119" t="s">
        <v>270</v>
      </c>
      <c r="J2700" s="1120"/>
      <c r="K2700" s="419">
        <f>F2700</f>
        <v>214</v>
      </c>
      <c r="L2700" s="38" t="s">
        <v>35</v>
      </c>
      <c r="M2700" s="25"/>
      <c r="O2700" s="2"/>
      <c r="P2700" s="27"/>
      <c r="Q2700" s="26"/>
      <c r="R2700" s="28"/>
    </row>
    <row r="2701" spans="1:25" ht="30" customHeight="1" thickBot="1" x14ac:dyDescent="0.5">
      <c r="A2701" s="47"/>
      <c r="B2701" s="1092"/>
      <c r="C2701" s="1092"/>
      <c r="D2701" s="1092"/>
      <c r="E2701" s="180"/>
      <c r="F2701" s="181"/>
      <c r="G2701" s="181"/>
      <c r="H2701" s="182"/>
      <c r="I2701" s="58"/>
      <c r="J2701" s="85" t="s">
        <v>39</v>
      </c>
      <c r="K2701" s="216">
        <f>+K2700</f>
        <v>214</v>
      </c>
      <c r="L2701" s="47" t="s">
        <v>35</v>
      </c>
      <c r="M2701" s="25"/>
      <c r="O2701" s="2"/>
      <c r="P2701" s="27"/>
      <c r="Q2701" s="26"/>
      <c r="R2701" s="28"/>
    </row>
    <row r="2702" spans="1:25" ht="30" customHeight="1" thickBot="1" x14ac:dyDescent="0.5">
      <c r="A2702" s="999"/>
      <c r="B2702" s="1000"/>
      <c r="C2702" s="1000"/>
      <c r="D2702" s="1000"/>
      <c r="E2702" s="1000"/>
      <c r="F2702" s="1000"/>
      <c r="G2702" s="1000"/>
      <c r="H2702" s="1000"/>
      <c r="I2702" s="1000"/>
      <c r="J2702" s="1000"/>
      <c r="K2702" s="1000"/>
      <c r="L2702" s="1001"/>
      <c r="M2702" s="25"/>
      <c r="O2702" s="2"/>
      <c r="P2702" s="27"/>
      <c r="Q2702" s="26"/>
      <c r="R2702" s="28"/>
    </row>
    <row r="2703" spans="1:25" ht="30" customHeight="1" x14ac:dyDescent="0.45">
      <c r="A2703" s="9" t="s">
        <v>4</v>
      </c>
      <c r="B2703" s="10">
        <v>7130</v>
      </c>
      <c r="C2703" s="983" t="s">
        <v>1558</v>
      </c>
      <c r="D2703" s="984"/>
      <c r="E2703" s="13" t="s">
        <v>7</v>
      </c>
      <c r="F2703" s="14" t="s">
        <v>8</v>
      </c>
      <c r="G2703" s="161" t="s">
        <v>148</v>
      </c>
      <c r="H2703" s="300">
        <v>356</v>
      </c>
      <c r="I2703" s="13" t="s">
        <v>9</v>
      </c>
      <c r="J2703" s="985" t="s">
        <v>292</v>
      </c>
      <c r="K2703" s="985"/>
      <c r="L2703" s="986"/>
      <c r="M2703" s="25"/>
      <c r="N2703" s="229"/>
      <c r="O2703" s="2"/>
      <c r="P2703" s="27"/>
      <c r="Q2703" s="26"/>
      <c r="R2703" s="28"/>
    </row>
    <row r="2704" spans="1:25" ht="30" customHeight="1" x14ac:dyDescent="0.45">
      <c r="A2704" s="85" t="s">
        <v>277</v>
      </c>
      <c r="B2704" s="987" t="s">
        <v>293</v>
      </c>
      <c r="C2704" s="988"/>
      <c r="D2704" s="989"/>
      <c r="E2704" s="220" t="s">
        <v>13</v>
      </c>
      <c r="F2704" s="220" t="s">
        <v>14</v>
      </c>
      <c r="G2704" s="990" t="s">
        <v>15</v>
      </c>
      <c r="H2704" s="991"/>
      <c r="I2704" s="19" t="s">
        <v>278</v>
      </c>
      <c r="J2704" s="19" t="s">
        <v>1559</v>
      </c>
      <c r="K2704" s="992" t="s">
        <v>17</v>
      </c>
      <c r="L2704" s="993"/>
      <c r="M2704" s="25"/>
      <c r="O2704" s="2"/>
      <c r="P2704" s="27"/>
      <c r="Q2704" s="26"/>
      <c r="R2704" s="28"/>
    </row>
    <row r="2705" spans="1:18" ht="30" customHeight="1" x14ac:dyDescent="0.45">
      <c r="A2705" s="47" t="s">
        <v>1560</v>
      </c>
      <c r="B2705" s="1018" t="s">
        <v>1561</v>
      </c>
      <c r="C2705" s="1019"/>
      <c r="D2705" s="1020"/>
      <c r="E2705" s="221">
        <v>12200</v>
      </c>
      <c r="F2705" s="56" t="s">
        <v>1562</v>
      </c>
      <c r="G2705" s="660">
        <f>3200/9</f>
        <v>355.55555555555554</v>
      </c>
      <c r="H2705" s="349" t="s">
        <v>1563</v>
      </c>
      <c r="I2705" s="365">
        <v>1.17</v>
      </c>
      <c r="J2705" s="365">
        <v>1.1000000000000001</v>
      </c>
      <c r="K2705" s="221">
        <f>+E2705/G2705*I2705*J2705</f>
        <v>44.160187499999999</v>
      </c>
      <c r="L2705" s="47" t="s">
        <v>8</v>
      </c>
      <c r="M2705" s="25"/>
      <c r="O2705" s="2"/>
      <c r="P2705" s="27"/>
      <c r="Q2705" s="26"/>
      <c r="R2705" s="28"/>
    </row>
    <row r="2706" spans="1:18" ht="30" customHeight="1" x14ac:dyDescent="0.45">
      <c r="A2706" s="47"/>
      <c r="B2706" s="1092" t="s">
        <v>1564</v>
      </c>
      <c r="C2706" s="1092"/>
      <c r="D2706" s="1092"/>
      <c r="E2706" s="221"/>
      <c r="F2706" s="47"/>
      <c r="G2706" s="47"/>
      <c r="H2706" s="47"/>
      <c r="I2706" s="47"/>
      <c r="J2706" s="47"/>
      <c r="K2706" s="221"/>
      <c r="L2706" s="47"/>
      <c r="M2706" s="25"/>
      <c r="N2706" s="186"/>
      <c r="O2706" s="2"/>
      <c r="P2706" s="27"/>
      <c r="Q2706" s="26"/>
      <c r="R2706" s="28"/>
    </row>
    <row r="2707" spans="1:18" ht="30" customHeight="1" x14ac:dyDescent="0.45">
      <c r="A2707" s="47"/>
      <c r="B2707" s="224"/>
      <c r="C2707" s="224"/>
      <c r="D2707" s="224"/>
      <c r="E2707" s="221"/>
      <c r="F2707" s="1011" t="s">
        <v>285</v>
      </c>
      <c r="G2707" s="1013" t="s">
        <v>286</v>
      </c>
      <c r="H2707" s="1013"/>
      <c r="I2707" s="1013"/>
      <c r="J2707" s="1013"/>
      <c r="K2707" s="278">
        <v>1.06</v>
      </c>
      <c r="L2707" s="47"/>
      <c r="M2707" s="25"/>
      <c r="O2707" s="2"/>
      <c r="P2707" s="27"/>
      <c r="Q2707" s="26"/>
      <c r="R2707" s="28"/>
    </row>
    <row r="2708" spans="1:18" ht="30" customHeight="1" x14ac:dyDescent="0.45">
      <c r="A2708" s="47"/>
      <c r="B2708" s="224"/>
      <c r="C2708" s="224"/>
      <c r="D2708" s="224"/>
      <c r="E2708" s="221"/>
      <c r="F2708" s="1012"/>
      <c r="G2708" s="1014" t="s">
        <v>298</v>
      </c>
      <c r="H2708" s="1014"/>
      <c r="I2708" s="1014"/>
      <c r="J2708" s="1014"/>
      <c r="K2708" s="278">
        <v>1.06</v>
      </c>
      <c r="L2708" s="47"/>
      <c r="M2708" s="25"/>
      <c r="N2708" s="229"/>
      <c r="O2708" s="2"/>
      <c r="P2708" s="27"/>
      <c r="Q2708" s="26"/>
      <c r="R2708" s="28"/>
    </row>
    <row r="2709" spans="1:18" ht="30" customHeight="1" x14ac:dyDescent="0.45">
      <c r="A2709" s="642"/>
      <c r="B2709" s="47"/>
      <c r="C2709" s="58"/>
      <c r="D2709" s="58"/>
      <c r="E2709" s="221"/>
      <c r="F2709" s="47"/>
      <c r="G2709" s="47"/>
      <c r="H2709" s="47"/>
      <c r="I2709" s="47"/>
      <c r="J2709" s="47" t="s">
        <v>39</v>
      </c>
      <c r="K2709" s="216">
        <f>+K2705*K2707/K2708</f>
        <v>44.160187499999999</v>
      </c>
      <c r="L2709" s="47" t="s">
        <v>8</v>
      </c>
      <c r="M2709" s="25"/>
      <c r="O2709" s="2"/>
      <c r="P2709" s="27"/>
      <c r="Q2709" s="26"/>
      <c r="R2709" s="28"/>
    </row>
    <row r="2710" spans="1:18" ht="30" customHeight="1" x14ac:dyDescent="0.45">
      <c r="A2710" s="47"/>
      <c r="B2710" s="47"/>
      <c r="C2710" s="58"/>
      <c r="D2710" s="58"/>
      <c r="E2710" s="58"/>
      <c r="F2710" s="58"/>
      <c r="G2710" s="1021" t="s">
        <v>288</v>
      </c>
      <c r="H2710" s="1022"/>
      <c r="I2710" s="1023"/>
      <c r="J2710" s="213">
        <f>VLOOKUP(B2703,'[1]Mil Cost Premiums for PUCs'!$A$4:$R$278,18,FALSE)</f>
        <v>1.0209999999999999</v>
      </c>
      <c r="K2710" s="216">
        <f>+K2709*J2710</f>
        <v>45.087551437499997</v>
      </c>
      <c r="L2710" s="47" t="s">
        <v>8</v>
      </c>
      <c r="M2710" s="25"/>
      <c r="O2710" s="2"/>
      <c r="P2710" s="27"/>
      <c r="Q2710" s="26"/>
      <c r="R2710" s="28"/>
    </row>
    <row r="2711" spans="1:18" ht="30" customHeight="1" thickBot="1" x14ac:dyDescent="0.5">
      <c r="A2711" s="225"/>
      <c r="B2711" s="225"/>
      <c r="C2711" s="150"/>
      <c r="D2711" s="150"/>
      <c r="E2711" s="150"/>
      <c r="F2711" s="150"/>
      <c r="G2711" s="1025" t="s">
        <v>299</v>
      </c>
      <c r="H2711" s="1026"/>
      <c r="I2711" s="1027"/>
      <c r="J2711" s="226">
        <v>1.1214</v>
      </c>
      <c r="K2711" s="227">
        <f>+K2710*J2711</f>
        <v>50.561180182012492</v>
      </c>
      <c r="L2711" s="47" t="s">
        <v>8</v>
      </c>
      <c r="M2711" s="25"/>
    </row>
    <row r="2712" spans="1:18" ht="30" customHeight="1" thickBot="1" x14ac:dyDescent="0.5">
      <c r="A2712" s="999"/>
      <c r="B2712" s="1000"/>
      <c r="C2712" s="1000"/>
      <c r="D2712" s="1000"/>
      <c r="E2712" s="1000"/>
      <c r="F2712" s="1000"/>
      <c r="G2712" s="1000"/>
      <c r="H2712" s="1000"/>
      <c r="I2712" s="1000"/>
      <c r="J2712" s="1000"/>
      <c r="K2712" s="1000"/>
      <c r="L2712" s="1001"/>
      <c r="M2712" s="25"/>
      <c r="N2712" s="26"/>
      <c r="O2712" s="2"/>
      <c r="P2712" s="27"/>
      <c r="Q2712" s="26"/>
      <c r="R2712" s="28"/>
    </row>
    <row r="2713" spans="1:18" ht="30" customHeight="1" x14ac:dyDescent="0.45">
      <c r="A2713" s="9" t="s">
        <v>4</v>
      </c>
      <c r="B2713" s="10">
        <v>7141</v>
      </c>
      <c r="C2713" s="983" t="s">
        <v>1565</v>
      </c>
      <c r="D2713" s="984"/>
      <c r="E2713" s="94" t="s">
        <v>7</v>
      </c>
      <c r="F2713" s="95" t="s">
        <v>35</v>
      </c>
      <c r="G2713" s="11" t="s">
        <v>6</v>
      </c>
      <c r="H2713" s="661">
        <v>724</v>
      </c>
      <c r="I2713" s="13" t="s">
        <v>9</v>
      </c>
      <c r="J2713" s="985" t="s">
        <v>292</v>
      </c>
      <c r="K2713" s="985"/>
      <c r="L2713" s="986"/>
      <c r="M2713" s="25"/>
      <c r="N2713" s="26"/>
      <c r="O2713" s="2"/>
      <c r="P2713" s="27"/>
      <c r="Q2713" s="26"/>
      <c r="R2713" s="28"/>
    </row>
    <row r="2714" spans="1:18" ht="30" customHeight="1" x14ac:dyDescent="0.45">
      <c r="A2714" s="85" t="s">
        <v>277</v>
      </c>
      <c r="B2714" s="987" t="s">
        <v>293</v>
      </c>
      <c r="C2714" s="988"/>
      <c r="D2714" s="989"/>
      <c r="E2714" s="220" t="s">
        <v>13</v>
      </c>
      <c r="F2714" s="220" t="s">
        <v>14</v>
      </c>
      <c r="G2714" s="990" t="s">
        <v>15</v>
      </c>
      <c r="H2714" s="991"/>
      <c r="I2714" s="19" t="s">
        <v>278</v>
      </c>
      <c r="J2714" s="19"/>
      <c r="K2714" s="992" t="s">
        <v>17</v>
      </c>
      <c r="L2714" s="993"/>
      <c r="M2714" s="25"/>
      <c r="N2714" s="26"/>
      <c r="O2714" s="2"/>
      <c r="P2714" s="27"/>
      <c r="Q2714" s="26"/>
      <c r="R2714" s="28"/>
    </row>
    <row r="2715" spans="1:18" ht="30" customHeight="1" x14ac:dyDescent="0.45">
      <c r="A2715" s="642" t="s">
        <v>1566</v>
      </c>
      <c r="B2715" s="1018" t="s">
        <v>1567</v>
      </c>
      <c r="C2715" s="1019"/>
      <c r="D2715" s="1020"/>
      <c r="E2715" s="221">
        <v>37</v>
      </c>
      <c r="F2715" s="47" t="s">
        <v>35</v>
      </c>
      <c r="G2715" s="47"/>
      <c r="H2715" s="47"/>
      <c r="I2715" s="47">
        <v>1.21</v>
      </c>
      <c r="J2715" s="47"/>
      <c r="K2715" s="221">
        <f>+E2715*I2715</f>
        <v>44.769999999999996</v>
      </c>
      <c r="L2715" s="47" t="s">
        <v>35</v>
      </c>
      <c r="M2715" s="25"/>
      <c r="N2715" s="26"/>
      <c r="O2715" s="2"/>
      <c r="P2715" s="27"/>
      <c r="Q2715" s="26"/>
      <c r="R2715" s="28"/>
    </row>
    <row r="2716" spans="1:18" ht="30" customHeight="1" x14ac:dyDescent="0.45">
      <c r="A2716" s="47"/>
      <c r="B2716" s="224"/>
      <c r="C2716" s="224"/>
      <c r="D2716" s="224"/>
      <c r="E2716" s="221"/>
      <c r="F2716" s="1011" t="s">
        <v>285</v>
      </c>
      <c r="G2716" s="1013" t="s">
        <v>286</v>
      </c>
      <c r="H2716" s="1013"/>
      <c r="I2716" s="1013"/>
      <c r="J2716" s="1013"/>
      <c r="K2716" s="278">
        <v>1.06</v>
      </c>
      <c r="L2716" s="47"/>
      <c r="M2716" s="25"/>
      <c r="N2716" s="5"/>
      <c r="O2716" s="2"/>
      <c r="P2716" s="27"/>
      <c r="Q2716" s="26"/>
      <c r="R2716" s="28"/>
    </row>
    <row r="2717" spans="1:18" ht="30" customHeight="1" x14ac:dyDescent="0.45">
      <c r="A2717" s="47"/>
      <c r="B2717" s="224"/>
      <c r="C2717" s="224"/>
      <c r="D2717" s="224"/>
      <c r="E2717" s="221"/>
      <c r="F2717" s="1012"/>
      <c r="G2717" s="1014" t="s">
        <v>298</v>
      </c>
      <c r="H2717" s="1014"/>
      <c r="I2717" s="1014"/>
      <c r="J2717" s="1014"/>
      <c r="K2717" s="278">
        <v>1.06</v>
      </c>
      <c r="L2717" s="47"/>
      <c r="M2717" s="25"/>
      <c r="N2717" s="5"/>
      <c r="O2717" s="2"/>
      <c r="P2717" s="27"/>
      <c r="Q2717" s="26"/>
      <c r="R2717" s="28"/>
    </row>
    <row r="2718" spans="1:18" ht="30" customHeight="1" x14ac:dyDescent="0.45">
      <c r="A2718" s="47"/>
      <c r="B2718" s="47"/>
      <c r="C2718" s="58"/>
      <c r="D2718" s="58"/>
      <c r="E2718" s="58"/>
      <c r="F2718" s="58"/>
      <c r="G2718" s="58"/>
      <c r="H2718" s="58"/>
      <c r="I2718" s="58"/>
      <c r="J2718" s="47" t="s">
        <v>39</v>
      </c>
      <c r="K2718" s="216">
        <f>+K2715*K2716/K2717</f>
        <v>44.769999999999996</v>
      </c>
      <c r="L2718" s="47" t="s">
        <v>35</v>
      </c>
      <c r="M2718" s="25"/>
      <c r="N2718" s="26"/>
      <c r="O2718" s="2"/>
      <c r="P2718" s="27"/>
      <c r="Q2718" s="26"/>
      <c r="R2718" s="28"/>
    </row>
    <row r="2719" spans="1:18" ht="30" customHeight="1" x14ac:dyDescent="0.45">
      <c r="A2719" s="47"/>
      <c r="B2719" s="47"/>
      <c r="C2719" s="58"/>
      <c r="D2719" s="58"/>
      <c r="E2719" s="58"/>
      <c r="F2719" s="58"/>
      <c r="G2719" s="1021" t="s">
        <v>288</v>
      </c>
      <c r="H2719" s="1022"/>
      <c r="I2719" s="1023"/>
      <c r="J2719" s="213">
        <f>VLOOKUP(B2713,'[1]Mil Cost Premiums for PUCs'!$A$4:$R$278,18,FALSE)</f>
        <v>1.0905505199999999</v>
      </c>
      <c r="K2719" s="216">
        <f>+K2718*J2719</f>
        <v>48.823946780399986</v>
      </c>
      <c r="L2719" s="47" t="s">
        <v>35</v>
      </c>
      <c r="M2719" s="25"/>
      <c r="N2719" s="26"/>
      <c r="O2719" s="2"/>
      <c r="P2719" s="27"/>
      <c r="Q2719" s="26"/>
      <c r="R2719" s="28"/>
    </row>
    <row r="2720" spans="1:18" ht="30" customHeight="1" thickBot="1" x14ac:dyDescent="0.5">
      <c r="A2720" s="225"/>
      <c r="B2720" s="225"/>
      <c r="C2720" s="150"/>
      <c r="D2720" s="150"/>
      <c r="E2720" s="150"/>
      <c r="F2720" s="150"/>
      <c r="G2720" s="1025" t="s">
        <v>299</v>
      </c>
      <c r="H2720" s="1026"/>
      <c r="I2720" s="1027"/>
      <c r="J2720" s="226">
        <v>1.1214</v>
      </c>
      <c r="K2720" s="227">
        <f>+K2719*J2720</f>
        <v>54.751173919540541</v>
      </c>
      <c r="L2720" s="47" t="s">
        <v>35</v>
      </c>
      <c r="M2720" s="25"/>
    </row>
    <row r="2721" spans="1:25" ht="30" customHeight="1" thickBot="1" x14ac:dyDescent="0.5">
      <c r="A2721" s="999"/>
      <c r="B2721" s="1000"/>
      <c r="C2721" s="1000"/>
      <c r="D2721" s="1000"/>
      <c r="E2721" s="1000"/>
      <c r="F2721" s="1000"/>
      <c r="G2721" s="1000"/>
      <c r="H2721" s="1000"/>
      <c r="I2721" s="1000"/>
      <c r="J2721" s="1000"/>
      <c r="K2721" s="1000"/>
      <c r="L2721" s="1001"/>
      <c r="M2721" s="25"/>
      <c r="N2721" s="26"/>
      <c r="O2721" s="2"/>
      <c r="P2721" s="27"/>
      <c r="Q2721" s="26"/>
      <c r="R2721" s="28"/>
      <c r="T2721" s="41"/>
    </row>
    <row r="2722" spans="1:25" ht="30" customHeight="1" x14ac:dyDescent="0.45">
      <c r="A2722" s="9" t="s">
        <v>4</v>
      </c>
      <c r="B2722" s="10">
        <v>7142</v>
      </c>
      <c r="C2722" s="983" t="s">
        <v>1568</v>
      </c>
      <c r="D2722" s="984"/>
      <c r="E2722" s="13" t="s">
        <v>7</v>
      </c>
      <c r="F2722" s="14" t="s">
        <v>35</v>
      </c>
      <c r="G2722" s="11" t="s">
        <v>6</v>
      </c>
      <c r="H2722" s="155">
        <v>287</v>
      </c>
      <c r="I2722" s="13" t="s">
        <v>9</v>
      </c>
      <c r="J2722" s="985" t="s">
        <v>292</v>
      </c>
      <c r="K2722" s="985"/>
      <c r="L2722" s="986"/>
      <c r="M2722" s="25"/>
      <c r="N2722" s="26"/>
      <c r="O2722" s="2"/>
      <c r="P2722" s="27"/>
      <c r="Q2722" s="26"/>
      <c r="R2722" s="28"/>
      <c r="T2722" s="41"/>
    </row>
    <row r="2723" spans="1:25" ht="30" customHeight="1" x14ac:dyDescent="0.45">
      <c r="A2723" s="85" t="s">
        <v>277</v>
      </c>
      <c r="B2723" s="987" t="s">
        <v>293</v>
      </c>
      <c r="C2723" s="988"/>
      <c r="D2723" s="989"/>
      <c r="E2723" s="220" t="s">
        <v>13</v>
      </c>
      <c r="F2723" s="220" t="s">
        <v>14</v>
      </c>
      <c r="G2723" s="990" t="s">
        <v>15</v>
      </c>
      <c r="H2723" s="991"/>
      <c r="I2723" s="19" t="s">
        <v>278</v>
      </c>
      <c r="J2723" s="19"/>
      <c r="K2723" s="992" t="s">
        <v>17</v>
      </c>
      <c r="L2723" s="993"/>
      <c r="M2723" s="25"/>
      <c r="N2723" s="26"/>
      <c r="O2723" s="2"/>
      <c r="P2723" s="27"/>
      <c r="Q2723" s="26"/>
      <c r="R2723" s="28"/>
      <c r="T2723" s="18"/>
      <c r="U2723" s="18"/>
      <c r="V2723" s="18"/>
      <c r="W2723" s="18"/>
      <c r="X2723" s="18"/>
    </row>
    <row r="2724" spans="1:25" ht="30" customHeight="1" x14ac:dyDescent="0.45">
      <c r="A2724" s="47" t="s">
        <v>1569</v>
      </c>
      <c r="B2724" s="1008" t="s">
        <v>1570</v>
      </c>
      <c r="C2724" s="1009"/>
      <c r="D2724" s="1010"/>
      <c r="E2724" s="221">
        <f>+(13.95+25.25)/2</f>
        <v>19.600000000000001</v>
      </c>
      <c r="F2724" s="56" t="s">
        <v>35</v>
      </c>
      <c r="G2724" s="348"/>
      <c r="H2724" s="349"/>
      <c r="I2724" s="47">
        <v>1.22</v>
      </c>
      <c r="J2724" s="47"/>
      <c r="K2724" s="221">
        <f>+E2724*I2724</f>
        <v>23.912000000000003</v>
      </c>
      <c r="L2724" s="47" t="s">
        <v>35</v>
      </c>
      <c r="M2724" s="25"/>
      <c r="N2724" s="26"/>
      <c r="S2724" s="41"/>
      <c r="Y2724" s="18"/>
    </row>
    <row r="2725" spans="1:25" ht="30" customHeight="1" x14ac:dyDescent="0.45">
      <c r="A2725" s="47" t="s">
        <v>1569</v>
      </c>
      <c r="B2725" s="1008" t="s">
        <v>1571</v>
      </c>
      <c r="C2725" s="1009"/>
      <c r="D2725" s="1009"/>
      <c r="E2725" s="221">
        <v>4.1500000000000004</v>
      </c>
      <c r="F2725" s="222" t="s">
        <v>35</v>
      </c>
      <c r="G2725" s="348"/>
      <c r="H2725" s="349"/>
      <c r="I2725" s="47">
        <v>1.22</v>
      </c>
      <c r="J2725" s="47"/>
      <c r="K2725" s="221">
        <f>+E2725*I2725</f>
        <v>5.0630000000000006</v>
      </c>
      <c r="L2725" s="47" t="s">
        <v>35</v>
      </c>
      <c r="M2725" s="25"/>
      <c r="N2725" s="26"/>
      <c r="S2725" s="41"/>
    </row>
    <row r="2726" spans="1:25" ht="30" customHeight="1" x14ac:dyDescent="0.45">
      <c r="A2726" s="642"/>
      <c r="B2726" s="1030"/>
      <c r="C2726" s="1030"/>
      <c r="D2726" s="1030"/>
      <c r="E2726" s="221"/>
      <c r="F2726" s="47"/>
      <c r="G2726" s="47"/>
      <c r="H2726" s="47"/>
      <c r="I2726" s="47"/>
      <c r="J2726" s="47" t="s">
        <v>38</v>
      </c>
      <c r="K2726" s="221">
        <f>SUM(K2724:K2725)</f>
        <v>28.975000000000001</v>
      </c>
      <c r="L2726" s="47" t="s">
        <v>35</v>
      </c>
      <c r="M2726" s="25"/>
      <c r="N2726" s="18"/>
      <c r="O2726" s="5"/>
      <c r="P2726" s="18"/>
      <c r="Q2726" s="18"/>
      <c r="R2726" s="18"/>
      <c r="S2726" s="18"/>
      <c r="T2726" s="41"/>
    </row>
    <row r="2727" spans="1:25" ht="30" customHeight="1" x14ac:dyDescent="0.45">
      <c r="A2727" s="47"/>
      <c r="B2727" s="224"/>
      <c r="C2727" s="224"/>
      <c r="D2727" s="224"/>
      <c r="E2727" s="221"/>
      <c r="F2727" s="1011" t="s">
        <v>285</v>
      </c>
      <c r="G2727" s="1013" t="s">
        <v>286</v>
      </c>
      <c r="H2727" s="1013"/>
      <c r="I2727" s="1013"/>
      <c r="J2727" s="1013"/>
      <c r="K2727" s="278">
        <v>1.06</v>
      </c>
      <c r="L2727" s="47"/>
      <c r="N2727" s="26"/>
    </row>
    <row r="2728" spans="1:25" s="18" customFormat="1" ht="30" customHeight="1" x14ac:dyDescent="0.45">
      <c r="A2728" s="47"/>
      <c r="B2728" s="224"/>
      <c r="C2728" s="224"/>
      <c r="D2728" s="224"/>
      <c r="E2728" s="221"/>
      <c r="F2728" s="1012"/>
      <c r="G2728" s="1014" t="s">
        <v>298</v>
      </c>
      <c r="H2728" s="1014"/>
      <c r="I2728" s="1014"/>
      <c r="J2728" s="1014"/>
      <c r="K2728" s="278">
        <v>1.06</v>
      </c>
      <c r="L2728" s="47"/>
      <c r="M2728" s="25"/>
      <c r="N2728" s="26"/>
      <c r="O2728" s="2"/>
      <c r="P2728" s="27"/>
      <c r="Q2728" s="26"/>
      <c r="R2728" s="28"/>
      <c r="S2728" s="2"/>
      <c r="T2728" s="41"/>
      <c r="U2728" s="2"/>
      <c r="V2728" s="2"/>
      <c r="W2728" s="2"/>
      <c r="X2728" s="2"/>
      <c r="Y2728" s="2"/>
    </row>
    <row r="2729" spans="1:25" ht="30" customHeight="1" x14ac:dyDescent="0.45">
      <c r="A2729" s="47"/>
      <c r="B2729" s="47"/>
      <c r="C2729" s="58"/>
      <c r="D2729" s="58"/>
      <c r="E2729" s="58"/>
      <c r="F2729" s="58"/>
      <c r="G2729" s="58"/>
      <c r="H2729" s="58"/>
      <c r="I2729" s="58"/>
      <c r="J2729" s="58" t="s">
        <v>39</v>
      </c>
      <c r="K2729" s="216">
        <f>+K2726*K2727/K2728</f>
        <v>28.975000000000001</v>
      </c>
      <c r="L2729" s="47" t="s">
        <v>35</v>
      </c>
      <c r="M2729" s="25"/>
      <c r="T2729" s="18"/>
      <c r="U2729" s="18"/>
      <c r="V2729" s="18"/>
      <c r="W2729" s="18"/>
      <c r="X2729" s="18"/>
    </row>
    <row r="2730" spans="1:25" ht="30" customHeight="1" x14ac:dyDescent="0.45">
      <c r="A2730" s="47"/>
      <c r="B2730" s="47"/>
      <c r="C2730" s="58"/>
      <c r="D2730" s="58"/>
      <c r="E2730" s="58"/>
      <c r="F2730" s="58"/>
      <c r="G2730" s="1021" t="s">
        <v>288</v>
      </c>
      <c r="H2730" s="1022"/>
      <c r="I2730" s="1023"/>
      <c r="J2730" s="213">
        <f>VLOOKUP(B2722,'[1]Mil Cost Premiums for PUCs'!$A$4:$R$278,18,FALSE)</f>
        <v>1.0209999999999999</v>
      </c>
      <c r="K2730" s="216">
        <f>+K2729*J2730</f>
        <v>29.583475</v>
      </c>
      <c r="L2730" s="47" t="s">
        <v>35</v>
      </c>
      <c r="M2730" s="25"/>
      <c r="N2730" s="26"/>
      <c r="S2730" s="41"/>
      <c r="T2730" s="18"/>
      <c r="U2730" s="18"/>
      <c r="V2730" s="18"/>
      <c r="W2730" s="18"/>
      <c r="X2730" s="18"/>
      <c r="Y2730" s="18"/>
    </row>
    <row r="2731" spans="1:25" ht="30" customHeight="1" thickBot="1" x14ac:dyDescent="0.5">
      <c r="A2731" s="225"/>
      <c r="B2731" s="225"/>
      <c r="C2731" s="150"/>
      <c r="D2731" s="150"/>
      <c r="E2731" s="150"/>
      <c r="F2731" s="150"/>
      <c r="G2731" s="1025" t="s">
        <v>299</v>
      </c>
      <c r="H2731" s="1026"/>
      <c r="I2731" s="1027"/>
      <c r="J2731" s="226">
        <v>1.1214</v>
      </c>
      <c r="K2731" s="227">
        <f>+K2730*J2731</f>
        <v>33.174908864999999</v>
      </c>
      <c r="L2731" s="47" t="s">
        <v>35</v>
      </c>
      <c r="M2731" s="25"/>
    </row>
    <row r="2732" spans="1:25" ht="30" customHeight="1" thickBot="1" x14ac:dyDescent="0.5">
      <c r="A2732" s="999"/>
      <c r="B2732" s="1000"/>
      <c r="C2732" s="1000"/>
      <c r="D2732" s="1000"/>
      <c r="E2732" s="1000"/>
      <c r="F2732" s="1000"/>
      <c r="G2732" s="1000"/>
      <c r="H2732" s="1000"/>
      <c r="I2732" s="1000"/>
      <c r="J2732" s="1000"/>
      <c r="K2732" s="1000"/>
      <c r="L2732" s="1001"/>
      <c r="M2732" s="25"/>
      <c r="N2732" s="26"/>
      <c r="S2732" s="41"/>
      <c r="T2732" s="18"/>
      <c r="U2732" s="18"/>
      <c r="V2732" s="18"/>
      <c r="W2732" s="18"/>
      <c r="X2732" s="18"/>
      <c r="Y2732" s="18"/>
    </row>
    <row r="2733" spans="1:25" ht="30" customHeight="1" x14ac:dyDescent="0.45">
      <c r="A2733" s="9" t="s">
        <v>4</v>
      </c>
      <c r="B2733" s="10">
        <v>7143</v>
      </c>
      <c r="C2733" s="1138" t="s">
        <v>1572</v>
      </c>
      <c r="D2733" s="1139"/>
      <c r="E2733" s="13" t="s">
        <v>7</v>
      </c>
      <c r="F2733" s="14" t="s">
        <v>35</v>
      </c>
      <c r="G2733" s="11" t="s">
        <v>6</v>
      </c>
      <c r="H2733" s="155">
        <v>399</v>
      </c>
      <c r="I2733" s="13" t="s">
        <v>9</v>
      </c>
      <c r="J2733" s="985" t="s">
        <v>575</v>
      </c>
      <c r="K2733" s="985"/>
      <c r="L2733" s="986"/>
      <c r="M2733" s="25"/>
      <c r="N2733" s="26"/>
      <c r="O2733" s="5"/>
      <c r="P2733" s="18"/>
      <c r="Q2733" s="18"/>
      <c r="R2733" s="18"/>
      <c r="S2733" s="18"/>
      <c r="Y2733" s="18"/>
    </row>
    <row r="2734" spans="1:25" s="18" customFormat="1" ht="30" customHeight="1" x14ac:dyDescent="0.45">
      <c r="A2734" s="85" t="s">
        <v>277</v>
      </c>
      <c r="B2734" s="987" t="s">
        <v>293</v>
      </c>
      <c r="C2734" s="988"/>
      <c r="D2734" s="989"/>
      <c r="E2734" s="220" t="s">
        <v>13</v>
      </c>
      <c r="F2734" s="220" t="s">
        <v>14</v>
      </c>
      <c r="G2734" s="990" t="s">
        <v>15</v>
      </c>
      <c r="H2734" s="991"/>
      <c r="I2734" s="19" t="s">
        <v>278</v>
      </c>
      <c r="J2734" s="19"/>
      <c r="K2734" s="992" t="s">
        <v>17</v>
      </c>
      <c r="L2734" s="993"/>
      <c r="M2734" s="25"/>
      <c r="N2734" s="26"/>
      <c r="O2734" s="5"/>
      <c r="T2734" s="2"/>
      <c r="U2734" s="2"/>
      <c r="V2734" s="2"/>
      <c r="W2734" s="2"/>
      <c r="X2734" s="2"/>
      <c r="Y2734" s="2"/>
    </row>
    <row r="2735" spans="1:25" s="18" customFormat="1" ht="30" customHeight="1" x14ac:dyDescent="0.45">
      <c r="A2735" s="47" t="s">
        <v>1573</v>
      </c>
      <c r="B2735" s="1008" t="s">
        <v>1574</v>
      </c>
      <c r="C2735" s="1009"/>
      <c r="D2735" s="1010"/>
      <c r="E2735" s="221">
        <v>27.5</v>
      </c>
      <c r="F2735" s="56" t="s">
        <v>35</v>
      </c>
      <c r="G2735" s="348"/>
      <c r="H2735" s="349"/>
      <c r="I2735" s="365">
        <v>1.06</v>
      </c>
      <c r="J2735" s="47"/>
      <c r="K2735" s="221">
        <f>+E2735*I2735</f>
        <v>29.150000000000002</v>
      </c>
      <c r="L2735" s="47" t="s">
        <v>35</v>
      </c>
      <c r="M2735" s="25"/>
      <c r="O2735" s="5"/>
      <c r="T2735" s="2"/>
      <c r="U2735" s="2"/>
      <c r="V2735" s="2"/>
      <c r="W2735" s="2"/>
      <c r="X2735" s="2"/>
      <c r="Y2735" s="2"/>
    </row>
    <row r="2736" spans="1:25" s="18" customFormat="1" ht="30" customHeight="1" x14ac:dyDescent="0.45">
      <c r="A2736" s="47" t="s">
        <v>358</v>
      </c>
      <c r="B2736" s="1030" t="s">
        <v>1575</v>
      </c>
      <c r="C2736" s="1030"/>
      <c r="D2736" s="1030"/>
      <c r="E2736" s="221">
        <v>4.1500000000000004</v>
      </c>
      <c r="F2736" s="47" t="s">
        <v>35</v>
      </c>
      <c r="G2736" s="47"/>
      <c r="H2736" s="47"/>
      <c r="I2736" s="47">
        <v>1.04</v>
      </c>
      <c r="J2736" s="47"/>
      <c r="K2736" s="221">
        <f>+E2736*I2736</f>
        <v>4.3160000000000007</v>
      </c>
      <c r="L2736" s="47" t="s">
        <v>35</v>
      </c>
      <c r="M2736" s="25"/>
      <c r="N2736" s="2"/>
      <c r="O2736" s="3"/>
      <c r="P2736" s="2"/>
      <c r="Q2736" s="2"/>
      <c r="R2736" s="2"/>
      <c r="S2736" s="2"/>
      <c r="T2736" s="2"/>
      <c r="U2736" s="2"/>
      <c r="V2736" s="2"/>
      <c r="W2736" s="2"/>
      <c r="X2736" s="2"/>
      <c r="Y2736" s="2"/>
    </row>
    <row r="2737" spans="1:18" ht="30" customHeight="1" x14ac:dyDescent="0.45">
      <c r="A2737" s="642"/>
      <c r="B2737" s="1030"/>
      <c r="C2737" s="1030"/>
      <c r="D2737" s="1030"/>
      <c r="E2737" s="221"/>
      <c r="F2737" s="47"/>
      <c r="G2737" s="47"/>
      <c r="H2737" s="47"/>
      <c r="I2737" s="47"/>
      <c r="J2737" s="47" t="s">
        <v>38</v>
      </c>
      <c r="K2737" s="221">
        <f>SUM(K2735:K2736)</f>
        <v>33.466000000000001</v>
      </c>
      <c r="L2737" s="47" t="s">
        <v>35</v>
      </c>
      <c r="M2737" s="25"/>
    </row>
    <row r="2738" spans="1:18" ht="30" customHeight="1" x14ac:dyDescent="0.45">
      <c r="A2738" s="47"/>
      <c r="B2738" s="224"/>
      <c r="C2738" s="224"/>
      <c r="D2738" s="224"/>
      <c r="E2738" s="221"/>
      <c r="F2738" s="1011" t="s">
        <v>285</v>
      </c>
      <c r="G2738" s="1013" t="s">
        <v>286</v>
      </c>
      <c r="H2738" s="1013"/>
      <c r="I2738" s="1013"/>
      <c r="J2738" s="1013"/>
      <c r="K2738" s="278">
        <v>1.07</v>
      </c>
      <c r="L2738" s="47"/>
      <c r="M2738" s="25"/>
      <c r="O2738" s="2"/>
      <c r="P2738" s="27"/>
      <c r="Q2738" s="26"/>
      <c r="R2738" s="28"/>
    </row>
    <row r="2739" spans="1:18" ht="30" customHeight="1" x14ac:dyDescent="0.45">
      <c r="A2739" s="47"/>
      <c r="B2739" s="224"/>
      <c r="C2739" s="224"/>
      <c r="D2739" s="224"/>
      <c r="E2739" s="221"/>
      <c r="F2739" s="1012"/>
      <c r="G2739" s="1014" t="s">
        <v>580</v>
      </c>
      <c r="H2739" s="1014"/>
      <c r="I2739" s="1014"/>
      <c r="J2739" s="1014"/>
      <c r="K2739" s="278">
        <v>1.08</v>
      </c>
      <c r="L2739" s="47"/>
      <c r="N2739" s="229"/>
      <c r="O2739" s="2"/>
      <c r="P2739" s="27"/>
      <c r="Q2739" s="26"/>
      <c r="R2739" s="28"/>
    </row>
    <row r="2740" spans="1:18" ht="30" customHeight="1" x14ac:dyDescent="0.45">
      <c r="A2740" s="47"/>
      <c r="B2740" s="47"/>
      <c r="C2740" s="58"/>
      <c r="D2740" s="58"/>
      <c r="E2740" s="58"/>
      <c r="F2740" s="58"/>
      <c r="G2740" s="58"/>
      <c r="H2740" s="58"/>
      <c r="I2740" s="58"/>
      <c r="J2740" s="58" t="s">
        <v>39</v>
      </c>
      <c r="K2740" s="216">
        <f>+K2737*K2738/K2739</f>
        <v>33.156129629629632</v>
      </c>
      <c r="L2740" s="47" t="s">
        <v>35</v>
      </c>
      <c r="M2740" s="25"/>
      <c r="N2740" s="26"/>
      <c r="O2740" s="2"/>
      <c r="P2740" s="27"/>
      <c r="Q2740" s="26"/>
      <c r="R2740" s="28"/>
    </row>
    <row r="2741" spans="1:18" ht="30" customHeight="1" x14ac:dyDescent="0.45">
      <c r="A2741" s="47"/>
      <c r="B2741" s="47"/>
      <c r="C2741" s="58"/>
      <c r="D2741" s="58"/>
      <c r="E2741" s="58"/>
      <c r="F2741" s="58"/>
      <c r="G2741" s="1021" t="s">
        <v>288</v>
      </c>
      <c r="H2741" s="1022"/>
      <c r="I2741" s="1023"/>
      <c r="J2741" s="213">
        <f>VLOOKUP(B2733,'[1]Mil Cost Premiums for PUCs'!$A$4:$R$278,18,FALSE)</f>
        <v>1.0209999999999999</v>
      </c>
      <c r="K2741" s="216">
        <f>+K2740*J2741</f>
        <v>33.852408351851849</v>
      </c>
      <c r="L2741" s="47" t="s">
        <v>35</v>
      </c>
      <c r="M2741" s="25"/>
      <c r="O2741" s="2"/>
      <c r="P2741" s="27"/>
      <c r="Q2741" s="26"/>
      <c r="R2741" s="28"/>
    </row>
    <row r="2742" spans="1:18" ht="30" customHeight="1" x14ac:dyDescent="0.45">
      <c r="A2742" s="531"/>
      <c r="B2742" s="531"/>
      <c r="C2742" s="538"/>
      <c r="D2742" s="538"/>
      <c r="E2742" s="552"/>
      <c r="F2742" s="1024" t="s">
        <v>581</v>
      </c>
      <c r="G2742" s="1024"/>
      <c r="H2742" s="1024"/>
      <c r="I2742" s="1024"/>
      <c r="J2742" s="543">
        <v>1.0833999999999999</v>
      </c>
      <c r="K2742" s="363">
        <f>K2741*J2742</f>
        <v>36.675699208396288</v>
      </c>
      <c r="L2742" s="47" t="s">
        <v>35</v>
      </c>
      <c r="M2742" s="25"/>
      <c r="N2742" s="3"/>
      <c r="O2742" s="2"/>
      <c r="P2742" s="27"/>
      <c r="Q2742" s="26"/>
      <c r="R2742" s="28"/>
    </row>
    <row r="2743" spans="1:18" ht="30" customHeight="1" thickBot="1" x14ac:dyDescent="0.5">
      <c r="A2743" s="225"/>
      <c r="B2743" s="225"/>
      <c r="C2743" s="150"/>
      <c r="D2743" s="150"/>
      <c r="E2743" s="150"/>
      <c r="F2743" s="150"/>
      <c r="G2743" s="1025" t="s">
        <v>299</v>
      </c>
      <c r="H2743" s="1026"/>
      <c r="I2743" s="1027"/>
      <c r="J2743" s="226">
        <v>1.1214</v>
      </c>
      <c r="K2743" s="227">
        <f>+K2742*J2743</f>
        <v>41.128129092295595</v>
      </c>
      <c r="L2743" s="47" t="s">
        <v>35</v>
      </c>
      <c r="M2743" s="25"/>
    </row>
    <row r="2744" spans="1:18" ht="30" customHeight="1" thickBot="1" x14ac:dyDescent="0.5">
      <c r="A2744" s="999"/>
      <c r="B2744" s="1000"/>
      <c r="C2744" s="1000"/>
      <c r="D2744" s="1000"/>
      <c r="E2744" s="1000"/>
      <c r="F2744" s="1000"/>
      <c r="G2744" s="1000"/>
      <c r="H2744" s="1000"/>
      <c r="I2744" s="1000"/>
      <c r="J2744" s="1000"/>
      <c r="K2744" s="1000"/>
      <c r="L2744" s="1001"/>
      <c r="M2744" s="25"/>
      <c r="O2744" s="2"/>
      <c r="P2744" s="27"/>
      <c r="Q2744" s="26"/>
      <c r="R2744" s="28"/>
    </row>
    <row r="2745" spans="1:18" ht="30" customHeight="1" x14ac:dyDescent="0.45">
      <c r="A2745" s="9" t="s">
        <v>4</v>
      </c>
      <c r="B2745" s="10">
        <v>7145</v>
      </c>
      <c r="C2745" s="983" t="s">
        <v>1576</v>
      </c>
      <c r="D2745" s="984"/>
      <c r="E2745" s="13" t="s">
        <v>7</v>
      </c>
      <c r="F2745" s="14" t="s">
        <v>35</v>
      </c>
      <c r="G2745" s="11" t="s">
        <v>6</v>
      </c>
      <c r="H2745" s="300">
        <v>2809</v>
      </c>
      <c r="I2745" s="13" t="s">
        <v>9</v>
      </c>
      <c r="J2745" s="985" t="s">
        <v>575</v>
      </c>
      <c r="K2745" s="985"/>
      <c r="L2745" s="986"/>
      <c r="M2745" s="25"/>
      <c r="O2745" s="2"/>
      <c r="P2745" s="27"/>
      <c r="Q2745" s="26"/>
      <c r="R2745" s="28"/>
    </row>
    <row r="2746" spans="1:18" ht="30" customHeight="1" x14ac:dyDescent="0.45">
      <c r="A2746" s="85" t="s">
        <v>277</v>
      </c>
      <c r="B2746" s="987" t="s">
        <v>293</v>
      </c>
      <c r="C2746" s="988"/>
      <c r="D2746" s="989"/>
      <c r="E2746" s="220" t="s">
        <v>13</v>
      </c>
      <c r="F2746" s="220" t="s">
        <v>14</v>
      </c>
      <c r="G2746" s="990" t="s">
        <v>15</v>
      </c>
      <c r="H2746" s="991"/>
      <c r="I2746" s="19" t="s">
        <v>278</v>
      </c>
      <c r="J2746" s="19"/>
      <c r="K2746" s="992" t="s">
        <v>17</v>
      </c>
      <c r="L2746" s="993"/>
      <c r="M2746" s="25"/>
      <c r="O2746" s="2"/>
      <c r="P2746" s="27"/>
      <c r="Q2746" s="26"/>
      <c r="R2746" s="28"/>
    </row>
    <row r="2747" spans="1:18" ht="30" customHeight="1" x14ac:dyDescent="0.45">
      <c r="A2747" s="47" t="s">
        <v>1528</v>
      </c>
      <c r="B2747" s="1008" t="s">
        <v>1577</v>
      </c>
      <c r="C2747" s="1009"/>
      <c r="D2747" s="1010"/>
      <c r="E2747" s="221">
        <v>118</v>
      </c>
      <c r="F2747" s="56" t="s">
        <v>35</v>
      </c>
      <c r="G2747" s="348"/>
      <c r="H2747" s="349"/>
      <c r="I2747" s="47">
        <v>1.05</v>
      </c>
      <c r="J2747" s="47"/>
      <c r="K2747" s="221">
        <f>+E2747*I2747</f>
        <v>123.9</v>
      </c>
      <c r="L2747" s="47" t="s">
        <v>35</v>
      </c>
      <c r="M2747" s="25"/>
      <c r="O2747" s="2"/>
      <c r="P2747" s="27"/>
      <c r="Q2747" s="26"/>
      <c r="R2747" s="28"/>
    </row>
    <row r="2748" spans="1:18" ht="30" customHeight="1" x14ac:dyDescent="0.45">
      <c r="A2748" s="47" t="s">
        <v>397</v>
      </c>
      <c r="B2748" s="1030" t="s">
        <v>1578</v>
      </c>
      <c r="C2748" s="1030"/>
      <c r="D2748" s="1030"/>
      <c r="E2748" s="221">
        <v>4.8600000000000003</v>
      </c>
      <c r="F2748" s="47" t="s">
        <v>35</v>
      </c>
      <c r="G2748" s="47"/>
      <c r="H2748" s="47"/>
      <c r="I2748" s="47">
        <v>1.05</v>
      </c>
      <c r="J2748" s="47"/>
      <c r="K2748" s="221">
        <f>+E2748*I2748</f>
        <v>5.1030000000000006</v>
      </c>
      <c r="L2748" s="47" t="s">
        <v>35</v>
      </c>
      <c r="M2748" s="25"/>
      <c r="N2748" s="229"/>
      <c r="O2748" s="2"/>
      <c r="P2748" s="27"/>
      <c r="Q2748" s="26"/>
      <c r="R2748" s="28"/>
    </row>
    <row r="2749" spans="1:18" ht="30" customHeight="1" x14ac:dyDescent="0.45">
      <c r="A2749" s="642"/>
      <c r="B2749" s="1030"/>
      <c r="C2749" s="1030"/>
      <c r="D2749" s="1030"/>
      <c r="E2749" s="221"/>
      <c r="F2749" s="47"/>
      <c r="G2749" s="47"/>
      <c r="H2749" s="47"/>
      <c r="I2749" s="47"/>
      <c r="J2749" s="47" t="s">
        <v>38</v>
      </c>
      <c r="K2749" s="221">
        <f>SUM(K2747:K2748)</f>
        <v>129.00300000000001</v>
      </c>
      <c r="L2749" s="47" t="s">
        <v>35</v>
      </c>
      <c r="M2749" s="25"/>
      <c r="O2749" s="2"/>
      <c r="P2749" s="27"/>
      <c r="Q2749" s="26"/>
      <c r="R2749" s="28"/>
    </row>
    <row r="2750" spans="1:18" ht="30" customHeight="1" x14ac:dyDescent="0.45">
      <c r="A2750" s="47"/>
      <c r="B2750" s="224"/>
      <c r="C2750" s="224"/>
      <c r="D2750" s="224"/>
      <c r="E2750" s="221"/>
      <c r="F2750" s="1011" t="s">
        <v>285</v>
      </c>
      <c r="G2750" s="1013" t="s">
        <v>286</v>
      </c>
      <c r="H2750" s="1013"/>
      <c r="I2750" s="1013"/>
      <c r="J2750" s="1013"/>
      <c r="K2750" s="278">
        <v>1.07</v>
      </c>
      <c r="L2750" s="47"/>
      <c r="M2750" s="25"/>
      <c r="O2750" s="2"/>
      <c r="P2750" s="27"/>
      <c r="Q2750" s="26"/>
      <c r="R2750" s="28"/>
    </row>
    <row r="2751" spans="1:18" ht="30" customHeight="1" x14ac:dyDescent="0.45">
      <c r="A2751" s="47"/>
      <c r="B2751" s="224"/>
      <c r="C2751" s="224"/>
      <c r="D2751" s="224"/>
      <c r="E2751" s="221"/>
      <c r="F2751" s="1012"/>
      <c r="G2751" s="1014" t="s">
        <v>580</v>
      </c>
      <c r="H2751" s="1014"/>
      <c r="I2751" s="1014"/>
      <c r="J2751" s="1014"/>
      <c r="K2751" s="278">
        <v>1.08</v>
      </c>
      <c r="L2751" s="47"/>
      <c r="M2751" s="25"/>
      <c r="N2751" s="26"/>
      <c r="O2751" s="2"/>
      <c r="P2751" s="27"/>
      <c r="Q2751" s="26"/>
      <c r="R2751" s="28"/>
    </row>
    <row r="2752" spans="1:18" ht="30" customHeight="1" x14ac:dyDescent="0.45">
      <c r="A2752" s="47"/>
      <c r="B2752" s="47"/>
      <c r="C2752" s="58"/>
      <c r="D2752" s="58"/>
      <c r="E2752" s="58"/>
      <c r="F2752" s="58"/>
      <c r="G2752" s="58"/>
      <c r="H2752" s="58"/>
      <c r="I2752" s="58"/>
      <c r="J2752" s="47" t="s">
        <v>39</v>
      </c>
      <c r="K2752" s="216">
        <f>+K2749*K2750/K2751</f>
        <v>127.8085277777778</v>
      </c>
      <c r="L2752" s="47" t="s">
        <v>35</v>
      </c>
      <c r="M2752" s="25"/>
      <c r="N2752" s="26"/>
      <c r="O2752" s="2"/>
      <c r="P2752" s="27"/>
      <c r="Q2752" s="26"/>
      <c r="R2752" s="28"/>
    </row>
    <row r="2753" spans="1:18" ht="30" customHeight="1" x14ac:dyDescent="0.45">
      <c r="A2753" s="47"/>
      <c r="B2753" s="47"/>
      <c r="C2753" s="58"/>
      <c r="D2753" s="58"/>
      <c r="E2753" s="58"/>
      <c r="F2753" s="58"/>
      <c r="G2753" s="1021" t="s">
        <v>288</v>
      </c>
      <c r="H2753" s="1022"/>
      <c r="I2753" s="1023"/>
      <c r="J2753" s="213">
        <f>VLOOKUP(B2745,'[1]Mil Cost Premiums for PUCs'!$A$4:$R$278,18,FALSE)</f>
        <v>1.0209999999999999</v>
      </c>
      <c r="K2753" s="216">
        <f>+K2752*J2753</f>
        <v>130.49250686111111</v>
      </c>
      <c r="L2753" s="47" t="s">
        <v>35</v>
      </c>
      <c r="M2753" s="25"/>
      <c r="N2753" s="26"/>
      <c r="O2753" s="2"/>
      <c r="P2753" s="27"/>
      <c r="Q2753" s="26"/>
      <c r="R2753" s="28"/>
    </row>
    <row r="2754" spans="1:18" ht="30" customHeight="1" x14ac:dyDescent="0.45">
      <c r="A2754" s="531"/>
      <c r="B2754" s="531"/>
      <c r="C2754" s="538"/>
      <c r="D2754" s="538"/>
      <c r="E2754" s="552"/>
      <c r="F2754" s="1024" t="s">
        <v>581</v>
      </c>
      <c r="G2754" s="1024"/>
      <c r="H2754" s="1024"/>
      <c r="I2754" s="1024"/>
      <c r="J2754" s="543">
        <v>1.0833999999999999</v>
      </c>
      <c r="K2754" s="363">
        <f>K2753*J2754</f>
        <v>141.37558193332777</v>
      </c>
      <c r="L2754" s="47" t="s">
        <v>35</v>
      </c>
      <c r="M2754" s="25"/>
      <c r="N2754" s="186"/>
      <c r="O2754" s="2"/>
      <c r="P2754" s="27"/>
      <c r="Q2754" s="26"/>
      <c r="R2754" s="28"/>
    </row>
    <row r="2755" spans="1:18" ht="30" customHeight="1" thickBot="1" x14ac:dyDescent="0.5">
      <c r="A2755" s="225"/>
      <c r="B2755" s="225"/>
      <c r="C2755" s="150"/>
      <c r="D2755" s="150"/>
      <c r="E2755" s="150"/>
      <c r="F2755" s="150"/>
      <c r="G2755" s="1025" t="s">
        <v>299</v>
      </c>
      <c r="H2755" s="1026"/>
      <c r="I2755" s="1027"/>
      <c r="J2755" s="226">
        <v>1.1214</v>
      </c>
      <c r="K2755" s="227">
        <f>+K2754*J2755</f>
        <v>158.53857758003375</v>
      </c>
      <c r="L2755" s="47" t="s">
        <v>35</v>
      </c>
      <c r="M2755" s="25"/>
    </row>
    <row r="2756" spans="1:18" ht="30" customHeight="1" thickBot="1" x14ac:dyDescent="0.5">
      <c r="A2756" s="999"/>
      <c r="B2756" s="1000"/>
      <c r="C2756" s="1000"/>
      <c r="D2756" s="1000"/>
      <c r="E2756" s="1000"/>
      <c r="F2756" s="1000"/>
      <c r="G2756" s="1000"/>
      <c r="H2756" s="1000"/>
      <c r="I2756" s="1000"/>
      <c r="J2756" s="1000"/>
      <c r="K2756" s="1000"/>
      <c r="L2756" s="1001"/>
      <c r="M2756" s="25"/>
      <c r="N2756" s="186"/>
      <c r="O2756" s="2"/>
      <c r="P2756" s="27"/>
      <c r="Q2756" s="26"/>
      <c r="R2756" s="28"/>
    </row>
    <row r="2757" spans="1:18" ht="30" customHeight="1" x14ac:dyDescent="0.45">
      <c r="A2757" s="9" t="s">
        <v>4</v>
      </c>
      <c r="B2757" s="10">
        <v>7147</v>
      </c>
      <c r="C2757" s="983" t="s">
        <v>1579</v>
      </c>
      <c r="D2757" s="984"/>
      <c r="E2757" s="13" t="s">
        <v>7</v>
      </c>
      <c r="F2757" s="14" t="s">
        <v>35</v>
      </c>
      <c r="G2757" s="11" t="s">
        <v>6</v>
      </c>
      <c r="H2757" s="155">
        <v>544</v>
      </c>
      <c r="I2757" s="13" t="s">
        <v>9</v>
      </c>
      <c r="J2757" s="985" t="s">
        <v>292</v>
      </c>
      <c r="K2757" s="985"/>
      <c r="L2757" s="986"/>
      <c r="M2757" s="25"/>
      <c r="N2757" s="186"/>
      <c r="O2757" s="2"/>
      <c r="P2757" s="27"/>
      <c r="Q2757" s="26"/>
      <c r="R2757" s="28"/>
    </row>
    <row r="2758" spans="1:18" ht="30" customHeight="1" x14ac:dyDescent="0.45">
      <c r="A2758" s="85" t="s">
        <v>277</v>
      </c>
      <c r="B2758" s="987" t="s">
        <v>293</v>
      </c>
      <c r="C2758" s="988"/>
      <c r="D2758" s="989"/>
      <c r="E2758" s="220" t="s">
        <v>13</v>
      </c>
      <c r="F2758" s="220" t="s">
        <v>14</v>
      </c>
      <c r="G2758" s="990" t="s">
        <v>15</v>
      </c>
      <c r="H2758" s="991"/>
      <c r="I2758" s="19" t="s">
        <v>278</v>
      </c>
      <c r="J2758" s="19"/>
      <c r="K2758" s="992" t="s">
        <v>17</v>
      </c>
      <c r="L2758" s="993"/>
      <c r="M2758" s="25"/>
      <c r="N2758" s="186"/>
      <c r="O2758" s="2"/>
      <c r="P2758" s="27"/>
      <c r="Q2758" s="26"/>
      <c r="R2758" s="28"/>
    </row>
    <row r="2759" spans="1:18" ht="30" customHeight="1" x14ac:dyDescent="0.45">
      <c r="A2759" s="642" t="s">
        <v>1569</v>
      </c>
      <c r="B2759" s="1008" t="s">
        <v>1580</v>
      </c>
      <c r="C2759" s="1009"/>
      <c r="D2759" s="1010"/>
      <c r="E2759" s="221">
        <f>+(8.58+17.25)/2</f>
        <v>12.914999999999999</v>
      </c>
      <c r="F2759" s="56" t="s">
        <v>35</v>
      </c>
      <c r="G2759" s="348"/>
      <c r="H2759" s="349"/>
      <c r="I2759" s="47">
        <v>1.22</v>
      </c>
      <c r="J2759" s="47"/>
      <c r="K2759" s="221">
        <f>+E2759*I2759</f>
        <v>15.756299999999998</v>
      </c>
      <c r="L2759" s="47" t="s">
        <v>35</v>
      </c>
      <c r="M2759" s="25"/>
      <c r="N2759" s="26"/>
      <c r="O2759" s="2"/>
      <c r="P2759" s="27"/>
      <c r="Q2759" s="26"/>
      <c r="R2759" s="28"/>
    </row>
    <row r="2760" spans="1:18" ht="30" customHeight="1" x14ac:dyDescent="0.45">
      <c r="A2760" s="642" t="s">
        <v>1569</v>
      </c>
      <c r="B2760" s="1018" t="s">
        <v>1581</v>
      </c>
      <c r="C2760" s="1019"/>
      <c r="D2760" s="1020"/>
      <c r="E2760" s="221">
        <f>(6+10.25)/2</f>
        <v>8.125</v>
      </c>
      <c r="F2760" s="56" t="s">
        <v>35</v>
      </c>
      <c r="G2760" s="348"/>
      <c r="H2760" s="349"/>
      <c r="I2760" s="47">
        <v>1.22</v>
      </c>
      <c r="J2760" s="47"/>
      <c r="K2760" s="221">
        <f>+E2760*I2760</f>
        <v>9.9124999999999996</v>
      </c>
      <c r="L2760" s="47"/>
      <c r="M2760" s="25"/>
      <c r="N2760" s="26"/>
      <c r="O2760" s="2"/>
      <c r="P2760" s="27"/>
      <c r="Q2760" s="26"/>
      <c r="R2760" s="28"/>
    </row>
    <row r="2761" spans="1:18" ht="30" customHeight="1" x14ac:dyDescent="0.45">
      <c r="A2761" s="642"/>
      <c r="B2761" s="1030"/>
      <c r="C2761" s="1030"/>
      <c r="D2761" s="1030"/>
      <c r="E2761" s="221"/>
      <c r="F2761" s="47"/>
      <c r="G2761" s="47"/>
      <c r="H2761" s="47"/>
      <c r="I2761" s="47"/>
      <c r="J2761" s="47" t="s">
        <v>38</v>
      </c>
      <c r="K2761" s="221">
        <f>SUM(K2759:K2760)</f>
        <v>25.668799999999997</v>
      </c>
      <c r="L2761" s="47" t="s">
        <v>35</v>
      </c>
      <c r="M2761" s="25"/>
      <c r="N2761" s="26"/>
      <c r="O2761" s="2"/>
      <c r="P2761" s="27"/>
      <c r="Q2761" s="26"/>
      <c r="R2761" s="28"/>
    </row>
    <row r="2762" spans="1:18" ht="30" customHeight="1" x14ac:dyDescent="0.45">
      <c r="A2762" s="47"/>
      <c r="B2762" s="224"/>
      <c r="C2762" s="224"/>
      <c r="D2762" s="224"/>
      <c r="E2762" s="221"/>
      <c r="F2762" s="1011" t="s">
        <v>285</v>
      </c>
      <c r="G2762" s="1013" t="s">
        <v>286</v>
      </c>
      <c r="H2762" s="1013"/>
      <c r="I2762" s="1013"/>
      <c r="J2762" s="1013"/>
      <c r="K2762" s="278">
        <v>1.06</v>
      </c>
      <c r="L2762" s="47"/>
      <c r="M2762" s="25"/>
      <c r="N2762" s="26"/>
      <c r="O2762" s="2"/>
      <c r="P2762" s="27"/>
      <c r="Q2762" s="26"/>
      <c r="R2762" s="28"/>
    </row>
    <row r="2763" spans="1:18" ht="30" customHeight="1" x14ac:dyDescent="0.45">
      <c r="A2763" s="47"/>
      <c r="B2763" s="224"/>
      <c r="C2763" s="224"/>
      <c r="D2763" s="224"/>
      <c r="E2763" s="221"/>
      <c r="F2763" s="1012"/>
      <c r="G2763" s="1014" t="s">
        <v>298</v>
      </c>
      <c r="H2763" s="1014"/>
      <c r="I2763" s="1014"/>
      <c r="J2763" s="1014"/>
      <c r="K2763" s="278">
        <v>1.06</v>
      </c>
      <c r="L2763" s="47"/>
      <c r="M2763" s="25"/>
      <c r="N2763" s="26"/>
      <c r="O2763" s="2"/>
      <c r="P2763" s="27"/>
      <c r="Q2763" s="26"/>
      <c r="R2763" s="28"/>
    </row>
    <row r="2764" spans="1:18" ht="30" customHeight="1" x14ac:dyDescent="0.45">
      <c r="A2764" s="47"/>
      <c r="B2764" s="47"/>
      <c r="C2764" s="58"/>
      <c r="D2764" s="58"/>
      <c r="E2764" s="58"/>
      <c r="F2764" s="58"/>
      <c r="G2764" s="58"/>
      <c r="H2764" s="58"/>
      <c r="I2764" s="58"/>
      <c r="J2764" s="47" t="s">
        <v>39</v>
      </c>
      <c r="K2764" s="216">
        <f>+K2761*K2762/K2763</f>
        <v>25.668799999999997</v>
      </c>
      <c r="L2764" s="47" t="s">
        <v>35</v>
      </c>
      <c r="M2764" s="25"/>
      <c r="N2764" s="26"/>
      <c r="O2764" s="2"/>
      <c r="P2764" s="27"/>
      <c r="Q2764" s="26"/>
      <c r="R2764" s="28"/>
    </row>
    <row r="2765" spans="1:18" ht="30" customHeight="1" x14ac:dyDescent="0.45">
      <c r="A2765" s="47"/>
      <c r="B2765" s="47"/>
      <c r="C2765" s="58"/>
      <c r="D2765" s="58"/>
      <c r="E2765" s="58"/>
      <c r="F2765" s="58"/>
      <c r="G2765" s="1021" t="s">
        <v>288</v>
      </c>
      <c r="H2765" s="1022"/>
      <c r="I2765" s="1023"/>
      <c r="J2765" s="213">
        <f>VLOOKUP(B2757,'[1]Mil Cost Premiums for PUCs'!$A$4:$R$278,18,FALSE)</f>
        <v>1.0905505199999999</v>
      </c>
      <c r="K2765" s="216">
        <f>+K2764*J2765</f>
        <v>27.993123187775993</v>
      </c>
      <c r="L2765" s="47" t="s">
        <v>35</v>
      </c>
      <c r="M2765" s="25"/>
      <c r="O2765" s="2"/>
      <c r="P2765" s="27"/>
      <c r="Q2765" s="26"/>
      <c r="R2765" s="28"/>
    </row>
    <row r="2766" spans="1:18" ht="30" customHeight="1" thickBot="1" x14ac:dyDescent="0.5">
      <c r="A2766" s="225"/>
      <c r="B2766" s="225"/>
      <c r="C2766" s="150"/>
      <c r="D2766" s="150"/>
      <c r="E2766" s="150"/>
      <c r="F2766" s="150"/>
      <c r="G2766" s="1025" t="s">
        <v>299</v>
      </c>
      <c r="H2766" s="1026"/>
      <c r="I2766" s="1027"/>
      <c r="J2766" s="226">
        <v>1.1214</v>
      </c>
      <c r="K2766" s="227">
        <f>+K2765*J2766</f>
        <v>31.391488342771996</v>
      </c>
      <c r="L2766" s="47" t="s">
        <v>35</v>
      </c>
      <c r="M2766" s="25"/>
    </row>
    <row r="2767" spans="1:18" ht="30" customHeight="1" thickBot="1" x14ac:dyDescent="0.5">
      <c r="A2767" s="999"/>
      <c r="B2767" s="1000"/>
      <c r="C2767" s="1000"/>
      <c r="D2767" s="1000"/>
      <c r="E2767" s="1000"/>
      <c r="F2767" s="1000"/>
      <c r="G2767" s="1000"/>
      <c r="H2767" s="1000"/>
      <c r="I2767" s="1000"/>
      <c r="J2767" s="1000"/>
      <c r="K2767" s="1000"/>
      <c r="L2767" s="1001"/>
      <c r="M2767" s="25"/>
      <c r="O2767" s="2"/>
      <c r="P2767" s="27"/>
      <c r="Q2767" s="26"/>
      <c r="R2767" s="28"/>
    </row>
    <row r="2768" spans="1:18" ht="30" customHeight="1" x14ac:dyDescent="0.45">
      <c r="A2768" s="9" t="s">
        <v>4</v>
      </c>
      <c r="B2768" s="10">
        <v>7210</v>
      </c>
      <c r="C2768" s="1138" t="s">
        <v>1582</v>
      </c>
      <c r="D2768" s="1139"/>
      <c r="E2768" s="13" t="s">
        <v>7</v>
      </c>
      <c r="F2768" s="14" t="s">
        <v>35</v>
      </c>
      <c r="G2768" s="11" t="s">
        <v>6</v>
      </c>
      <c r="H2768" s="169">
        <v>32871.7441935483</v>
      </c>
      <c r="I2768" s="13" t="s">
        <v>9</v>
      </c>
      <c r="J2768" s="985" t="s">
        <v>266</v>
      </c>
      <c r="K2768" s="985"/>
      <c r="L2768" s="986"/>
      <c r="M2768" s="25"/>
      <c r="N2768" s="26"/>
      <c r="O2768" s="2"/>
      <c r="P2768" s="27"/>
      <c r="Q2768" s="26"/>
      <c r="R2768" s="28"/>
    </row>
    <row r="2769" spans="1:18" ht="30" customHeight="1" x14ac:dyDescent="0.45">
      <c r="A2769" s="19" t="s">
        <v>11</v>
      </c>
      <c r="B2769" s="1005" t="s">
        <v>12</v>
      </c>
      <c r="C2769" s="1005"/>
      <c r="D2769" s="1005"/>
      <c r="E2769" s="132" t="s">
        <v>267</v>
      </c>
      <c r="F2769" s="20" t="s">
        <v>13</v>
      </c>
      <c r="G2769" s="19"/>
      <c r="H2769" s="19"/>
      <c r="I2769" s="1140" t="s">
        <v>60</v>
      </c>
      <c r="J2769" s="1141"/>
      <c r="K2769" s="992" t="s">
        <v>17</v>
      </c>
      <c r="L2769" s="993"/>
      <c r="M2769" s="25"/>
      <c r="N2769" s="26"/>
      <c r="O2769" s="2"/>
      <c r="P2769" s="27"/>
      <c r="Q2769" s="26"/>
      <c r="R2769" s="28"/>
    </row>
    <row r="2770" spans="1:18" ht="30" customHeight="1" x14ac:dyDescent="0.45">
      <c r="A2770" s="29" t="s">
        <v>268</v>
      </c>
      <c r="B2770" s="994" t="s">
        <v>1583</v>
      </c>
      <c r="C2770" s="994"/>
      <c r="D2770" s="994"/>
      <c r="E2770" s="176">
        <v>80000</v>
      </c>
      <c r="F2770" s="145">
        <v>550</v>
      </c>
      <c r="G2770" s="177"/>
      <c r="H2770" s="178"/>
      <c r="I2770" s="1119" t="s">
        <v>270</v>
      </c>
      <c r="J2770" s="1120"/>
      <c r="K2770" s="145">
        <f>+F2770</f>
        <v>550</v>
      </c>
      <c r="L2770" s="29" t="s">
        <v>35</v>
      </c>
      <c r="M2770" s="25"/>
      <c r="N2770" s="26"/>
      <c r="O2770" s="2"/>
      <c r="P2770" s="27"/>
      <c r="Q2770" s="26"/>
      <c r="R2770" s="28"/>
    </row>
    <row r="2771" spans="1:18" ht="30" customHeight="1" thickBot="1" x14ac:dyDescent="0.5">
      <c r="A2771" s="47"/>
      <c r="B2771" s="1092"/>
      <c r="C2771" s="1092"/>
      <c r="D2771" s="1092"/>
      <c r="E2771" s="180"/>
      <c r="F2771" s="181"/>
      <c r="G2771" s="181"/>
      <c r="H2771" s="182"/>
      <c r="I2771" s="58"/>
      <c r="J2771" s="85" t="s">
        <v>39</v>
      </c>
      <c r="K2771" s="216">
        <f>+K2770</f>
        <v>550</v>
      </c>
      <c r="L2771" s="47" t="s">
        <v>35</v>
      </c>
      <c r="M2771" s="25"/>
      <c r="N2771" s="26"/>
      <c r="O2771" s="2"/>
      <c r="P2771" s="27"/>
      <c r="Q2771" s="26"/>
      <c r="R2771" s="28"/>
    </row>
    <row r="2772" spans="1:18" ht="30" customHeight="1" thickBot="1" x14ac:dyDescent="0.5">
      <c r="A2772" s="999"/>
      <c r="B2772" s="1000"/>
      <c r="C2772" s="1000"/>
      <c r="D2772" s="1000"/>
      <c r="E2772" s="1000"/>
      <c r="F2772" s="1000"/>
      <c r="G2772" s="1000"/>
      <c r="H2772" s="1000"/>
      <c r="I2772" s="1000"/>
      <c r="J2772" s="1000"/>
      <c r="K2772" s="1000"/>
      <c r="L2772" s="1001"/>
      <c r="M2772" s="25"/>
      <c r="N2772" s="26"/>
      <c r="O2772" s="2"/>
      <c r="P2772" s="27"/>
      <c r="Q2772" s="26"/>
      <c r="R2772" s="28"/>
    </row>
    <row r="2773" spans="1:18" ht="30" customHeight="1" x14ac:dyDescent="0.45">
      <c r="A2773" s="9" t="s">
        <v>4</v>
      </c>
      <c r="B2773" s="10">
        <v>7212</v>
      </c>
      <c r="C2773" s="1138" t="s">
        <v>1584</v>
      </c>
      <c r="D2773" s="1139"/>
      <c r="E2773" s="13" t="s">
        <v>7</v>
      </c>
      <c r="F2773" s="14" t="s">
        <v>35</v>
      </c>
      <c r="G2773" s="11" t="s">
        <v>6</v>
      </c>
      <c r="H2773" s="169">
        <v>17088.183916500901</v>
      </c>
      <c r="I2773" s="13" t="s">
        <v>9</v>
      </c>
      <c r="J2773" s="985" t="s">
        <v>266</v>
      </c>
      <c r="K2773" s="985"/>
      <c r="L2773" s="986"/>
      <c r="M2773" s="25"/>
      <c r="N2773" s="26"/>
      <c r="O2773" s="2"/>
      <c r="P2773" s="27"/>
      <c r="Q2773" s="26"/>
      <c r="R2773" s="28"/>
    </row>
    <row r="2774" spans="1:18" ht="30" customHeight="1" x14ac:dyDescent="0.45">
      <c r="A2774" s="19" t="s">
        <v>11</v>
      </c>
      <c r="B2774" s="1005" t="s">
        <v>12</v>
      </c>
      <c r="C2774" s="1005"/>
      <c r="D2774" s="1005"/>
      <c r="E2774" s="132" t="s">
        <v>267</v>
      </c>
      <c r="F2774" s="20" t="s">
        <v>13</v>
      </c>
      <c r="G2774" s="19"/>
      <c r="H2774" s="19"/>
      <c r="I2774" s="1140" t="s">
        <v>60</v>
      </c>
      <c r="J2774" s="1141"/>
      <c r="K2774" s="992" t="s">
        <v>17</v>
      </c>
      <c r="L2774" s="993"/>
      <c r="M2774" s="25"/>
      <c r="N2774" s="26"/>
      <c r="O2774" s="2"/>
      <c r="P2774" s="27"/>
      <c r="Q2774" s="26"/>
      <c r="R2774" s="28"/>
    </row>
    <row r="2775" spans="1:18" ht="30" customHeight="1" x14ac:dyDescent="0.45">
      <c r="A2775" s="29" t="s">
        <v>268</v>
      </c>
      <c r="B2775" s="994" t="s">
        <v>1583</v>
      </c>
      <c r="C2775" s="994"/>
      <c r="D2775" s="994"/>
      <c r="E2775" s="176">
        <v>80000</v>
      </c>
      <c r="F2775" s="145">
        <v>550</v>
      </c>
      <c r="G2775" s="177"/>
      <c r="H2775" s="178"/>
      <c r="I2775" s="1119" t="s">
        <v>270</v>
      </c>
      <c r="J2775" s="1120"/>
      <c r="K2775" s="145">
        <f>+F2775</f>
        <v>550</v>
      </c>
      <c r="L2775" s="29" t="s">
        <v>35</v>
      </c>
      <c r="M2775" s="25"/>
      <c r="N2775" s="26"/>
      <c r="O2775" s="2"/>
      <c r="P2775" s="27"/>
      <c r="Q2775" s="26"/>
      <c r="R2775" s="28"/>
    </row>
    <row r="2776" spans="1:18" ht="30" customHeight="1" thickBot="1" x14ac:dyDescent="0.5">
      <c r="A2776" s="225"/>
      <c r="B2776" s="1131"/>
      <c r="C2776" s="1131"/>
      <c r="D2776" s="1131"/>
      <c r="E2776" s="662"/>
      <c r="F2776" s="663"/>
      <c r="G2776" s="663"/>
      <c r="H2776" s="664"/>
      <c r="I2776" s="150"/>
      <c r="J2776" s="133" t="s">
        <v>39</v>
      </c>
      <c r="K2776" s="227">
        <f>+K2775</f>
        <v>550</v>
      </c>
      <c r="L2776" s="225" t="s">
        <v>35</v>
      </c>
      <c r="M2776" s="25"/>
      <c r="N2776" s="26"/>
      <c r="O2776" s="2"/>
      <c r="P2776" s="27"/>
      <c r="Q2776" s="26"/>
      <c r="R2776" s="28"/>
    </row>
    <row r="2777" spans="1:18" ht="30" customHeight="1" thickBot="1" x14ac:dyDescent="0.5">
      <c r="A2777" s="999"/>
      <c r="B2777" s="1000"/>
      <c r="C2777" s="1000"/>
      <c r="D2777" s="1000"/>
      <c r="E2777" s="1000"/>
      <c r="F2777" s="1000"/>
      <c r="G2777" s="1000"/>
      <c r="H2777" s="1000"/>
      <c r="I2777" s="1000"/>
      <c r="J2777" s="1000"/>
      <c r="K2777" s="1000"/>
      <c r="L2777" s="1001"/>
      <c r="M2777" s="25"/>
      <c r="N2777" s="26"/>
      <c r="O2777" s="2"/>
      <c r="P2777" s="27"/>
      <c r="Q2777" s="26"/>
      <c r="R2777" s="28"/>
    </row>
    <row r="2778" spans="1:18" ht="30" customHeight="1" x14ac:dyDescent="0.45">
      <c r="A2778" s="93" t="s">
        <v>4</v>
      </c>
      <c r="B2778" s="76">
        <v>7213</v>
      </c>
      <c r="C2778" s="1132" t="s">
        <v>1585</v>
      </c>
      <c r="D2778" s="1133"/>
      <c r="E2778" s="94" t="s">
        <v>7</v>
      </c>
      <c r="F2778" s="95" t="s">
        <v>35</v>
      </c>
      <c r="G2778" s="102" t="s">
        <v>6</v>
      </c>
      <c r="H2778" s="665">
        <v>33256.309526315701</v>
      </c>
      <c r="I2778" s="94" t="s">
        <v>9</v>
      </c>
      <c r="J2778" s="985" t="s">
        <v>266</v>
      </c>
      <c r="K2778" s="985"/>
      <c r="L2778" s="986"/>
      <c r="M2778" s="25"/>
      <c r="N2778" s="26"/>
      <c r="O2778" s="2"/>
      <c r="P2778" s="27"/>
      <c r="Q2778" s="26"/>
      <c r="R2778" s="28"/>
    </row>
    <row r="2779" spans="1:18" ht="30" customHeight="1" x14ac:dyDescent="0.45">
      <c r="A2779" s="19" t="s">
        <v>11</v>
      </c>
      <c r="B2779" s="1258" t="s">
        <v>12</v>
      </c>
      <c r="C2779" s="1259"/>
      <c r="D2779" s="1260"/>
      <c r="E2779" s="132" t="s">
        <v>267</v>
      </c>
      <c r="F2779" s="20" t="s">
        <v>13</v>
      </c>
      <c r="G2779" s="19"/>
      <c r="H2779" s="19"/>
      <c r="I2779" s="1140" t="s">
        <v>60</v>
      </c>
      <c r="J2779" s="1141"/>
      <c r="K2779" s="992" t="s">
        <v>17</v>
      </c>
      <c r="L2779" s="993"/>
      <c r="M2779" s="25"/>
      <c r="N2779" s="26"/>
      <c r="O2779" s="2"/>
      <c r="P2779" s="27"/>
      <c r="Q2779" s="26"/>
      <c r="R2779" s="28"/>
    </row>
    <row r="2780" spans="1:18" ht="30" customHeight="1" x14ac:dyDescent="0.45">
      <c r="A2780" s="29" t="s">
        <v>268</v>
      </c>
      <c r="B2780" s="1142" t="s">
        <v>1586</v>
      </c>
      <c r="C2780" s="1117"/>
      <c r="D2780" s="1118"/>
      <c r="E2780" s="176">
        <v>92000</v>
      </c>
      <c r="F2780" s="145">
        <v>356</v>
      </c>
      <c r="G2780" s="177"/>
      <c r="H2780" s="178"/>
      <c r="I2780" s="1119" t="s">
        <v>270</v>
      </c>
      <c r="J2780" s="1120"/>
      <c r="K2780" s="145">
        <f>+F2780</f>
        <v>356</v>
      </c>
      <c r="L2780" s="29" t="s">
        <v>35</v>
      </c>
      <c r="M2780" s="25"/>
      <c r="N2780" s="26"/>
      <c r="O2780" s="2"/>
      <c r="P2780" s="27"/>
      <c r="Q2780" s="26"/>
      <c r="R2780" s="28"/>
    </row>
    <row r="2781" spans="1:18" ht="30" customHeight="1" thickBot="1" x14ac:dyDescent="0.5">
      <c r="A2781" s="47"/>
      <c r="B2781" s="1093"/>
      <c r="C2781" s="1094"/>
      <c r="D2781" s="1095"/>
      <c r="E2781" s="666"/>
      <c r="F2781" s="667"/>
      <c r="G2781" s="667"/>
      <c r="H2781" s="668"/>
      <c r="I2781" s="58"/>
      <c r="J2781" s="85" t="s">
        <v>39</v>
      </c>
      <c r="K2781" s="216">
        <f>+K2780</f>
        <v>356</v>
      </c>
      <c r="L2781" s="47" t="s">
        <v>35</v>
      </c>
      <c r="M2781" s="25"/>
      <c r="N2781" s="26"/>
      <c r="O2781" s="2"/>
      <c r="P2781" s="27"/>
      <c r="Q2781" s="26"/>
      <c r="R2781" s="28"/>
    </row>
    <row r="2782" spans="1:18" ht="30" customHeight="1" thickBot="1" x14ac:dyDescent="0.5">
      <c r="A2782" s="6"/>
      <c r="B2782" s="7"/>
      <c r="C2782" s="7"/>
      <c r="D2782" s="7"/>
      <c r="E2782" s="7"/>
      <c r="F2782" s="7"/>
      <c r="G2782" s="7"/>
      <c r="H2782" s="7"/>
      <c r="I2782" s="7"/>
      <c r="J2782" s="7"/>
      <c r="K2782" s="7"/>
      <c r="L2782" s="8"/>
      <c r="M2782" s="25"/>
      <c r="N2782" s="26"/>
      <c r="O2782" s="2"/>
      <c r="P2782" s="27"/>
      <c r="Q2782" s="26"/>
      <c r="R2782" s="28"/>
    </row>
    <row r="2783" spans="1:18" ht="30" customHeight="1" x14ac:dyDescent="0.45">
      <c r="A2783" s="9" t="s">
        <v>4</v>
      </c>
      <c r="B2783" s="10">
        <v>7214</v>
      </c>
      <c r="C2783" s="1138" t="s">
        <v>1587</v>
      </c>
      <c r="D2783" s="1139"/>
      <c r="E2783" s="13" t="s">
        <v>7</v>
      </c>
      <c r="F2783" s="14" t="s">
        <v>35</v>
      </c>
      <c r="G2783" s="11" t="s">
        <v>6</v>
      </c>
      <c r="H2783" s="169">
        <v>9642.50861488993</v>
      </c>
      <c r="I2783" s="13" t="s">
        <v>9</v>
      </c>
      <c r="J2783" s="985" t="s">
        <v>266</v>
      </c>
      <c r="K2783" s="985"/>
      <c r="L2783" s="986"/>
      <c r="M2783" s="25"/>
      <c r="N2783" s="26"/>
      <c r="O2783" s="2"/>
      <c r="P2783" s="27"/>
      <c r="Q2783" s="26"/>
      <c r="R2783" s="28"/>
    </row>
    <row r="2784" spans="1:18" ht="30" customHeight="1" x14ac:dyDescent="0.45">
      <c r="A2784" s="19" t="s">
        <v>11</v>
      </c>
      <c r="B2784" s="1005" t="s">
        <v>12</v>
      </c>
      <c r="C2784" s="1005"/>
      <c r="D2784" s="1005"/>
      <c r="E2784" s="132" t="s">
        <v>267</v>
      </c>
      <c r="F2784" s="20" t="s">
        <v>13</v>
      </c>
      <c r="G2784" s="19"/>
      <c r="H2784" s="19"/>
      <c r="I2784" s="1140" t="s">
        <v>60</v>
      </c>
      <c r="J2784" s="1141"/>
      <c r="K2784" s="992" t="s">
        <v>17</v>
      </c>
      <c r="L2784" s="993"/>
      <c r="M2784" s="25"/>
      <c r="N2784" s="26"/>
      <c r="O2784" s="2"/>
      <c r="P2784" s="27"/>
      <c r="Q2784" s="26"/>
      <c r="R2784" s="28"/>
    </row>
    <row r="2785" spans="1:20" ht="30" customHeight="1" x14ac:dyDescent="0.45">
      <c r="A2785" s="29" t="s">
        <v>268</v>
      </c>
      <c r="B2785" s="994" t="s">
        <v>1588</v>
      </c>
      <c r="C2785" s="994"/>
      <c r="D2785" s="994"/>
      <c r="E2785" s="176">
        <v>92000</v>
      </c>
      <c r="F2785" s="145">
        <v>356</v>
      </c>
      <c r="G2785" s="177"/>
      <c r="H2785" s="178"/>
      <c r="I2785" s="1119" t="s">
        <v>270</v>
      </c>
      <c r="J2785" s="1120"/>
      <c r="K2785" s="145">
        <f>+F2785</f>
        <v>356</v>
      </c>
      <c r="L2785" s="29" t="s">
        <v>35</v>
      </c>
      <c r="M2785" s="25"/>
      <c r="N2785" s="26"/>
      <c r="O2785" s="2"/>
      <c r="P2785" s="27"/>
      <c r="Q2785" s="26"/>
      <c r="R2785" s="28"/>
    </row>
    <row r="2786" spans="1:20" ht="30" customHeight="1" thickBot="1" x14ac:dyDescent="0.5">
      <c r="A2786" s="47"/>
      <c r="B2786" s="1092"/>
      <c r="C2786" s="1092"/>
      <c r="D2786" s="1092"/>
      <c r="E2786" s="180"/>
      <c r="F2786" s="181"/>
      <c r="G2786" s="181"/>
      <c r="H2786" s="182"/>
      <c r="I2786" s="58"/>
      <c r="J2786" s="85" t="s">
        <v>39</v>
      </c>
      <c r="K2786" s="216">
        <f>+K2785</f>
        <v>356</v>
      </c>
      <c r="L2786" s="47" t="s">
        <v>35</v>
      </c>
      <c r="M2786" s="25"/>
      <c r="N2786" s="26"/>
      <c r="O2786" s="2"/>
      <c r="P2786" s="27"/>
      <c r="Q2786" s="26"/>
      <c r="R2786" s="28"/>
    </row>
    <row r="2787" spans="1:20" ht="30" customHeight="1" thickBot="1" x14ac:dyDescent="0.5">
      <c r="A2787" s="6"/>
      <c r="B2787" s="7"/>
      <c r="C2787" s="7"/>
      <c r="D2787" s="7"/>
      <c r="E2787" s="7"/>
      <c r="F2787" s="7"/>
      <c r="G2787" s="7"/>
      <c r="H2787" s="7"/>
      <c r="I2787" s="7"/>
      <c r="J2787" s="7"/>
      <c r="K2787" s="7"/>
      <c r="L2787" s="8"/>
      <c r="M2787" s="25"/>
      <c r="N2787" s="26"/>
      <c r="O2787" s="2"/>
      <c r="P2787" s="27"/>
      <c r="Q2787" s="26"/>
      <c r="R2787" s="28"/>
    </row>
    <row r="2788" spans="1:20" ht="30" customHeight="1" x14ac:dyDescent="0.45">
      <c r="A2788" s="9" t="s">
        <v>4</v>
      </c>
      <c r="B2788" s="10">
        <v>7215</v>
      </c>
      <c r="C2788" s="1002" t="s">
        <v>1589</v>
      </c>
      <c r="D2788" s="1003"/>
      <c r="E2788" s="13" t="s">
        <v>7</v>
      </c>
      <c r="F2788" s="14" t="s">
        <v>35</v>
      </c>
      <c r="G2788" s="11" t="s">
        <v>6</v>
      </c>
      <c r="H2788" s="300">
        <v>63678</v>
      </c>
      <c r="I2788" s="13" t="s">
        <v>9</v>
      </c>
      <c r="J2788" s="985" t="s">
        <v>575</v>
      </c>
      <c r="K2788" s="985"/>
      <c r="L2788" s="986"/>
      <c r="M2788" s="25"/>
      <c r="N2788" s="26"/>
      <c r="O2788" s="2"/>
      <c r="P2788" s="27"/>
      <c r="Q2788" s="26"/>
      <c r="R2788" s="28"/>
    </row>
    <row r="2789" spans="1:20" ht="30" customHeight="1" x14ac:dyDescent="0.45">
      <c r="A2789" s="85" t="s">
        <v>277</v>
      </c>
      <c r="B2789" s="987" t="s">
        <v>293</v>
      </c>
      <c r="C2789" s="988"/>
      <c r="D2789" s="989"/>
      <c r="E2789" s="220" t="s">
        <v>13</v>
      </c>
      <c r="F2789" s="220" t="s">
        <v>14</v>
      </c>
      <c r="G2789" s="990" t="s">
        <v>15</v>
      </c>
      <c r="H2789" s="991"/>
      <c r="I2789" s="19" t="s">
        <v>278</v>
      </c>
      <c r="J2789" s="19"/>
      <c r="K2789" s="23" t="s">
        <v>17</v>
      </c>
      <c r="L2789" s="24"/>
      <c r="N2789" s="26"/>
      <c r="O2789" s="2"/>
      <c r="P2789" s="27"/>
      <c r="Q2789" s="26"/>
      <c r="R2789" s="28"/>
    </row>
    <row r="2790" spans="1:20" ht="30" customHeight="1" x14ac:dyDescent="0.45">
      <c r="A2790" s="47" t="s">
        <v>1590</v>
      </c>
      <c r="B2790" s="1018" t="s">
        <v>1591</v>
      </c>
      <c r="C2790" s="1019"/>
      <c r="D2790" s="1020"/>
      <c r="E2790" s="221">
        <v>220</v>
      </c>
      <c r="F2790" s="56" t="s">
        <v>35</v>
      </c>
      <c r="G2790" s="348"/>
      <c r="H2790" s="349"/>
      <c r="I2790" s="47">
        <v>1.03</v>
      </c>
      <c r="J2790" s="365"/>
      <c r="K2790" s="221">
        <f>+E2790*I2790</f>
        <v>226.6</v>
      </c>
      <c r="L2790" s="47" t="s">
        <v>35</v>
      </c>
      <c r="M2790" s="25"/>
      <c r="N2790" s="26"/>
      <c r="O2790" s="2"/>
      <c r="P2790" s="27"/>
      <c r="Q2790" s="26"/>
      <c r="R2790" s="28"/>
    </row>
    <row r="2791" spans="1:20" ht="30" customHeight="1" x14ac:dyDescent="0.45">
      <c r="A2791" s="47" t="s">
        <v>397</v>
      </c>
      <c r="B2791" s="1008" t="s">
        <v>1592</v>
      </c>
      <c r="C2791" s="1009"/>
      <c r="D2791" s="1009"/>
      <c r="E2791" s="221">
        <v>2.88</v>
      </c>
      <c r="F2791" s="222" t="s">
        <v>35</v>
      </c>
      <c r="G2791" s="348"/>
      <c r="H2791" s="349"/>
      <c r="I2791" s="47">
        <v>1.03</v>
      </c>
      <c r="J2791" s="365"/>
      <c r="K2791" s="221">
        <f>+E2791*I2791</f>
        <v>2.9664000000000001</v>
      </c>
      <c r="L2791" s="47" t="s">
        <v>35</v>
      </c>
      <c r="M2791" s="25"/>
      <c r="N2791" s="26"/>
      <c r="O2791" s="2"/>
      <c r="P2791" s="27"/>
      <c r="Q2791" s="26"/>
      <c r="R2791" s="28"/>
    </row>
    <row r="2792" spans="1:20" ht="30" customHeight="1" x14ac:dyDescent="0.45">
      <c r="A2792" s="47" t="s">
        <v>1050</v>
      </c>
      <c r="B2792" s="1008" t="s">
        <v>1593</v>
      </c>
      <c r="C2792" s="1009"/>
      <c r="D2792" s="1010"/>
      <c r="E2792" s="221">
        <f>(20.3+31.5)/2</f>
        <v>25.9</v>
      </c>
      <c r="F2792" s="348" t="s">
        <v>35</v>
      </c>
      <c r="G2792" s="348">
        <v>162</v>
      </c>
      <c r="H2792" s="349" t="s">
        <v>35</v>
      </c>
      <c r="I2792" s="47">
        <v>1.03</v>
      </c>
      <c r="J2792" s="365"/>
      <c r="K2792" s="221">
        <f t="shared" ref="K2792:K2797" si="61">+E2792*G2792*I2792/$H$2788</f>
        <v>6.7867615188919247E-2</v>
      </c>
      <c r="L2792" s="47" t="s">
        <v>35</v>
      </c>
      <c r="M2792" s="25"/>
      <c r="N2792" s="26"/>
      <c r="O2792" s="2"/>
      <c r="P2792" s="27"/>
      <c r="Q2792" s="26"/>
      <c r="R2792" s="28"/>
    </row>
    <row r="2793" spans="1:20" ht="30" customHeight="1" x14ac:dyDescent="0.45">
      <c r="A2793" s="47" t="s">
        <v>1050</v>
      </c>
      <c r="B2793" s="1008" t="s">
        <v>1594</v>
      </c>
      <c r="C2793" s="1009"/>
      <c r="D2793" s="1010"/>
      <c r="E2793" s="221">
        <f>(1710+2420)/2</f>
        <v>2065</v>
      </c>
      <c r="F2793" s="348" t="s">
        <v>88</v>
      </c>
      <c r="G2793" s="348">
        <v>2</v>
      </c>
      <c r="H2793" s="349" t="s">
        <v>88</v>
      </c>
      <c r="I2793" s="47">
        <v>1.03</v>
      </c>
      <c r="J2793" s="365"/>
      <c r="K2793" s="221">
        <f t="shared" si="61"/>
        <v>6.6803291560664599E-2</v>
      </c>
      <c r="L2793" s="47" t="s">
        <v>35</v>
      </c>
      <c r="M2793" s="25"/>
      <c r="N2793" s="26"/>
      <c r="O2793" s="2"/>
      <c r="P2793" s="27"/>
      <c r="Q2793" s="26"/>
      <c r="R2793" s="28"/>
    </row>
    <row r="2794" spans="1:20" ht="30" customHeight="1" x14ac:dyDescent="0.45">
      <c r="A2794" s="47" t="s">
        <v>1055</v>
      </c>
      <c r="B2794" s="1008" t="s">
        <v>1595</v>
      </c>
      <c r="C2794" s="1009"/>
      <c r="D2794" s="1010"/>
      <c r="E2794" s="221">
        <f>(34.5+82)*10/2</f>
        <v>582.5</v>
      </c>
      <c r="F2794" s="348" t="s">
        <v>88</v>
      </c>
      <c r="G2794" s="348">
        <v>2</v>
      </c>
      <c r="H2794" s="349" t="s">
        <v>88</v>
      </c>
      <c r="I2794" s="47">
        <v>1.03</v>
      </c>
      <c r="J2794" s="365"/>
      <c r="K2794" s="221">
        <f t="shared" si="61"/>
        <v>1.8844027764691101E-2</v>
      </c>
      <c r="L2794" s="47" t="s">
        <v>35</v>
      </c>
      <c r="M2794" s="25"/>
      <c r="N2794" s="26"/>
      <c r="O2794" s="2"/>
      <c r="P2794" s="27"/>
      <c r="Q2794" s="26"/>
      <c r="R2794" s="28"/>
    </row>
    <row r="2795" spans="1:20" ht="30" customHeight="1" x14ac:dyDescent="0.45">
      <c r="A2795" s="47" t="s">
        <v>1055</v>
      </c>
      <c r="B2795" s="1008" t="s">
        <v>1596</v>
      </c>
      <c r="C2795" s="1009"/>
      <c r="D2795" s="1010"/>
      <c r="E2795" s="221">
        <f>(6450+12300)/2</f>
        <v>9375</v>
      </c>
      <c r="F2795" s="348" t="s">
        <v>88</v>
      </c>
      <c r="G2795" s="348">
        <v>2</v>
      </c>
      <c r="H2795" s="349" t="s">
        <v>88</v>
      </c>
      <c r="I2795" s="47">
        <v>1.03</v>
      </c>
      <c r="J2795" s="365"/>
      <c r="K2795" s="221">
        <f t="shared" si="61"/>
        <v>0.30328370865919158</v>
      </c>
      <c r="L2795" s="47" t="s">
        <v>35</v>
      </c>
      <c r="M2795" s="25"/>
      <c r="N2795" s="26"/>
      <c r="O2795" s="2"/>
      <c r="P2795" s="27"/>
      <c r="Q2795" s="26"/>
      <c r="R2795" s="28"/>
    </row>
    <row r="2796" spans="1:20" ht="30" customHeight="1" x14ac:dyDescent="0.45">
      <c r="A2796" s="47" t="s">
        <v>1055</v>
      </c>
      <c r="B2796" s="1008" t="s">
        <v>1058</v>
      </c>
      <c r="C2796" s="1009"/>
      <c r="D2796" s="1010"/>
      <c r="E2796" s="221">
        <f>(660+1010)/2</f>
        <v>835</v>
      </c>
      <c r="F2796" s="348" t="s">
        <v>88</v>
      </c>
      <c r="G2796" s="348">
        <v>2</v>
      </c>
      <c r="H2796" s="349" t="s">
        <v>88</v>
      </c>
      <c r="I2796" s="47">
        <v>1.03</v>
      </c>
      <c r="J2796" s="365"/>
      <c r="K2796" s="221">
        <f t="shared" si="61"/>
        <v>2.7012468984578663E-2</v>
      </c>
      <c r="L2796" s="47" t="s">
        <v>35</v>
      </c>
      <c r="M2796" s="25"/>
      <c r="N2796" s="26"/>
      <c r="O2796" s="2"/>
      <c r="P2796" s="27"/>
      <c r="Q2796" s="26"/>
      <c r="R2796" s="28"/>
    </row>
    <row r="2797" spans="1:20" ht="30" customHeight="1" x14ac:dyDescent="0.45">
      <c r="A2797" s="47" t="s">
        <v>1055</v>
      </c>
      <c r="B2797" s="1008" t="s">
        <v>1437</v>
      </c>
      <c r="C2797" s="1009"/>
      <c r="D2797" s="1010"/>
      <c r="E2797" s="221">
        <f>(1160+3475)/2</f>
        <v>2317.5</v>
      </c>
      <c r="F2797" s="348" t="s">
        <v>88</v>
      </c>
      <c r="G2797" s="348">
        <v>2</v>
      </c>
      <c r="H2797" s="349" t="s">
        <v>88</v>
      </c>
      <c r="I2797" s="47">
        <v>1.03</v>
      </c>
      <c r="J2797" s="365"/>
      <c r="K2797" s="221">
        <f t="shared" si="61"/>
        <v>7.497173278055215E-2</v>
      </c>
      <c r="L2797" s="47" t="s">
        <v>35</v>
      </c>
      <c r="M2797" s="25"/>
      <c r="N2797" s="26"/>
      <c r="O2797" s="2"/>
      <c r="P2797" s="27"/>
      <c r="Q2797" s="26"/>
      <c r="R2797" s="28"/>
    </row>
    <row r="2798" spans="1:20" ht="30" customHeight="1" x14ac:dyDescent="0.45">
      <c r="A2798" s="642"/>
      <c r="B2798" s="1030"/>
      <c r="C2798" s="1030"/>
      <c r="D2798" s="1030"/>
      <c r="E2798" s="221"/>
      <c r="F2798" s="47"/>
      <c r="G2798" s="47"/>
      <c r="H2798" s="47"/>
      <c r="I2798" s="47"/>
      <c r="J2798" s="47" t="s">
        <v>38</v>
      </c>
      <c r="K2798" s="221">
        <f>SUM(K2790:K2797)</f>
        <v>230.12518284493856</v>
      </c>
      <c r="L2798" s="47" t="s">
        <v>35</v>
      </c>
      <c r="M2798" s="25"/>
      <c r="N2798" s="26"/>
      <c r="O2798" s="2"/>
      <c r="P2798" s="27"/>
      <c r="Q2798" s="26"/>
      <c r="R2798" s="28"/>
    </row>
    <row r="2799" spans="1:20" ht="30" customHeight="1" x14ac:dyDescent="0.45">
      <c r="A2799" s="47"/>
      <c r="B2799" s="224"/>
      <c r="C2799" s="224"/>
      <c r="D2799" s="224"/>
      <c r="E2799" s="221"/>
      <c r="F2799" s="1011" t="s">
        <v>285</v>
      </c>
      <c r="G2799" s="1013" t="s">
        <v>286</v>
      </c>
      <c r="H2799" s="1013"/>
      <c r="I2799" s="1013"/>
      <c r="J2799" s="1013"/>
      <c r="K2799" s="278">
        <v>1.1000000000000001</v>
      </c>
      <c r="L2799" s="47"/>
      <c r="M2799" s="25"/>
      <c r="N2799" s="26"/>
      <c r="O2799" s="2"/>
      <c r="P2799" s="27"/>
      <c r="Q2799" s="26"/>
      <c r="R2799" s="28"/>
      <c r="T2799" s="41"/>
    </row>
    <row r="2800" spans="1:20" ht="30" customHeight="1" x14ac:dyDescent="0.45">
      <c r="A2800" s="47"/>
      <c r="B2800" s="224"/>
      <c r="C2800" s="224"/>
      <c r="D2800" s="224"/>
      <c r="E2800" s="221"/>
      <c r="F2800" s="1012"/>
      <c r="G2800" s="1014" t="s">
        <v>580</v>
      </c>
      <c r="H2800" s="1014"/>
      <c r="I2800" s="1014"/>
      <c r="J2800" s="1014"/>
      <c r="K2800" s="278">
        <v>1.08</v>
      </c>
      <c r="L2800" s="47"/>
      <c r="M2800" s="25"/>
      <c r="N2800" s="26"/>
      <c r="O2800" s="2"/>
      <c r="P2800" s="27"/>
      <c r="Q2800" s="26"/>
      <c r="R2800" s="28"/>
      <c r="T2800" s="41"/>
    </row>
    <row r="2801" spans="1:25" ht="30" customHeight="1" x14ac:dyDescent="0.45">
      <c r="A2801" s="47"/>
      <c r="B2801" s="47"/>
      <c r="C2801" s="58"/>
      <c r="D2801" s="58"/>
      <c r="E2801" s="58"/>
      <c r="F2801" s="58"/>
      <c r="G2801" s="58"/>
      <c r="H2801" s="58"/>
      <c r="I2801" s="58"/>
      <c r="J2801" s="58" t="s">
        <v>39</v>
      </c>
      <c r="K2801" s="216">
        <f>+K2798*K2799/K2800</f>
        <v>234.38676030503001</v>
      </c>
      <c r="L2801" s="47" t="s">
        <v>35</v>
      </c>
      <c r="M2801" s="25"/>
      <c r="O2801" s="2"/>
      <c r="P2801" s="27"/>
      <c r="Q2801" s="26"/>
      <c r="R2801" s="28"/>
      <c r="T2801" s="18"/>
      <c r="U2801" s="18"/>
      <c r="V2801" s="18"/>
      <c r="W2801" s="18"/>
      <c r="X2801" s="18"/>
    </row>
    <row r="2802" spans="1:25" ht="30" customHeight="1" x14ac:dyDescent="0.45">
      <c r="A2802" s="47"/>
      <c r="B2802" s="47"/>
      <c r="C2802" s="58"/>
      <c r="D2802" s="58"/>
      <c r="E2802" s="58"/>
      <c r="F2802" s="58"/>
      <c r="G2802" s="1021" t="s">
        <v>288</v>
      </c>
      <c r="H2802" s="1022"/>
      <c r="I2802" s="1023"/>
      <c r="J2802" s="213">
        <f>VLOOKUP(B2788,'[1]Mil Cost Premiums for PUCs'!$A$4:$R$278,18,FALSE)</f>
        <v>1.3319480854780448</v>
      </c>
      <c r="K2802" s="216">
        <f>+K2801*J2802</f>
        <v>312.1909966496861</v>
      </c>
      <c r="L2802" s="47" t="s">
        <v>35</v>
      </c>
      <c r="M2802" s="25"/>
      <c r="N2802" s="5"/>
      <c r="S2802" s="41"/>
      <c r="Y2802" s="18"/>
    </row>
    <row r="2803" spans="1:25" ht="30" customHeight="1" x14ac:dyDescent="0.45">
      <c r="A2803" s="531"/>
      <c r="B2803" s="531"/>
      <c r="C2803" s="538"/>
      <c r="D2803" s="538"/>
      <c r="E2803" s="552"/>
      <c r="F2803" s="1024" t="s">
        <v>581</v>
      </c>
      <c r="G2803" s="1024"/>
      <c r="H2803" s="1024"/>
      <c r="I2803" s="1024"/>
      <c r="J2803" s="543">
        <v>1.0833999999999999</v>
      </c>
      <c r="K2803" s="363">
        <f>K2802*J2803</f>
        <v>338.2277257702699</v>
      </c>
      <c r="L2803" s="47" t="s">
        <v>35</v>
      </c>
      <c r="M2803" s="25"/>
      <c r="N2803" s="26"/>
      <c r="S2803" s="41"/>
    </row>
    <row r="2804" spans="1:25" ht="30" customHeight="1" x14ac:dyDescent="0.45">
      <c r="A2804" s="225"/>
      <c r="B2804" s="225"/>
      <c r="C2804" s="150"/>
      <c r="D2804" s="150"/>
      <c r="E2804" s="150"/>
      <c r="F2804" s="150"/>
      <c r="G2804" s="1025" t="s">
        <v>299</v>
      </c>
      <c r="H2804" s="1026"/>
      <c r="I2804" s="1027"/>
      <c r="J2804" s="226">
        <v>1.1214</v>
      </c>
      <c r="K2804" s="227">
        <f>+K2803*J2804</f>
        <v>379.28857167878067</v>
      </c>
      <c r="L2804" s="47" t="s">
        <v>35</v>
      </c>
      <c r="M2804" s="25"/>
    </row>
    <row r="2805" spans="1:25" ht="65.099999999999994" customHeight="1" x14ac:dyDescent="0.45">
      <c r="A2805" s="1181" t="s">
        <v>366</v>
      </c>
      <c r="B2805" s="1182"/>
      <c r="C2805" s="1182"/>
      <c r="D2805" s="1182"/>
      <c r="E2805" s="1182"/>
      <c r="F2805" s="1182"/>
      <c r="G2805" s="1182"/>
      <c r="H2805" s="1182"/>
      <c r="I2805" s="1182"/>
      <c r="J2805" s="1182"/>
      <c r="K2805" s="1182"/>
      <c r="L2805" s="1183"/>
      <c r="M2805" s="25"/>
      <c r="N2805" s="18"/>
      <c r="O2805" s="5"/>
      <c r="P2805" s="18"/>
      <c r="Q2805" s="18"/>
      <c r="R2805" s="18"/>
      <c r="S2805" s="18"/>
      <c r="T2805" s="41"/>
    </row>
    <row r="2806" spans="1:25" s="18" customFormat="1" ht="33" customHeight="1" x14ac:dyDescent="0.45">
      <c r="A2806" s="1142" t="s">
        <v>367</v>
      </c>
      <c r="B2806" s="1117"/>
      <c r="C2806" s="1118"/>
      <c r="D2806" s="1181" t="s">
        <v>1597</v>
      </c>
      <c r="E2806" s="1182"/>
      <c r="F2806" s="1182"/>
      <c r="G2806" s="1182"/>
      <c r="H2806" s="1182"/>
      <c r="I2806" s="1182"/>
      <c r="J2806" s="1182"/>
      <c r="K2806" s="1182"/>
      <c r="L2806" s="1183"/>
      <c r="M2806" s="25"/>
      <c r="N2806" s="26"/>
      <c r="O2806" s="3"/>
      <c r="P2806" s="2"/>
      <c r="Q2806" s="2"/>
      <c r="R2806" s="2"/>
      <c r="S2806" s="2"/>
      <c r="T2806" s="41"/>
      <c r="U2806" s="2"/>
      <c r="V2806" s="2"/>
      <c r="W2806" s="2"/>
      <c r="X2806" s="2"/>
      <c r="Y2806" s="2"/>
    </row>
    <row r="2807" spans="1:25" ht="30" customHeight="1" x14ac:dyDescent="0.45">
      <c r="A2807" s="1142" t="s">
        <v>369</v>
      </c>
      <c r="B2807" s="1117"/>
      <c r="C2807" s="1118"/>
      <c r="D2807" s="1181" t="s">
        <v>1598</v>
      </c>
      <c r="E2807" s="1182"/>
      <c r="F2807" s="1182"/>
      <c r="G2807" s="1182"/>
      <c r="H2807" s="1182"/>
      <c r="I2807" s="1182"/>
      <c r="J2807" s="1182"/>
      <c r="K2807" s="1182"/>
      <c r="L2807" s="1183"/>
      <c r="M2807" s="25"/>
      <c r="N2807" s="101"/>
      <c r="T2807" s="18"/>
      <c r="U2807" s="18"/>
      <c r="V2807" s="18"/>
      <c r="W2807" s="18"/>
      <c r="X2807" s="18"/>
    </row>
    <row r="2808" spans="1:25" ht="30" customHeight="1" x14ac:dyDescent="0.45">
      <c r="A2808" s="1142" t="s">
        <v>371</v>
      </c>
      <c r="B2808" s="1117"/>
      <c r="C2808" s="1118"/>
      <c r="D2808" s="1181" t="s">
        <v>1599</v>
      </c>
      <c r="E2808" s="1182"/>
      <c r="F2808" s="1182"/>
      <c r="G2808" s="1182"/>
      <c r="H2808" s="1182"/>
      <c r="I2808" s="1182"/>
      <c r="J2808" s="1182"/>
      <c r="K2808" s="1182"/>
      <c r="L2808" s="1183"/>
      <c r="M2808" s="25"/>
      <c r="N2808" s="26"/>
      <c r="S2808" s="41"/>
      <c r="Y2808" s="18"/>
    </row>
    <row r="2809" spans="1:25" ht="30" customHeight="1" x14ac:dyDescent="0.45">
      <c r="A2809" s="1142" t="s">
        <v>373</v>
      </c>
      <c r="B2809" s="1117"/>
      <c r="C2809" s="1118"/>
      <c r="D2809" s="1181" t="s">
        <v>1600</v>
      </c>
      <c r="E2809" s="1182"/>
      <c r="F2809" s="1182"/>
      <c r="G2809" s="1182"/>
      <c r="H2809" s="1182"/>
      <c r="I2809" s="1182"/>
      <c r="J2809" s="1182"/>
      <c r="K2809" s="1182"/>
      <c r="L2809" s="1183"/>
      <c r="M2809" s="25"/>
      <c r="N2809" s="26"/>
      <c r="S2809" s="41"/>
    </row>
    <row r="2810" spans="1:25" ht="30" customHeight="1" x14ac:dyDescent="0.45">
      <c r="A2810" s="1142" t="s">
        <v>375</v>
      </c>
      <c r="B2810" s="1117"/>
      <c r="C2810" s="1118"/>
      <c r="D2810" s="1181" t="s">
        <v>1601</v>
      </c>
      <c r="E2810" s="1182"/>
      <c r="F2810" s="1182"/>
      <c r="G2810" s="1182"/>
      <c r="H2810" s="1182"/>
      <c r="I2810" s="1182"/>
      <c r="J2810" s="1182"/>
      <c r="K2810" s="1182"/>
      <c r="L2810" s="1183"/>
      <c r="M2810" s="25"/>
      <c r="N2810" s="26"/>
      <c r="O2810" s="5"/>
      <c r="P2810" s="18"/>
      <c r="Q2810" s="18"/>
      <c r="R2810" s="18"/>
      <c r="S2810" s="18"/>
    </row>
    <row r="2811" spans="1:25" s="18" customFormat="1" ht="75" customHeight="1" x14ac:dyDescent="0.45">
      <c r="A2811" s="1142" t="s">
        <v>377</v>
      </c>
      <c r="B2811" s="1117"/>
      <c r="C2811" s="1118"/>
      <c r="D2811" s="1181" t="s">
        <v>510</v>
      </c>
      <c r="E2811" s="1182"/>
      <c r="F2811" s="1182"/>
      <c r="G2811" s="1182"/>
      <c r="H2811" s="1182"/>
      <c r="I2811" s="1182"/>
      <c r="J2811" s="1182"/>
      <c r="K2811" s="1182"/>
      <c r="L2811" s="1183"/>
      <c r="M2811" s="25"/>
      <c r="N2811" s="26"/>
      <c r="O2811" s="3"/>
      <c r="P2811" s="2"/>
      <c r="Q2811" s="2"/>
      <c r="R2811" s="2"/>
      <c r="S2811" s="2"/>
      <c r="T2811" s="2"/>
      <c r="U2811" s="2"/>
      <c r="V2811" s="2"/>
      <c r="W2811" s="2"/>
      <c r="X2811" s="2"/>
      <c r="Y2811" s="2"/>
    </row>
    <row r="2812" spans="1:25" ht="30" customHeight="1" x14ac:dyDescent="0.45">
      <c r="A2812" s="1142" t="s">
        <v>379</v>
      </c>
      <c r="B2812" s="1117"/>
      <c r="C2812" s="1118"/>
      <c r="D2812" s="1181" t="s">
        <v>1602</v>
      </c>
      <c r="E2812" s="1182"/>
      <c r="F2812" s="1182"/>
      <c r="G2812" s="1182"/>
      <c r="H2812" s="1182"/>
      <c r="I2812" s="1182"/>
      <c r="J2812" s="1182"/>
      <c r="K2812" s="1182"/>
      <c r="L2812" s="1183"/>
      <c r="M2812" s="25"/>
      <c r="N2812" s="26"/>
    </row>
    <row r="2813" spans="1:25" ht="30" customHeight="1" x14ac:dyDescent="0.45">
      <c r="A2813" s="1142" t="s">
        <v>381</v>
      </c>
      <c r="B2813" s="1117"/>
      <c r="C2813" s="1118"/>
      <c r="D2813" s="1181" t="s">
        <v>382</v>
      </c>
      <c r="E2813" s="1182"/>
      <c r="F2813" s="1182"/>
      <c r="G2813" s="1182"/>
      <c r="H2813" s="1182"/>
      <c r="I2813" s="1182"/>
      <c r="J2813" s="1182"/>
      <c r="K2813" s="1182"/>
      <c r="L2813" s="1183"/>
      <c r="M2813" s="25"/>
      <c r="N2813" s="26"/>
      <c r="O2813" s="2"/>
      <c r="P2813" s="27"/>
      <c r="Q2813" s="26"/>
      <c r="R2813" s="28"/>
    </row>
    <row r="2814" spans="1:25" ht="75" customHeight="1" thickBot="1" x14ac:dyDescent="0.5">
      <c r="A2814" s="1255" t="s">
        <v>513</v>
      </c>
      <c r="B2814" s="1256"/>
      <c r="C2814" s="1257"/>
      <c r="D2814" s="1104" t="s">
        <v>1603</v>
      </c>
      <c r="E2814" s="1105"/>
      <c r="F2814" s="1105"/>
      <c r="G2814" s="1105"/>
      <c r="H2814" s="1105"/>
      <c r="I2814" s="1105"/>
      <c r="J2814" s="1105"/>
      <c r="K2814" s="1105"/>
      <c r="L2814" s="1106"/>
      <c r="M2814" s="25"/>
      <c r="O2814" s="2"/>
      <c r="P2814" s="27"/>
      <c r="Q2814" s="26"/>
      <c r="R2814" s="28"/>
    </row>
    <row r="2815" spans="1:25" ht="30" customHeight="1" thickBot="1" x14ac:dyDescent="0.5">
      <c r="A2815" s="1077"/>
      <c r="B2815" s="1078"/>
      <c r="C2815" s="1078"/>
      <c r="D2815" s="1078"/>
      <c r="E2815" s="1078"/>
      <c r="F2815" s="1078"/>
      <c r="G2815" s="1078"/>
      <c r="H2815" s="1078"/>
      <c r="I2815" s="1078"/>
      <c r="J2815" s="1078"/>
      <c r="K2815" s="1078"/>
      <c r="L2815" s="1079"/>
      <c r="M2815" s="25"/>
      <c r="N2815" s="144"/>
      <c r="O2815" s="2"/>
      <c r="P2815" s="27"/>
      <c r="Q2815" s="26"/>
      <c r="R2815" s="28"/>
    </row>
    <row r="2816" spans="1:25" ht="30" customHeight="1" x14ac:dyDescent="0.45">
      <c r="A2816" s="93" t="s">
        <v>4</v>
      </c>
      <c r="B2816" s="76">
        <v>7218</v>
      </c>
      <c r="C2816" s="1132" t="s">
        <v>1604</v>
      </c>
      <c r="D2816" s="1133"/>
      <c r="E2816" s="94" t="s">
        <v>7</v>
      </c>
      <c r="F2816" s="95" t="s">
        <v>35</v>
      </c>
      <c r="G2816" s="102" t="s">
        <v>6</v>
      </c>
      <c r="H2816" s="110">
        <v>28980.481983695601</v>
      </c>
      <c r="I2816" s="94" t="s">
        <v>9</v>
      </c>
      <c r="J2816" s="985" t="s">
        <v>266</v>
      </c>
      <c r="K2816" s="985"/>
      <c r="L2816" s="986"/>
      <c r="M2816" s="25"/>
      <c r="N2816" s="229"/>
      <c r="O2816" s="2"/>
      <c r="P2816" s="27"/>
      <c r="Q2816" s="26"/>
      <c r="R2816" s="28"/>
    </row>
    <row r="2817" spans="1:20" ht="30" customHeight="1" x14ac:dyDescent="0.45">
      <c r="A2817" s="19" t="s">
        <v>11</v>
      </c>
      <c r="B2817" s="1005" t="s">
        <v>12</v>
      </c>
      <c r="C2817" s="1005"/>
      <c r="D2817" s="1005"/>
      <c r="E2817" s="132" t="s">
        <v>267</v>
      </c>
      <c r="F2817" s="20" t="s">
        <v>13</v>
      </c>
      <c r="G2817" s="19"/>
      <c r="H2817" s="19"/>
      <c r="I2817" s="1140" t="s">
        <v>60</v>
      </c>
      <c r="J2817" s="1141"/>
      <c r="K2817" s="992" t="s">
        <v>17</v>
      </c>
      <c r="L2817" s="993"/>
      <c r="M2817" s="25"/>
      <c r="O2817" s="2"/>
      <c r="P2817" s="27"/>
      <c r="Q2817" s="26"/>
      <c r="R2817" s="28"/>
    </row>
    <row r="2818" spans="1:20" ht="30" customHeight="1" x14ac:dyDescent="0.45">
      <c r="A2818" s="29" t="s">
        <v>268</v>
      </c>
      <c r="B2818" s="994" t="s">
        <v>1605</v>
      </c>
      <c r="C2818" s="994"/>
      <c r="D2818" s="994"/>
      <c r="E2818" s="176">
        <v>92000</v>
      </c>
      <c r="F2818" s="145">
        <v>356</v>
      </c>
      <c r="G2818" s="177"/>
      <c r="H2818" s="178"/>
      <c r="I2818" s="1119" t="s">
        <v>270</v>
      </c>
      <c r="J2818" s="1120"/>
      <c r="K2818" s="145">
        <f>+F2818</f>
        <v>356</v>
      </c>
      <c r="L2818" s="29" t="s">
        <v>35</v>
      </c>
      <c r="M2818" s="25"/>
      <c r="O2818" s="2"/>
      <c r="P2818" s="27"/>
      <c r="Q2818" s="26"/>
      <c r="R2818" s="28"/>
    </row>
    <row r="2819" spans="1:20" ht="30" customHeight="1" thickBot="1" x14ac:dyDescent="0.5">
      <c r="A2819" s="47"/>
      <c r="B2819" s="1092"/>
      <c r="C2819" s="1092"/>
      <c r="D2819" s="1092"/>
      <c r="E2819" s="180"/>
      <c r="F2819" s="181"/>
      <c r="G2819" s="181"/>
      <c r="H2819" s="182"/>
      <c r="I2819" s="58"/>
      <c r="J2819" s="85" t="s">
        <v>39</v>
      </c>
      <c r="K2819" s="216">
        <f>+K2818</f>
        <v>356</v>
      </c>
      <c r="L2819" s="47" t="s">
        <v>35</v>
      </c>
      <c r="M2819" s="25"/>
      <c r="O2819" s="2"/>
      <c r="P2819" s="27"/>
      <c r="Q2819" s="26"/>
      <c r="R2819" s="28"/>
    </row>
    <row r="2820" spans="1:20" ht="30" customHeight="1" thickBot="1" x14ac:dyDescent="0.5">
      <c r="A2820" s="6"/>
      <c r="B2820" s="7"/>
      <c r="C2820" s="7"/>
      <c r="D2820" s="7"/>
      <c r="E2820" s="7"/>
      <c r="F2820" s="7"/>
      <c r="G2820" s="7"/>
      <c r="H2820" s="7"/>
      <c r="I2820" s="7"/>
      <c r="J2820" s="7"/>
      <c r="K2820" s="7"/>
      <c r="L2820" s="8"/>
      <c r="M2820" s="25"/>
      <c r="O2820" s="2"/>
      <c r="P2820" s="27"/>
      <c r="Q2820" s="26"/>
      <c r="R2820" s="28"/>
    </row>
    <row r="2821" spans="1:20" ht="30" customHeight="1" x14ac:dyDescent="0.45">
      <c r="A2821" s="9" t="s">
        <v>4</v>
      </c>
      <c r="B2821" s="10">
        <v>7220</v>
      </c>
      <c r="C2821" s="1138" t="s">
        <v>1606</v>
      </c>
      <c r="D2821" s="1139"/>
      <c r="E2821" s="13" t="s">
        <v>7</v>
      </c>
      <c r="F2821" s="14" t="s">
        <v>35</v>
      </c>
      <c r="G2821" s="11" t="s">
        <v>6</v>
      </c>
      <c r="H2821" s="273">
        <v>18223.3343120393</v>
      </c>
      <c r="I2821" s="13" t="s">
        <v>9</v>
      </c>
      <c r="J2821" s="985" t="s">
        <v>266</v>
      </c>
      <c r="K2821" s="985"/>
      <c r="L2821" s="986"/>
      <c r="M2821" s="25"/>
      <c r="N2821" s="229"/>
      <c r="O2821" s="2"/>
      <c r="P2821" s="27"/>
      <c r="Q2821" s="26"/>
      <c r="R2821" s="28"/>
    </row>
    <row r="2822" spans="1:20" ht="30" customHeight="1" x14ac:dyDescent="0.45">
      <c r="A2822" s="19" t="s">
        <v>11</v>
      </c>
      <c r="B2822" s="1005" t="s">
        <v>12</v>
      </c>
      <c r="C2822" s="1005"/>
      <c r="D2822" s="1005"/>
      <c r="E2822" s="132" t="s">
        <v>267</v>
      </c>
      <c r="F2822" s="20" t="s">
        <v>13</v>
      </c>
      <c r="G2822" s="19"/>
      <c r="H2822" s="19"/>
      <c r="I2822" s="1140" t="s">
        <v>60</v>
      </c>
      <c r="J2822" s="1141"/>
      <c r="K2822" s="992" t="s">
        <v>17</v>
      </c>
      <c r="L2822" s="993"/>
      <c r="M2822" s="25"/>
      <c r="O2822" s="2"/>
      <c r="P2822" s="27"/>
      <c r="Q2822" s="26"/>
      <c r="R2822" s="28"/>
    </row>
    <row r="2823" spans="1:20" ht="30" customHeight="1" x14ac:dyDescent="0.45">
      <c r="A2823" s="29" t="s">
        <v>268</v>
      </c>
      <c r="B2823" s="1142" t="s">
        <v>1607</v>
      </c>
      <c r="C2823" s="1117"/>
      <c r="D2823" s="1118"/>
      <c r="E2823" s="176">
        <v>37000</v>
      </c>
      <c r="F2823" s="145">
        <v>739</v>
      </c>
      <c r="G2823" s="177"/>
      <c r="H2823" s="178"/>
      <c r="I2823" s="1119" t="s">
        <v>270</v>
      </c>
      <c r="J2823" s="1120"/>
      <c r="K2823" s="145">
        <f>+F2823</f>
        <v>739</v>
      </c>
      <c r="L2823" s="29" t="s">
        <v>35</v>
      </c>
      <c r="O2823" s="2"/>
      <c r="P2823" s="27"/>
      <c r="Q2823" s="26"/>
      <c r="R2823" s="28"/>
    </row>
    <row r="2824" spans="1:20" ht="30" customHeight="1" thickBot="1" x14ac:dyDescent="0.5">
      <c r="A2824" s="47"/>
      <c r="B2824" s="1093"/>
      <c r="C2824" s="1094"/>
      <c r="D2824" s="1095"/>
      <c r="E2824" s="666"/>
      <c r="F2824" s="667"/>
      <c r="G2824" s="667"/>
      <c r="H2824" s="668"/>
      <c r="I2824" s="58"/>
      <c r="J2824" s="85" t="s">
        <v>39</v>
      </c>
      <c r="K2824" s="216">
        <f>+K2823</f>
        <v>739</v>
      </c>
      <c r="L2824" s="47" t="s">
        <v>35</v>
      </c>
      <c r="M2824" s="25"/>
      <c r="N2824" s="26"/>
      <c r="O2824" s="2"/>
      <c r="P2824" s="27"/>
      <c r="Q2824" s="26"/>
      <c r="R2824" s="28"/>
    </row>
    <row r="2825" spans="1:20" ht="30" customHeight="1" thickBot="1" x14ac:dyDescent="0.5">
      <c r="A2825" s="6"/>
      <c r="B2825" s="7"/>
      <c r="C2825" s="7"/>
      <c r="D2825" s="7"/>
      <c r="E2825" s="7"/>
      <c r="F2825" s="7"/>
      <c r="G2825" s="7"/>
      <c r="H2825" s="7"/>
      <c r="I2825" s="7"/>
      <c r="J2825" s="7"/>
      <c r="K2825" s="7"/>
      <c r="L2825" s="8"/>
      <c r="M2825" s="25"/>
      <c r="N2825" s="26"/>
      <c r="O2825" s="2"/>
      <c r="P2825" s="27"/>
      <c r="Q2825" s="26"/>
      <c r="R2825" s="28"/>
    </row>
    <row r="2826" spans="1:20" ht="30" customHeight="1" x14ac:dyDescent="0.45">
      <c r="A2826" s="9" t="s">
        <v>4</v>
      </c>
      <c r="B2826" s="10">
        <v>7231</v>
      </c>
      <c r="C2826" s="1002" t="s">
        <v>1608</v>
      </c>
      <c r="D2826" s="1003"/>
      <c r="E2826" s="13" t="s">
        <v>7</v>
      </c>
      <c r="F2826" s="14" t="s">
        <v>35</v>
      </c>
      <c r="G2826" s="11" t="s">
        <v>6</v>
      </c>
      <c r="H2826" s="163">
        <v>3329</v>
      </c>
      <c r="I2826" s="13" t="s">
        <v>9</v>
      </c>
      <c r="J2826" s="985" t="s">
        <v>575</v>
      </c>
      <c r="K2826" s="985"/>
      <c r="L2826" s="986"/>
      <c r="M2826" s="25"/>
      <c r="N2826" s="306"/>
      <c r="O2826" s="2"/>
      <c r="P2826" s="27"/>
      <c r="Q2826" s="26"/>
      <c r="R2826" s="28"/>
    </row>
    <row r="2827" spans="1:20" ht="30" customHeight="1" x14ac:dyDescent="0.45">
      <c r="A2827" s="85" t="s">
        <v>277</v>
      </c>
      <c r="B2827" s="987" t="s">
        <v>293</v>
      </c>
      <c r="C2827" s="988"/>
      <c r="D2827" s="989"/>
      <c r="E2827" s="220" t="s">
        <v>13</v>
      </c>
      <c r="F2827" s="220" t="s">
        <v>14</v>
      </c>
      <c r="G2827" s="990" t="s">
        <v>15</v>
      </c>
      <c r="H2827" s="991"/>
      <c r="I2827" s="19" t="s">
        <v>278</v>
      </c>
      <c r="J2827" s="19"/>
      <c r="K2827" s="23" t="s">
        <v>17</v>
      </c>
      <c r="L2827" s="412"/>
      <c r="M2827" s="25"/>
      <c r="N2827" s="26"/>
      <c r="O2827" s="2"/>
      <c r="P2827" s="27"/>
      <c r="Q2827" s="26"/>
      <c r="R2827" s="28"/>
    </row>
    <row r="2828" spans="1:20" ht="30" customHeight="1" x14ac:dyDescent="0.45">
      <c r="A2828" s="47" t="s">
        <v>1609</v>
      </c>
      <c r="B2828" s="1008" t="s">
        <v>1610</v>
      </c>
      <c r="C2828" s="1009"/>
      <c r="D2828" s="1010"/>
      <c r="E2828" s="221">
        <v>89.5</v>
      </c>
      <c r="F2828" s="56" t="s">
        <v>35</v>
      </c>
      <c r="G2828" s="348"/>
      <c r="H2828" s="349"/>
      <c r="I2828" s="47">
        <v>1.04</v>
      </c>
      <c r="J2828" s="47"/>
      <c r="K2828" s="221">
        <f>+E2828*I2828</f>
        <v>93.08</v>
      </c>
      <c r="L2828" s="47" t="s">
        <v>35</v>
      </c>
      <c r="M2828" s="25"/>
      <c r="N2828" s="26"/>
      <c r="O2828" s="2"/>
      <c r="P2828" s="27"/>
      <c r="Q2828" s="26"/>
      <c r="R2828" s="28"/>
    </row>
    <row r="2829" spans="1:20" ht="30" customHeight="1" x14ac:dyDescent="0.45">
      <c r="A2829" s="669" t="s">
        <v>1611</v>
      </c>
      <c r="B2829" s="1018" t="s">
        <v>1612</v>
      </c>
      <c r="C2829" s="1019"/>
      <c r="D2829" s="1020"/>
      <c r="E2829" s="221">
        <f>118-4.56</f>
        <v>113.44</v>
      </c>
      <c r="F2829" s="56" t="s">
        <v>35</v>
      </c>
      <c r="G2829" s="348"/>
      <c r="H2829" s="349"/>
      <c r="I2829" s="365">
        <v>1.05</v>
      </c>
      <c r="J2829" s="47"/>
      <c r="K2829" s="221">
        <f>+E2829*I2829</f>
        <v>119.11200000000001</v>
      </c>
      <c r="L2829" s="47" t="s">
        <v>35</v>
      </c>
      <c r="M2829" s="25"/>
      <c r="N2829" s="26"/>
      <c r="O2829" s="2"/>
      <c r="P2829" s="27"/>
      <c r="Q2829" s="26"/>
      <c r="R2829" s="28"/>
    </row>
    <row r="2830" spans="1:20" ht="30" customHeight="1" x14ac:dyDescent="0.45">
      <c r="A2830" s="669"/>
      <c r="B2830" s="204"/>
      <c r="C2830" s="205"/>
      <c r="D2830" s="206"/>
      <c r="E2830" s="221"/>
      <c r="F2830" s="56"/>
      <c r="G2830" s="1175" t="s">
        <v>1613</v>
      </c>
      <c r="H2830" s="1086"/>
      <c r="I2830" s="1086"/>
      <c r="J2830" s="1087"/>
      <c r="K2830" s="221">
        <f>AVERAGE(K2828:K2829)</f>
        <v>106.096</v>
      </c>
      <c r="L2830" s="47" t="s">
        <v>35</v>
      </c>
      <c r="M2830" s="25"/>
      <c r="N2830" s="26"/>
      <c r="O2830" s="2"/>
      <c r="P2830" s="27"/>
      <c r="Q2830" s="26"/>
      <c r="R2830" s="28"/>
    </row>
    <row r="2831" spans="1:20" ht="30" customHeight="1" x14ac:dyDescent="0.45">
      <c r="A2831" s="47" t="s">
        <v>1466</v>
      </c>
      <c r="B2831" s="1030" t="s">
        <v>1614</v>
      </c>
      <c r="C2831" s="1030"/>
      <c r="D2831" s="1030"/>
      <c r="E2831" s="221">
        <v>4.4400000000000004</v>
      </c>
      <c r="F2831" s="47" t="s">
        <v>35</v>
      </c>
      <c r="G2831" s="47"/>
      <c r="H2831" s="47"/>
      <c r="I2831" s="47">
        <v>1.04</v>
      </c>
      <c r="J2831" s="47"/>
      <c r="K2831" s="221">
        <f>+E2831*I2831</f>
        <v>4.6176000000000004</v>
      </c>
      <c r="L2831" s="47" t="s">
        <v>35</v>
      </c>
      <c r="M2831" s="25"/>
      <c r="N2831" s="26"/>
      <c r="O2831" s="2"/>
      <c r="P2831" s="27"/>
      <c r="Q2831" s="26"/>
      <c r="R2831" s="28"/>
      <c r="T2831" s="18"/>
    </row>
    <row r="2832" spans="1:20" ht="30" customHeight="1" x14ac:dyDescent="0.45">
      <c r="A2832" s="642"/>
      <c r="B2832" s="1030"/>
      <c r="C2832" s="1030"/>
      <c r="D2832" s="1030"/>
      <c r="E2832" s="221"/>
      <c r="F2832" s="47"/>
      <c r="G2832" s="47"/>
      <c r="H2832" s="47"/>
      <c r="I2832" s="47"/>
      <c r="J2832" s="47" t="s">
        <v>38</v>
      </c>
      <c r="K2832" s="221">
        <f>SUM(K2830:K2831)</f>
        <v>110.7136</v>
      </c>
      <c r="L2832" s="47" t="s">
        <v>35</v>
      </c>
      <c r="M2832" s="25"/>
      <c r="N2832" s="26"/>
      <c r="O2832" s="2"/>
      <c r="P2832" s="27"/>
      <c r="Q2832" s="26"/>
      <c r="R2832" s="28"/>
      <c r="T2832" s="18"/>
    </row>
    <row r="2833" spans="1:25" ht="30" customHeight="1" x14ac:dyDescent="0.45">
      <c r="A2833" s="47"/>
      <c r="B2833" s="224"/>
      <c r="C2833" s="224"/>
      <c r="D2833" s="224"/>
      <c r="E2833" s="221"/>
      <c r="F2833" s="1011" t="s">
        <v>285</v>
      </c>
      <c r="G2833" s="1013" t="s">
        <v>286</v>
      </c>
      <c r="H2833" s="1013"/>
      <c r="I2833" s="1013"/>
      <c r="J2833" s="1013"/>
      <c r="K2833" s="278">
        <v>1.07</v>
      </c>
      <c r="L2833" s="47"/>
      <c r="M2833" s="25"/>
      <c r="N2833" s="26"/>
      <c r="O2833" s="2"/>
      <c r="P2833" s="27"/>
      <c r="Q2833" s="26"/>
      <c r="R2833" s="28"/>
      <c r="T2833" s="18"/>
      <c r="U2833" s="18"/>
      <c r="V2833" s="18"/>
      <c r="W2833" s="18"/>
      <c r="X2833" s="18"/>
    </row>
    <row r="2834" spans="1:25" ht="30" customHeight="1" x14ac:dyDescent="0.45">
      <c r="A2834" s="47"/>
      <c r="B2834" s="224"/>
      <c r="C2834" s="224"/>
      <c r="D2834" s="224"/>
      <c r="E2834" s="221"/>
      <c r="F2834" s="1012"/>
      <c r="G2834" s="1014" t="s">
        <v>580</v>
      </c>
      <c r="H2834" s="1014"/>
      <c r="I2834" s="1014"/>
      <c r="J2834" s="1014"/>
      <c r="K2834" s="278">
        <v>1.08</v>
      </c>
      <c r="L2834" s="47"/>
      <c r="M2834" s="25"/>
      <c r="N2834" s="26"/>
      <c r="O2834" s="5"/>
      <c r="P2834" s="18"/>
      <c r="Q2834" s="18"/>
      <c r="R2834" s="18"/>
      <c r="S2834" s="18"/>
      <c r="Y2834" s="18"/>
    </row>
    <row r="2835" spans="1:25" ht="30" customHeight="1" x14ac:dyDescent="0.45">
      <c r="A2835" s="47"/>
      <c r="B2835" s="47"/>
      <c r="C2835" s="58"/>
      <c r="D2835" s="58"/>
      <c r="E2835" s="58"/>
      <c r="F2835" s="58"/>
      <c r="G2835" s="58"/>
      <c r="H2835" s="58"/>
      <c r="I2835" s="58"/>
      <c r="J2835" s="47" t="s">
        <v>39</v>
      </c>
      <c r="K2835" s="216">
        <f>+K2832*K2833/K2834</f>
        <v>109.68847407407408</v>
      </c>
      <c r="L2835" s="47" t="s">
        <v>35</v>
      </c>
      <c r="M2835" s="121"/>
      <c r="N2835" s="26"/>
      <c r="O2835" s="5"/>
      <c r="P2835" s="18"/>
      <c r="Q2835" s="18"/>
      <c r="R2835" s="18"/>
      <c r="S2835" s="18"/>
      <c r="U2835" s="18"/>
      <c r="V2835" s="18"/>
      <c r="W2835" s="18"/>
      <c r="X2835" s="18"/>
    </row>
    <row r="2836" spans="1:25" ht="30" customHeight="1" x14ac:dyDescent="0.45">
      <c r="A2836" s="47"/>
      <c r="B2836" s="47"/>
      <c r="C2836" s="58"/>
      <c r="D2836" s="58"/>
      <c r="E2836" s="58"/>
      <c r="F2836" s="58"/>
      <c r="G2836" s="1021" t="s">
        <v>288</v>
      </c>
      <c r="H2836" s="1022"/>
      <c r="I2836" s="1023"/>
      <c r="J2836" s="213">
        <f>VLOOKUP(B2826,'[1]Mil Cost Premiums for PUCs'!$A$4:$R$278,18,FALSE)</f>
        <v>1.1690733213045894</v>
      </c>
      <c r="K2836" s="216">
        <f>+K2835*J2836</f>
        <v>128.23386869461012</v>
      </c>
      <c r="L2836" s="47" t="s">
        <v>35</v>
      </c>
      <c r="M2836" s="25"/>
      <c r="N2836" s="26"/>
      <c r="O2836" s="5"/>
      <c r="P2836" s="18"/>
      <c r="Q2836" s="18"/>
      <c r="R2836" s="18"/>
      <c r="S2836" s="18"/>
      <c r="U2836" s="18"/>
      <c r="V2836" s="18"/>
      <c r="W2836" s="18"/>
      <c r="X2836" s="18"/>
      <c r="Y2836" s="18"/>
    </row>
    <row r="2837" spans="1:25" s="18" customFormat="1" ht="30" customHeight="1" x14ac:dyDescent="0.45">
      <c r="A2837" s="531"/>
      <c r="B2837" s="531"/>
      <c r="C2837" s="538"/>
      <c r="D2837" s="538"/>
      <c r="E2837" s="552"/>
      <c r="F2837" s="1024" t="s">
        <v>581</v>
      </c>
      <c r="G2837" s="1024"/>
      <c r="H2837" s="1024"/>
      <c r="I2837" s="1024"/>
      <c r="J2837" s="543">
        <v>1.0833999999999999</v>
      </c>
      <c r="K2837" s="363">
        <f>K2836*J2837</f>
        <v>138.9285733437406</v>
      </c>
      <c r="L2837" s="47" t="s">
        <v>35</v>
      </c>
      <c r="M2837" s="25"/>
      <c r="N2837" s="26"/>
      <c r="O2837" s="3"/>
      <c r="P2837" s="2"/>
      <c r="Q2837" s="2"/>
      <c r="R2837" s="2"/>
      <c r="S2837" s="2"/>
      <c r="T2837" s="41"/>
      <c r="U2837" s="2"/>
      <c r="V2837" s="2"/>
      <c r="W2837" s="2"/>
      <c r="X2837" s="2"/>
    </row>
    <row r="2838" spans="1:25" ht="30" customHeight="1" x14ac:dyDescent="0.45">
      <c r="A2838" s="225"/>
      <c r="B2838" s="225"/>
      <c r="C2838" s="150"/>
      <c r="D2838" s="150"/>
      <c r="E2838" s="150"/>
      <c r="F2838" s="150"/>
      <c r="G2838" s="1025" t="s">
        <v>299</v>
      </c>
      <c r="H2838" s="1026"/>
      <c r="I2838" s="1027"/>
      <c r="J2838" s="226">
        <v>1.1214</v>
      </c>
      <c r="K2838" s="227">
        <f>+K2837*J2838</f>
        <v>155.7945021476707</v>
      </c>
      <c r="L2838" s="47" t="s">
        <v>35</v>
      </c>
      <c r="M2838" s="25"/>
    </row>
    <row r="2839" spans="1:25" ht="84" customHeight="1" x14ac:dyDescent="0.45">
      <c r="A2839" s="1181" t="s">
        <v>366</v>
      </c>
      <c r="B2839" s="1182"/>
      <c r="C2839" s="1182"/>
      <c r="D2839" s="1182"/>
      <c r="E2839" s="1182"/>
      <c r="F2839" s="1182"/>
      <c r="G2839" s="1182"/>
      <c r="H2839" s="1182"/>
      <c r="I2839" s="1182"/>
      <c r="J2839" s="1182"/>
      <c r="K2839" s="1182"/>
      <c r="L2839" s="1183"/>
      <c r="M2839" s="25"/>
      <c r="N2839" s="26"/>
      <c r="T2839" s="41"/>
    </row>
    <row r="2840" spans="1:25" s="18" customFormat="1" ht="42.4" customHeight="1" x14ac:dyDescent="0.45">
      <c r="A2840" s="1142" t="s">
        <v>367</v>
      </c>
      <c r="B2840" s="1117"/>
      <c r="C2840" s="1118"/>
      <c r="D2840" s="1181" t="s">
        <v>1615</v>
      </c>
      <c r="E2840" s="1182"/>
      <c r="F2840" s="1182"/>
      <c r="G2840" s="1182"/>
      <c r="H2840" s="1182"/>
      <c r="I2840" s="1182"/>
      <c r="J2840" s="1182"/>
      <c r="K2840" s="1182"/>
      <c r="L2840" s="1183"/>
      <c r="M2840" s="25"/>
      <c r="N2840" s="26"/>
      <c r="O2840" s="3"/>
      <c r="P2840" s="2"/>
      <c r="Q2840" s="2"/>
      <c r="R2840" s="2"/>
      <c r="S2840" s="2"/>
      <c r="U2840" s="2"/>
      <c r="V2840" s="2"/>
      <c r="W2840" s="2"/>
      <c r="X2840" s="2"/>
      <c r="Y2840" s="2"/>
    </row>
    <row r="2841" spans="1:25" s="18" customFormat="1" ht="30" customHeight="1" x14ac:dyDescent="0.45">
      <c r="A2841" s="1142" t="s">
        <v>369</v>
      </c>
      <c r="B2841" s="1117"/>
      <c r="C2841" s="1118"/>
      <c r="D2841" s="1181" t="s">
        <v>1616</v>
      </c>
      <c r="E2841" s="1182"/>
      <c r="F2841" s="1182"/>
      <c r="G2841" s="1182"/>
      <c r="H2841" s="1182"/>
      <c r="I2841" s="1182"/>
      <c r="J2841" s="1182"/>
      <c r="K2841" s="1182"/>
      <c r="L2841" s="1183"/>
      <c r="M2841" s="25"/>
      <c r="N2841" s="26"/>
      <c r="O2841" s="3"/>
      <c r="P2841" s="2"/>
      <c r="Q2841" s="2"/>
      <c r="R2841" s="2"/>
      <c r="S2841" s="41"/>
      <c r="T2841" s="2"/>
      <c r="U2841" s="2"/>
      <c r="V2841" s="2"/>
      <c r="W2841" s="2"/>
      <c r="X2841" s="2"/>
      <c r="Y2841" s="2"/>
    </row>
    <row r="2842" spans="1:25" ht="30" customHeight="1" x14ac:dyDescent="0.45">
      <c r="A2842" s="1142" t="s">
        <v>371</v>
      </c>
      <c r="B2842" s="1117"/>
      <c r="C2842" s="1118"/>
      <c r="D2842" s="1181" t="s">
        <v>1617</v>
      </c>
      <c r="E2842" s="1182"/>
      <c r="F2842" s="1182"/>
      <c r="G2842" s="1182"/>
      <c r="H2842" s="1182"/>
      <c r="I2842" s="1182"/>
      <c r="J2842" s="1182"/>
      <c r="K2842" s="1182"/>
      <c r="L2842" s="1183"/>
      <c r="M2842" s="25"/>
      <c r="N2842" s="26"/>
      <c r="S2842" s="41"/>
      <c r="U2842" s="18"/>
      <c r="V2842" s="18"/>
      <c r="W2842" s="18"/>
      <c r="X2842" s="18"/>
    </row>
    <row r="2843" spans="1:25" ht="30" customHeight="1" x14ac:dyDescent="0.45">
      <c r="A2843" s="1142" t="s">
        <v>373</v>
      </c>
      <c r="B2843" s="1117"/>
      <c r="C2843" s="1118"/>
      <c r="D2843" s="1181" t="s">
        <v>1618</v>
      </c>
      <c r="E2843" s="1182"/>
      <c r="F2843" s="1182"/>
      <c r="G2843" s="1182"/>
      <c r="H2843" s="1182"/>
      <c r="I2843" s="1182"/>
      <c r="J2843" s="1182"/>
      <c r="K2843" s="1182"/>
      <c r="L2843" s="1183"/>
      <c r="M2843" s="25"/>
      <c r="N2843" s="26"/>
      <c r="O2843" s="5"/>
      <c r="P2843" s="18"/>
      <c r="Q2843" s="18"/>
      <c r="R2843" s="18"/>
      <c r="S2843" s="18"/>
      <c r="T2843" s="90"/>
      <c r="Y2843" s="18"/>
    </row>
    <row r="2844" spans="1:25" ht="30" customHeight="1" x14ac:dyDescent="0.45">
      <c r="A2844" s="1142" t="s">
        <v>375</v>
      </c>
      <c r="B2844" s="1117"/>
      <c r="C2844" s="1118"/>
      <c r="D2844" s="1181" t="s">
        <v>1619</v>
      </c>
      <c r="E2844" s="1182"/>
      <c r="F2844" s="1182"/>
      <c r="G2844" s="1182"/>
      <c r="H2844" s="1182"/>
      <c r="I2844" s="1182"/>
      <c r="J2844" s="1182"/>
      <c r="K2844" s="1182"/>
      <c r="L2844" s="1183"/>
      <c r="M2844" s="25"/>
      <c r="N2844" s="26"/>
      <c r="T2844" s="41"/>
    </row>
    <row r="2845" spans="1:25" ht="30" customHeight="1" x14ac:dyDescent="0.45">
      <c r="A2845" s="1142" t="s">
        <v>377</v>
      </c>
      <c r="B2845" s="1117"/>
      <c r="C2845" s="1118"/>
      <c r="D2845" s="1181" t="s">
        <v>1620</v>
      </c>
      <c r="E2845" s="1182"/>
      <c r="F2845" s="1182"/>
      <c r="G2845" s="1182"/>
      <c r="H2845" s="1182"/>
      <c r="I2845" s="1182"/>
      <c r="J2845" s="1182"/>
      <c r="K2845" s="1182"/>
      <c r="L2845" s="1183"/>
      <c r="M2845" s="25"/>
      <c r="N2845" s="26"/>
    </row>
    <row r="2846" spans="1:25" s="18" customFormat="1" ht="30" customHeight="1" x14ac:dyDescent="0.45">
      <c r="A2846" s="1142" t="s">
        <v>379</v>
      </c>
      <c r="B2846" s="1117"/>
      <c r="C2846" s="1118"/>
      <c r="D2846" s="1181" t="s">
        <v>1621</v>
      </c>
      <c r="E2846" s="1182"/>
      <c r="F2846" s="1182"/>
      <c r="G2846" s="1182"/>
      <c r="H2846" s="1182"/>
      <c r="I2846" s="1182"/>
      <c r="J2846" s="1182"/>
      <c r="K2846" s="1182"/>
      <c r="L2846" s="1183"/>
      <c r="M2846" s="25"/>
      <c r="N2846" s="229"/>
      <c r="O2846" s="3"/>
      <c r="P2846" s="2"/>
      <c r="Q2846" s="2"/>
      <c r="R2846" s="2"/>
      <c r="S2846" s="90"/>
      <c r="T2846" s="2"/>
      <c r="U2846" s="2"/>
      <c r="V2846" s="2"/>
      <c r="W2846" s="2"/>
      <c r="X2846" s="2"/>
      <c r="Y2846" s="2"/>
    </row>
    <row r="2847" spans="1:25" ht="30" customHeight="1" x14ac:dyDescent="0.45">
      <c r="A2847" s="1142" t="s">
        <v>381</v>
      </c>
      <c r="B2847" s="1117"/>
      <c r="C2847" s="1118"/>
      <c r="D2847" s="1181" t="s">
        <v>382</v>
      </c>
      <c r="E2847" s="1182"/>
      <c r="F2847" s="1182"/>
      <c r="G2847" s="1182"/>
      <c r="H2847" s="1182"/>
      <c r="I2847" s="1182"/>
      <c r="J2847" s="1182"/>
      <c r="K2847" s="1182"/>
      <c r="L2847" s="1183"/>
      <c r="M2847" s="25"/>
      <c r="N2847" s="144"/>
      <c r="S2847" s="41"/>
    </row>
    <row r="2848" spans="1:25" ht="14.65" thickBot="1" x14ac:dyDescent="0.5">
      <c r="A2848" s="1142" t="s">
        <v>513</v>
      </c>
      <c r="B2848" s="1117"/>
      <c r="C2848" s="1118"/>
      <c r="D2848" s="1187" t="s">
        <v>1622</v>
      </c>
      <c r="E2848" s="1188"/>
      <c r="F2848" s="1188"/>
      <c r="G2848" s="1188"/>
      <c r="H2848" s="1188"/>
      <c r="I2848" s="1188"/>
      <c r="J2848" s="1188"/>
      <c r="K2848" s="1188"/>
      <c r="L2848" s="1189"/>
      <c r="M2848" s="25"/>
      <c r="N2848" s="229"/>
      <c r="O2848" s="2"/>
      <c r="P2848" s="27"/>
      <c r="Q2848" s="26"/>
      <c r="R2848" s="28"/>
      <c r="S2848" s="18"/>
    </row>
    <row r="2849" spans="1:18" ht="30" customHeight="1" thickBot="1" x14ac:dyDescent="0.5">
      <c r="A2849" s="1245"/>
      <c r="B2849" s="1246"/>
      <c r="C2849" s="1246"/>
      <c r="D2849" s="1246"/>
      <c r="E2849" s="1246"/>
      <c r="F2849" s="1246"/>
      <c r="G2849" s="1246"/>
      <c r="H2849" s="1246"/>
      <c r="I2849" s="1246"/>
      <c r="J2849" s="1246"/>
      <c r="K2849" s="1246"/>
      <c r="L2849" s="1247"/>
      <c r="M2849" s="156"/>
      <c r="N2849" s="229"/>
      <c r="O2849" s="2"/>
      <c r="P2849" s="27"/>
      <c r="Q2849" s="26"/>
      <c r="R2849" s="28"/>
    </row>
    <row r="2850" spans="1:18" ht="30" customHeight="1" x14ac:dyDescent="0.45">
      <c r="A2850" s="9" t="s">
        <v>4</v>
      </c>
      <c r="B2850" s="10">
        <v>7232</v>
      </c>
      <c r="C2850" s="1138" t="s">
        <v>1623</v>
      </c>
      <c r="D2850" s="1139"/>
      <c r="E2850" s="13" t="s">
        <v>7</v>
      </c>
      <c r="F2850" s="14" t="s">
        <v>35</v>
      </c>
      <c r="G2850" s="11" t="s">
        <v>6</v>
      </c>
      <c r="H2850" s="300">
        <v>1879.39423076923</v>
      </c>
      <c r="I2850" s="13" t="s">
        <v>9</v>
      </c>
      <c r="J2850" s="985" t="s">
        <v>266</v>
      </c>
      <c r="K2850" s="985"/>
      <c r="L2850" s="986"/>
      <c r="N2850" s="170"/>
      <c r="O2850" s="2"/>
      <c r="P2850" s="27"/>
      <c r="Q2850" s="26"/>
      <c r="R2850" s="28"/>
    </row>
    <row r="2851" spans="1:18" ht="30" customHeight="1" x14ac:dyDescent="0.45">
      <c r="A2851" s="19" t="s">
        <v>11</v>
      </c>
      <c r="B2851" s="1005" t="s">
        <v>12</v>
      </c>
      <c r="C2851" s="1005"/>
      <c r="D2851" s="1005"/>
      <c r="E2851" s="132" t="s">
        <v>267</v>
      </c>
      <c r="F2851" s="20" t="s">
        <v>13</v>
      </c>
      <c r="G2851" s="19"/>
      <c r="H2851" s="19"/>
      <c r="I2851" s="1140" t="s">
        <v>60</v>
      </c>
      <c r="J2851" s="1141"/>
      <c r="K2851" s="992" t="s">
        <v>17</v>
      </c>
      <c r="L2851" s="993"/>
      <c r="M2851" s="156"/>
      <c r="N2851" s="26"/>
      <c r="O2851" s="2"/>
      <c r="P2851" s="27"/>
      <c r="Q2851" s="26"/>
      <c r="R2851" s="28"/>
    </row>
    <row r="2852" spans="1:18" ht="30" customHeight="1" x14ac:dyDescent="0.45">
      <c r="A2852" s="29" t="s">
        <v>268</v>
      </c>
      <c r="B2852" s="1142" t="s">
        <v>1624</v>
      </c>
      <c r="C2852" s="1117"/>
      <c r="D2852" s="1118"/>
      <c r="E2852" s="176">
        <v>150000</v>
      </c>
      <c r="F2852" s="145">
        <v>68</v>
      </c>
      <c r="G2852" s="177"/>
      <c r="H2852" s="178"/>
      <c r="I2852" s="1119" t="s">
        <v>270</v>
      </c>
      <c r="J2852" s="1120"/>
      <c r="K2852" s="145">
        <f>+F2852</f>
        <v>68</v>
      </c>
      <c r="L2852" s="29" t="s">
        <v>35</v>
      </c>
      <c r="M2852" s="156"/>
      <c r="N2852" s="156"/>
      <c r="O2852" s="2"/>
      <c r="P2852" s="27"/>
      <c r="Q2852" s="26"/>
      <c r="R2852" s="28"/>
    </row>
    <row r="2853" spans="1:18" ht="30" customHeight="1" thickBot="1" x14ac:dyDescent="0.5">
      <c r="A2853" s="47"/>
      <c r="B2853" s="1093"/>
      <c r="C2853" s="1094"/>
      <c r="D2853" s="1095"/>
      <c r="E2853" s="666"/>
      <c r="F2853" s="667"/>
      <c r="G2853" s="667"/>
      <c r="H2853" s="668"/>
      <c r="I2853" s="58"/>
      <c r="J2853" s="85" t="s">
        <v>39</v>
      </c>
      <c r="K2853" s="216">
        <f>+K2852</f>
        <v>68</v>
      </c>
      <c r="L2853" s="47" t="s">
        <v>35</v>
      </c>
      <c r="M2853" s="156"/>
      <c r="N2853" s="156"/>
      <c r="O2853" s="2"/>
      <c r="P2853" s="27"/>
      <c r="Q2853" s="26"/>
      <c r="R2853" s="28"/>
    </row>
    <row r="2854" spans="1:18" ht="30" customHeight="1" thickBot="1" x14ac:dyDescent="0.5">
      <c r="A2854" s="999"/>
      <c r="B2854" s="1000"/>
      <c r="C2854" s="1000"/>
      <c r="D2854" s="1000"/>
      <c r="E2854" s="1000"/>
      <c r="F2854" s="1000"/>
      <c r="G2854" s="1000"/>
      <c r="H2854" s="1000"/>
      <c r="I2854" s="1000"/>
      <c r="J2854" s="1000"/>
      <c r="K2854" s="1000"/>
      <c r="L2854" s="1001"/>
      <c r="M2854" s="156"/>
      <c r="N2854" s="156"/>
      <c r="O2854" s="2"/>
      <c r="P2854" s="27"/>
      <c r="Q2854" s="26"/>
      <c r="R2854" s="28"/>
    </row>
    <row r="2855" spans="1:18" ht="30" customHeight="1" x14ac:dyDescent="0.45">
      <c r="A2855" s="9" t="s">
        <v>4</v>
      </c>
      <c r="B2855" s="10">
        <v>7233</v>
      </c>
      <c r="C2855" s="983" t="s">
        <v>1625</v>
      </c>
      <c r="D2855" s="984"/>
      <c r="E2855" s="13" t="s">
        <v>7</v>
      </c>
      <c r="F2855" s="14" t="s">
        <v>35</v>
      </c>
      <c r="G2855" s="11" t="s">
        <v>6</v>
      </c>
      <c r="H2855" s="300">
        <v>3680</v>
      </c>
      <c r="I2855" s="13" t="s">
        <v>9</v>
      </c>
      <c r="J2855" s="985" t="s">
        <v>575</v>
      </c>
      <c r="K2855" s="985"/>
      <c r="L2855" s="986"/>
      <c r="M2855" s="25"/>
      <c r="N2855" s="156"/>
      <c r="O2855" s="2"/>
      <c r="P2855" s="27"/>
      <c r="Q2855" s="26"/>
      <c r="R2855" s="28"/>
    </row>
    <row r="2856" spans="1:18" ht="30" customHeight="1" x14ac:dyDescent="0.45">
      <c r="A2856" s="85" t="s">
        <v>277</v>
      </c>
      <c r="B2856" s="987" t="s">
        <v>293</v>
      </c>
      <c r="C2856" s="988"/>
      <c r="D2856" s="989"/>
      <c r="E2856" s="220" t="s">
        <v>13</v>
      </c>
      <c r="F2856" s="220" t="s">
        <v>14</v>
      </c>
      <c r="G2856" s="990" t="s">
        <v>15</v>
      </c>
      <c r="H2856" s="991"/>
      <c r="I2856" s="19" t="s">
        <v>278</v>
      </c>
      <c r="J2856" s="19"/>
      <c r="K2856" s="23" t="s">
        <v>17</v>
      </c>
      <c r="L2856" s="412"/>
      <c r="M2856" s="25"/>
      <c r="N2856" s="156"/>
      <c r="O2856" s="2"/>
      <c r="P2856" s="27"/>
      <c r="Q2856" s="26"/>
      <c r="R2856" s="28"/>
    </row>
    <row r="2857" spans="1:18" ht="30" customHeight="1" x14ac:dyDescent="0.45">
      <c r="A2857" s="47" t="s">
        <v>1626</v>
      </c>
      <c r="B2857" s="1008" t="s">
        <v>1627</v>
      </c>
      <c r="C2857" s="1009"/>
      <c r="D2857" s="1010"/>
      <c r="E2857" s="221">
        <v>124</v>
      </c>
      <c r="F2857" s="47" t="s">
        <v>35</v>
      </c>
      <c r="G2857" s="47"/>
      <c r="H2857" s="47"/>
      <c r="I2857" s="47">
        <v>1.04</v>
      </c>
      <c r="J2857" s="47"/>
      <c r="K2857" s="221">
        <f>+E2857*I2857</f>
        <v>128.96</v>
      </c>
      <c r="L2857" s="47" t="s">
        <v>35</v>
      </c>
      <c r="M2857" s="25"/>
      <c r="O2857" s="2"/>
      <c r="P2857" s="27"/>
      <c r="Q2857" s="26"/>
      <c r="R2857" s="28"/>
    </row>
    <row r="2858" spans="1:18" ht="30" customHeight="1" x14ac:dyDescent="0.45">
      <c r="A2858" s="47" t="s">
        <v>1466</v>
      </c>
      <c r="B2858" s="1008" t="s">
        <v>1495</v>
      </c>
      <c r="C2858" s="1009"/>
      <c r="D2858" s="1009"/>
      <c r="E2858" s="221">
        <v>4.09</v>
      </c>
      <c r="F2858" s="47" t="s">
        <v>35</v>
      </c>
      <c r="G2858" s="58"/>
      <c r="H2858" s="179"/>
      <c r="I2858" s="47">
        <v>1.04</v>
      </c>
      <c r="J2858" s="47"/>
      <c r="K2858" s="221">
        <f>+E2858*I2858</f>
        <v>4.2535999999999996</v>
      </c>
      <c r="L2858" s="47" t="s">
        <v>35</v>
      </c>
      <c r="M2858" s="25"/>
      <c r="O2858" s="2"/>
      <c r="P2858" s="27"/>
      <c r="Q2858" s="26"/>
      <c r="R2858" s="28"/>
    </row>
    <row r="2859" spans="1:18" ht="30" customHeight="1" x14ac:dyDescent="0.45">
      <c r="A2859" s="47"/>
      <c r="B2859" s="1092"/>
      <c r="C2859" s="1092"/>
      <c r="D2859" s="1092"/>
      <c r="E2859" s="221"/>
      <c r="F2859" s="47"/>
      <c r="G2859" s="58"/>
      <c r="H2859" s="179"/>
      <c r="I2859" s="47"/>
      <c r="J2859" s="47" t="s">
        <v>38</v>
      </c>
      <c r="K2859" s="221">
        <f>SUM(K2857:K2858)</f>
        <v>133.21360000000001</v>
      </c>
      <c r="L2859" s="47" t="s">
        <v>35</v>
      </c>
      <c r="M2859" s="25"/>
      <c r="O2859" s="2"/>
      <c r="P2859" s="27"/>
      <c r="Q2859" s="26"/>
      <c r="R2859" s="28"/>
    </row>
    <row r="2860" spans="1:18" ht="30" customHeight="1" x14ac:dyDescent="0.45">
      <c r="A2860" s="47"/>
      <c r="B2860" s="224"/>
      <c r="C2860" s="224"/>
      <c r="D2860" s="224"/>
      <c r="E2860" s="221"/>
      <c r="F2860" s="1011" t="s">
        <v>285</v>
      </c>
      <c r="G2860" s="1013" t="s">
        <v>286</v>
      </c>
      <c r="H2860" s="1013"/>
      <c r="I2860" s="1013"/>
      <c r="J2860" s="1013"/>
      <c r="K2860" s="278">
        <v>1.07</v>
      </c>
      <c r="L2860" s="47"/>
      <c r="M2860" s="25"/>
      <c r="O2860" s="2"/>
      <c r="P2860" s="27"/>
      <c r="Q2860" s="26"/>
      <c r="R2860" s="28"/>
    </row>
    <row r="2861" spans="1:18" ht="30" customHeight="1" x14ac:dyDescent="0.45">
      <c r="A2861" s="47"/>
      <c r="B2861" s="224"/>
      <c r="C2861" s="224"/>
      <c r="D2861" s="224"/>
      <c r="E2861" s="221"/>
      <c r="F2861" s="1012"/>
      <c r="G2861" s="1014" t="s">
        <v>580</v>
      </c>
      <c r="H2861" s="1014"/>
      <c r="I2861" s="1014"/>
      <c r="J2861" s="1014"/>
      <c r="K2861" s="278">
        <v>1.08</v>
      </c>
      <c r="L2861" s="47"/>
      <c r="O2861" s="2"/>
      <c r="P2861" s="27"/>
      <c r="Q2861" s="26"/>
      <c r="R2861" s="28"/>
    </row>
    <row r="2862" spans="1:18" ht="30" customHeight="1" x14ac:dyDescent="0.45">
      <c r="A2862" s="47"/>
      <c r="B2862" s="47"/>
      <c r="C2862" s="58"/>
      <c r="D2862" s="58"/>
      <c r="E2862" s="58"/>
      <c r="F2862" s="58"/>
      <c r="G2862" s="58"/>
      <c r="H2862" s="58"/>
      <c r="I2862" s="58"/>
      <c r="J2862" s="47" t="s">
        <v>39</v>
      </c>
      <c r="K2862" s="216">
        <f>+K2859*K2860/K2861</f>
        <v>131.98014074074075</v>
      </c>
      <c r="L2862" s="47" t="s">
        <v>35</v>
      </c>
      <c r="M2862" s="25"/>
      <c r="N2862" s="26"/>
      <c r="O2862" s="2"/>
      <c r="P2862" s="27"/>
      <c r="Q2862" s="26"/>
      <c r="R2862" s="28"/>
    </row>
    <row r="2863" spans="1:18" ht="30" customHeight="1" x14ac:dyDescent="0.45">
      <c r="A2863" s="47"/>
      <c r="B2863" s="47"/>
      <c r="C2863" s="58"/>
      <c r="D2863" s="58"/>
      <c r="E2863" s="58"/>
      <c r="F2863" s="58"/>
      <c r="G2863" s="1021" t="s">
        <v>288</v>
      </c>
      <c r="H2863" s="1022"/>
      <c r="I2863" s="1023"/>
      <c r="J2863" s="213">
        <f>VLOOKUP(B2855,'[1]Mil Cost Premiums for PUCs'!$A$4:$R$278,18,FALSE)</f>
        <v>1.0569712645049996</v>
      </c>
      <c r="K2863" s="216">
        <f>+K2862*J2863</f>
        <v>139.49921624828855</v>
      </c>
      <c r="L2863" s="47" t="s">
        <v>35</v>
      </c>
      <c r="M2863" s="25"/>
      <c r="O2863" s="2"/>
      <c r="P2863" s="27"/>
      <c r="Q2863" s="26"/>
      <c r="R2863" s="28"/>
    </row>
    <row r="2864" spans="1:18" ht="30" customHeight="1" x14ac:dyDescent="0.45">
      <c r="A2864" s="531"/>
      <c r="B2864" s="531"/>
      <c r="C2864" s="538"/>
      <c r="D2864" s="538"/>
      <c r="E2864" s="552"/>
      <c r="F2864" s="1024" t="s">
        <v>581</v>
      </c>
      <c r="G2864" s="1024"/>
      <c r="H2864" s="1024"/>
      <c r="I2864" s="1024"/>
      <c r="J2864" s="543">
        <v>1.0833999999999999</v>
      </c>
      <c r="K2864" s="363">
        <f>K2863*J2864</f>
        <v>151.1334508833958</v>
      </c>
      <c r="L2864" s="47" t="s">
        <v>35</v>
      </c>
      <c r="M2864" s="25"/>
      <c r="N2864" s="26"/>
      <c r="O2864" s="2"/>
      <c r="P2864" s="27"/>
      <c r="Q2864" s="26"/>
      <c r="R2864" s="28"/>
    </row>
    <row r="2865" spans="1:18" ht="30" customHeight="1" thickBot="1" x14ac:dyDescent="0.5">
      <c r="A2865" s="225"/>
      <c r="B2865" s="225"/>
      <c r="C2865" s="150"/>
      <c r="D2865" s="150"/>
      <c r="E2865" s="150"/>
      <c r="F2865" s="150"/>
      <c r="G2865" s="1025" t="s">
        <v>299</v>
      </c>
      <c r="H2865" s="1026"/>
      <c r="I2865" s="1027"/>
      <c r="J2865" s="226">
        <v>1.1214</v>
      </c>
      <c r="K2865" s="227">
        <f>+K2864*J2865</f>
        <v>169.48105182064003</v>
      </c>
      <c r="L2865" s="47" t="s">
        <v>35</v>
      </c>
      <c r="M2865" s="25"/>
    </row>
    <row r="2866" spans="1:18" ht="30" customHeight="1" thickBot="1" x14ac:dyDescent="0.5">
      <c r="A2866" s="6"/>
      <c r="B2866" s="7"/>
      <c r="C2866" s="7"/>
      <c r="D2866" s="7"/>
      <c r="E2866" s="7"/>
      <c r="F2866" s="7"/>
      <c r="G2866" s="7"/>
      <c r="H2866" s="7"/>
      <c r="I2866" s="7"/>
      <c r="J2866" s="7"/>
      <c r="K2866" s="7"/>
      <c r="L2866" s="8"/>
      <c r="M2866" s="25"/>
      <c r="N2866" s="26"/>
      <c r="O2866" s="2"/>
      <c r="P2866" s="27"/>
      <c r="Q2866" s="26"/>
      <c r="R2866" s="28"/>
    </row>
    <row r="2867" spans="1:18" ht="30" customHeight="1" x14ac:dyDescent="0.45">
      <c r="A2867" s="9" t="s">
        <v>4</v>
      </c>
      <c r="B2867" s="10">
        <v>7234</v>
      </c>
      <c r="C2867" s="983" t="s">
        <v>1628</v>
      </c>
      <c r="D2867" s="984"/>
      <c r="E2867" s="13" t="s">
        <v>7</v>
      </c>
      <c r="F2867" s="14" t="s">
        <v>35</v>
      </c>
      <c r="G2867" s="11" t="s">
        <v>6</v>
      </c>
      <c r="H2867" s="155">
        <v>662</v>
      </c>
      <c r="I2867" s="13" t="s">
        <v>9</v>
      </c>
      <c r="J2867" s="985" t="s">
        <v>575</v>
      </c>
      <c r="K2867" s="985"/>
      <c r="L2867" s="986"/>
      <c r="M2867" s="25"/>
      <c r="N2867" s="26"/>
      <c r="O2867" s="2"/>
      <c r="P2867" s="27"/>
      <c r="Q2867" s="26"/>
      <c r="R2867" s="28"/>
    </row>
    <row r="2868" spans="1:18" ht="30" customHeight="1" x14ac:dyDescent="0.45">
      <c r="A2868" s="85" t="s">
        <v>277</v>
      </c>
      <c r="B2868" s="987" t="s">
        <v>293</v>
      </c>
      <c r="C2868" s="988"/>
      <c r="D2868" s="989"/>
      <c r="E2868" s="220" t="s">
        <v>13</v>
      </c>
      <c r="F2868" s="220" t="s">
        <v>14</v>
      </c>
      <c r="G2868" s="990" t="s">
        <v>15</v>
      </c>
      <c r="H2868" s="991"/>
      <c r="I2868" s="19" t="s">
        <v>278</v>
      </c>
      <c r="J2868" s="19"/>
      <c r="K2868" s="23" t="s">
        <v>17</v>
      </c>
      <c r="L2868" s="24"/>
      <c r="M2868" s="25"/>
      <c r="N2868" s="26"/>
      <c r="O2868" s="2"/>
      <c r="P2868" s="27"/>
      <c r="Q2868" s="26"/>
      <c r="R2868" s="28"/>
    </row>
    <row r="2869" spans="1:18" ht="30" customHeight="1" x14ac:dyDescent="0.45">
      <c r="A2869" s="47" t="s">
        <v>1629</v>
      </c>
      <c r="B2869" s="1008" t="s">
        <v>1630</v>
      </c>
      <c r="C2869" s="1009"/>
      <c r="D2869" s="1010"/>
      <c r="E2869" s="221">
        <v>143</v>
      </c>
      <c r="F2869" s="56" t="s">
        <v>35</v>
      </c>
      <c r="G2869" s="348"/>
      <c r="H2869" s="349"/>
      <c r="I2869" s="47">
        <v>1.04</v>
      </c>
      <c r="J2869" s="47"/>
      <c r="K2869" s="221">
        <f>+E2869*I2869</f>
        <v>148.72</v>
      </c>
      <c r="L2869" s="47" t="s">
        <v>35</v>
      </c>
      <c r="M2869" s="25"/>
      <c r="N2869" s="26"/>
      <c r="O2869" s="2"/>
      <c r="P2869" s="27"/>
      <c r="Q2869" s="26"/>
      <c r="R2869" s="28"/>
    </row>
    <row r="2870" spans="1:18" ht="30" customHeight="1" x14ac:dyDescent="0.45">
      <c r="A2870" s="47" t="s">
        <v>1631</v>
      </c>
      <c r="B2870" s="1030" t="s">
        <v>1578</v>
      </c>
      <c r="C2870" s="1030"/>
      <c r="D2870" s="1030"/>
      <c r="E2870" s="221">
        <v>4.84</v>
      </c>
      <c r="F2870" s="47" t="s">
        <v>35</v>
      </c>
      <c r="G2870" s="47"/>
      <c r="H2870" s="47"/>
      <c r="I2870" s="47">
        <v>1.04</v>
      </c>
      <c r="J2870" s="47"/>
      <c r="K2870" s="221">
        <f>+E2870*I2870</f>
        <v>5.0335999999999999</v>
      </c>
      <c r="L2870" s="47" t="s">
        <v>35</v>
      </c>
      <c r="M2870" s="25"/>
      <c r="N2870" s="26"/>
      <c r="O2870" s="2"/>
      <c r="P2870" s="27"/>
      <c r="Q2870" s="26"/>
      <c r="R2870" s="28"/>
    </row>
    <row r="2871" spans="1:18" ht="30" customHeight="1" x14ac:dyDescent="0.45">
      <c r="A2871" s="642"/>
      <c r="B2871" s="1030"/>
      <c r="C2871" s="1030"/>
      <c r="D2871" s="1030"/>
      <c r="E2871" s="221"/>
      <c r="F2871" s="47"/>
      <c r="G2871" s="47"/>
      <c r="H2871" s="47"/>
      <c r="I2871" s="47"/>
      <c r="J2871" s="47" t="s">
        <v>38</v>
      </c>
      <c r="K2871" s="221">
        <f>SUM(K2869:K2870)</f>
        <v>153.75360000000001</v>
      </c>
      <c r="L2871" s="47" t="s">
        <v>35</v>
      </c>
      <c r="M2871" s="25"/>
      <c r="N2871" s="26"/>
      <c r="O2871" s="2"/>
      <c r="P2871" s="27"/>
      <c r="Q2871" s="26"/>
      <c r="R2871" s="28"/>
    </row>
    <row r="2872" spans="1:18" ht="30" customHeight="1" x14ac:dyDescent="0.45">
      <c r="A2872" s="47"/>
      <c r="B2872" s="224"/>
      <c r="C2872" s="224"/>
      <c r="D2872" s="224"/>
      <c r="E2872" s="221"/>
      <c r="F2872" s="1011" t="s">
        <v>285</v>
      </c>
      <c r="G2872" s="1013" t="s">
        <v>286</v>
      </c>
      <c r="H2872" s="1013"/>
      <c r="I2872" s="1013"/>
      <c r="J2872" s="1013"/>
      <c r="K2872" s="278">
        <v>1.07</v>
      </c>
      <c r="L2872" s="47"/>
      <c r="N2872" s="26"/>
      <c r="O2872" s="2"/>
      <c r="P2872" s="27"/>
      <c r="Q2872" s="26"/>
      <c r="R2872" s="28"/>
    </row>
    <row r="2873" spans="1:18" ht="30" customHeight="1" x14ac:dyDescent="0.45">
      <c r="A2873" s="47"/>
      <c r="B2873" s="224"/>
      <c r="C2873" s="224"/>
      <c r="D2873" s="224"/>
      <c r="E2873" s="221"/>
      <c r="F2873" s="1012"/>
      <c r="G2873" s="1014" t="s">
        <v>580</v>
      </c>
      <c r="H2873" s="1014"/>
      <c r="I2873" s="1014"/>
      <c r="J2873" s="1014"/>
      <c r="K2873" s="278">
        <v>1.08</v>
      </c>
      <c r="L2873" s="47"/>
      <c r="M2873" s="25"/>
      <c r="N2873" s="26"/>
      <c r="O2873" s="2"/>
      <c r="P2873" s="27"/>
      <c r="Q2873" s="26"/>
      <c r="R2873" s="28"/>
    </row>
    <row r="2874" spans="1:18" ht="30" customHeight="1" x14ac:dyDescent="0.45">
      <c r="A2874" s="47"/>
      <c r="B2874" s="47"/>
      <c r="C2874" s="58"/>
      <c r="D2874" s="58"/>
      <c r="E2874" s="58"/>
      <c r="F2874" s="58"/>
      <c r="G2874" s="58"/>
      <c r="H2874" s="58"/>
      <c r="I2874" s="58"/>
      <c r="J2874" s="58" t="s">
        <v>39</v>
      </c>
      <c r="K2874" s="216">
        <f>+K2871*K2872/K2873</f>
        <v>152.32995555555556</v>
      </c>
      <c r="L2874" s="47" t="s">
        <v>35</v>
      </c>
      <c r="M2874" s="25"/>
      <c r="N2874" s="63"/>
      <c r="O2874" s="2"/>
      <c r="P2874" s="27"/>
      <c r="Q2874" s="26"/>
      <c r="R2874" s="28"/>
    </row>
    <row r="2875" spans="1:18" ht="30" customHeight="1" x14ac:dyDescent="0.45">
      <c r="A2875" s="47"/>
      <c r="B2875" s="47"/>
      <c r="C2875" s="58"/>
      <c r="D2875" s="58"/>
      <c r="E2875" s="58"/>
      <c r="F2875" s="58"/>
      <c r="G2875" s="1021" t="s">
        <v>288</v>
      </c>
      <c r="H2875" s="1022"/>
      <c r="I2875" s="1023"/>
      <c r="J2875" s="213">
        <f>VLOOKUP(B2867,'[1]Mil Cost Premiums for PUCs'!$A$4:$R$278,18,FALSE)</f>
        <v>1.1675459237447372</v>
      </c>
      <c r="K2875" s="216">
        <f>+K2874*J2875</f>
        <v>177.85221867310588</v>
      </c>
      <c r="L2875" s="47" t="s">
        <v>35</v>
      </c>
      <c r="M2875" s="25"/>
      <c r="N2875" s="63"/>
      <c r="O2875" s="2"/>
      <c r="P2875" s="27"/>
      <c r="Q2875" s="26"/>
      <c r="R2875" s="28"/>
    </row>
    <row r="2876" spans="1:18" ht="30" customHeight="1" x14ac:dyDescent="0.45">
      <c r="A2876" s="531"/>
      <c r="B2876" s="531"/>
      <c r="C2876" s="538"/>
      <c r="D2876" s="538"/>
      <c r="E2876" s="552"/>
      <c r="F2876" s="1024" t="s">
        <v>581</v>
      </c>
      <c r="G2876" s="1024"/>
      <c r="H2876" s="1024"/>
      <c r="I2876" s="1024"/>
      <c r="J2876" s="543">
        <v>1.0833999999999999</v>
      </c>
      <c r="K2876" s="363">
        <f>K2875*J2876</f>
        <v>192.68509371044289</v>
      </c>
      <c r="L2876" s="47" t="s">
        <v>35</v>
      </c>
      <c r="M2876" s="25"/>
      <c r="N2876" s="26"/>
      <c r="O2876" s="2"/>
      <c r="P2876" s="27"/>
      <c r="Q2876" s="26"/>
      <c r="R2876" s="28"/>
    </row>
    <row r="2877" spans="1:18" ht="30" customHeight="1" thickBot="1" x14ac:dyDescent="0.5">
      <c r="A2877" s="225"/>
      <c r="B2877" s="225"/>
      <c r="C2877" s="150"/>
      <c r="D2877" s="150"/>
      <c r="E2877" s="150"/>
      <c r="F2877" s="150"/>
      <c r="G2877" s="1025" t="s">
        <v>299</v>
      </c>
      <c r="H2877" s="1026"/>
      <c r="I2877" s="1027"/>
      <c r="J2877" s="226">
        <v>1.1214</v>
      </c>
      <c r="K2877" s="227">
        <f>+K2876*J2877</f>
        <v>216.07706408689063</v>
      </c>
      <c r="L2877" s="47" t="s">
        <v>35</v>
      </c>
      <c r="M2877" s="25"/>
    </row>
    <row r="2878" spans="1:18" ht="30" customHeight="1" thickBot="1" x14ac:dyDescent="0.5">
      <c r="A2878" s="999"/>
      <c r="B2878" s="1000"/>
      <c r="C2878" s="1000"/>
      <c r="D2878" s="1000"/>
      <c r="E2878" s="1000"/>
      <c r="F2878" s="1000"/>
      <c r="G2878" s="1000"/>
      <c r="H2878" s="1000"/>
      <c r="I2878" s="1000"/>
      <c r="J2878" s="1000"/>
      <c r="K2878" s="1000"/>
      <c r="L2878" s="1001"/>
      <c r="M2878" s="121"/>
      <c r="N2878" s="26"/>
      <c r="O2878" s="2"/>
      <c r="P2878" s="27"/>
      <c r="Q2878" s="26"/>
      <c r="R2878" s="28"/>
    </row>
    <row r="2879" spans="1:18" ht="30" customHeight="1" x14ac:dyDescent="0.45">
      <c r="A2879" s="9" t="s">
        <v>4</v>
      </c>
      <c r="B2879" s="10">
        <v>7235</v>
      </c>
      <c r="C2879" s="983" t="s">
        <v>1632</v>
      </c>
      <c r="D2879" s="984"/>
      <c r="E2879" s="13" t="s">
        <v>7</v>
      </c>
      <c r="F2879" s="14" t="s">
        <v>88</v>
      </c>
      <c r="G2879" s="173" t="s">
        <v>148</v>
      </c>
      <c r="H2879" s="155">
        <v>1</v>
      </c>
      <c r="I2879" s="13" t="s">
        <v>9</v>
      </c>
      <c r="J2879" s="985" t="s">
        <v>575</v>
      </c>
      <c r="K2879" s="985"/>
      <c r="L2879" s="986"/>
      <c r="M2879" s="25"/>
      <c r="N2879" s="26"/>
      <c r="O2879" s="2"/>
      <c r="P2879" s="27"/>
      <c r="Q2879" s="26"/>
      <c r="R2879" s="28"/>
    </row>
    <row r="2880" spans="1:18" ht="30" customHeight="1" x14ac:dyDescent="0.45">
      <c r="A2880" s="85" t="s">
        <v>277</v>
      </c>
      <c r="B2880" s="987" t="s">
        <v>293</v>
      </c>
      <c r="C2880" s="988"/>
      <c r="D2880" s="989"/>
      <c r="E2880" s="220" t="s">
        <v>13</v>
      </c>
      <c r="F2880" s="220" t="s">
        <v>14</v>
      </c>
      <c r="G2880" s="990" t="s">
        <v>15</v>
      </c>
      <c r="H2880" s="991"/>
      <c r="I2880" s="19" t="s">
        <v>278</v>
      </c>
      <c r="J2880" s="19"/>
      <c r="K2880" s="23" t="s">
        <v>17</v>
      </c>
      <c r="L2880" s="24"/>
      <c r="M2880" s="25"/>
      <c r="N2880" s="26"/>
      <c r="O2880" s="2"/>
      <c r="P2880" s="27"/>
      <c r="Q2880" s="26"/>
      <c r="R2880" s="28"/>
    </row>
    <row r="2881" spans="1:18" ht="30" customHeight="1" x14ac:dyDescent="0.45">
      <c r="A2881" s="47" t="s">
        <v>1633</v>
      </c>
      <c r="B2881" s="1030" t="s">
        <v>1634</v>
      </c>
      <c r="C2881" s="1030"/>
      <c r="D2881" s="1030"/>
      <c r="E2881" s="221">
        <v>43.25</v>
      </c>
      <c r="F2881" s="47" t="s">
        <v>35</v>
      </c>
      <c r="G2881" s="47">
        <v>800</v>
      </c>
      <c r="H2881" s="47" t="s">
        <v>296</v>
      </c>
      <c r="I2881" s="365">
        <v>1.05</v>
      </c>
      <c r="J2881" s="47"/>
      <c r="K2881" s="221">
        <f>+E2881*I2881*G2881</f>
        <v>36330</v>
      </c>
      <c r="L2881" s="47" t="s">
        <v>88</v>
      </c>
      <c r="M2881" s="25"/>
      <c r="N2881" s="26"/>
      <c r="O2881" s="2"/>
      <c r="P2881" s="27"/>
      <c r="Q2881" s="26"/>
      <c r="R2881" s="28"/>
    </row>
    <row r="2882" spans="1:18" ht="30" customHeight="1" x14ac:dyDescent="0.45">
      <c r="A2882" s="47"/>
      <c r="B2882" s="1030" t="s">
        <v>1635</v>
      </c>
      <c r="C2882" s="1030"/>
      <c r="D2882" s="1030"/>
      <c r="E2882" s="221"/>
      <c r="F2882" s="47"/>
      <c r="G2882" s="47"/>
      <c r="H2882" s="47"/>
      <c r="I2882" s="47"/>
      <c r="J2882" s="47"/>
      <c r="K2882" s="221"/>
      <c r="L2882" s="47"/>
      <c r="M2882" s="25"/>
      <c r="N2882" s="26"/>
      <c r="O2882" s="2"/>
      <c r="P2882" s="27"/>
      <c r="Q2882" s="26"/>
      <c r="R2882" s="28"/>
    </row>
    <row r="2883" spans="1:18" ht="30" customHeight="1" x14ac:dyDescent="0.45">
      <c r="A2883" s="47"/>
      <c r="B2883" s="224"/>
      <c r="C2883" s="224"/>
      <c r="D2883" s="224"/>
      <c r="E2883" s="221"/>
      <c r="F2883" s="1011" t="s">
        <v>285</v>
      </c>
      <c r="G2883" s="1013" t="s">
        <v>286</v>
      </c>
      <c r="H2883" s="1013"/>
      <c r="I2883" s="1013"/>
      <c r="J2883" s="1013"/>
      <c r="K2883" s="278">
        <v>1.07</v>
      </c>
      <c r="L2883" s="47"/>
      <c r="M2883" s="25"/>
      <c r="N2883" s="26"/>
      <c r="O2883" s="2"/>
      <c r="P2883" s="27"/>
      <c r="Q2883" s="26"/>
      <c r="R2883" s="28"/>
    </row>
    <row r="2884" spans="1:18" ht="30" customHeight="1" x14ac:dyDescent="0.45">
      <c r="A2884" s="47"/>
      <c r="B2884" s="224"/>
      <c r="C2884" s="224"/>
      <c r="D2884" s="224"/>
      <c r="E2884" s="221"/>
      <c r="F2884" s="1012"/>
      <c r="G2884" s="1014" t="s">
        <v>580</v>
      </c>
      <c r="H2884" s="1014"/>
      <c r="I2884" s="1014"/>
      <c r="J2884" s="1014"/>
      <c r="K2884" s="278">
        <v>1.08</v>
      </c>
      <c r="L2884" s="47"/>
      <c r="M2884" s="25"/>
      <c r="N2884" s="144"/>
      <c r="O2884" s="101"/>
      <c r="P2884" s="5"/>
      <c r="Q2884" s="5"/>
      <c r="R2884" s="670"/>
    </row>
    <row r="2885" spans="1:18" ht="30" customHeight="1" x14ac:dyDescent="0.45">
      <c r="A2885" s="47"/>
      <c r="B2885" s="47"/>
      <c r="C2885" s="58"/>
      <c r="D2885" s="58"/>
      <c r="E2885" s="58"/>
      <c r="F2885" s="58"/>
      <c r="G2885" s="58"/>
      <c r="H2885" s="58"/>
      <c r="I2885" s="58"/>
      <c r="J2885" s="58" t="s">
        <v>39</v>
      </c>
      <c r="K2885" s="216">
        <f>+K2881*K2883/K2884</f>
        <v>35993.611111111117</v>
      </c>
      <c r="L2885" s="47" t="s">
        <v>88</v>
      </c>
      <c r="M2885" s="25"/>
      <c r="N2885" s="26"/>
      <c r="O2885" s="2"/>
      <c r="P2885" s="27"/>
      <c r="Q2885" s="26"/>
      <c r="R2885" s="28"/>
    </row>
    <row r="2886" spans="1:18" ht="30" customHeight="1" x14ac:dyDescent="0.45">
      <c r="A2886" s="47"/>
      <c r="B2886" s="47"/>
      <c r="C2886" s="58"/>
      <c r="D2886" s="58"/>
      <c r="E2886" s="58"/>
      <c r="F2886" s="58"/>
      <c r="G2886" s="1021" t="s">
        <v>288</v>
      </c>
      <c r="H2886" s="1022"/>
      <c r="I2886" s="1023"/>
      <c r="J2886" s="213">
        <f>VLOOKUP(B2879,'[1]Mil Cost Premiums for PUCs'!$A$4:$R$278,18,FALSE)</f>
        <v>1.0209999999999999</v>
      </c>
      <c r="K2886" s="216">
        <f>+K2885*J2886</f>
        <v>36749.476944444446</v>
      </c>
      <c r="L2886" s="47" t="s">
        <v>88</v>
      </c>
      <c r="M2886" s="121"/>
      <c r="N2886" s="26"/>
      <c r="O2886" s="2"/>
      <c r="P2886" s="27"/>
      <c r="Q2886" s="26"/>
      <c r="R2886" s="28"/>
    </row>
    <row r="2887" spans="1:18" ht="30" customHeight="1" x14ac:dyDescent="0.45">
      <c r="A2887" s="531"/>
      <c r="B2887" s="531"/>
      <c r="C2887" s="538"/>
      <c r="D2887" s="538"/>
      <c r="E2887" s="552"/>
      <c r="F2887" s="1024" t="s">
        <v>581</v>
      </c>
      <c r="G2887" s="1024"/>
      <c r="H2887" s="1024"/>
      <c r="I2887" s="1024"/>
      <c r="J2887" s="543">
        <v>1.0833999999999999</v>
      </c>
      <c r="K2887" s="363">
        <f>K2886*J2887</f>
        <v>39814.383321611109</v>
      </c>
      <c r="L2887" s="47" t="s">
        <v>88</v>
      </c>
      <c r="M2887" s="25"/>
      <c r="N2887" s="26"/>
      <c r="O2887" s="2"/>
      <c r="P2887" s="27"/>
      <c r="Q2887" s="26"/>
      <c r="R2887" s="28"/>
    </row>
    <row r="2888" spans="1:18" ht="30" customHeight="1" thickBot="1" x14ac:dyDescent="0.5">
      <c r="A2888" s="225"/>
      <c r="B2888" s="225"/>
      <c r="C2888" s="150"/>
      <c r="D2888" s="150"/>
      <c r="E2888" s="150"/>
      <c r="F2888" s="150"/>
      <c r="G2888" s="1025" t="s">
        <v>299</v>
      </c>
      <c r="H2888" s="1026"/>
      <c r="I2888" s="1027"/>
      <c r="J2888" s="226">
        <v>1.1214</v>
      </c>
      <c r="K2888" s="227">
        <f>+K2887*J2888</f>
        <v>44647.849456854696</v>
      </c>
      <c r="L2888" s="47" t="s">
        <v>88</v>
      </c>
      <c r="M2888" s="25"/>
    </row>
    <row r="2889" spans="1:18" ht="30" customHeight="1" thickBot="1" x14ac:dyDescent="0.5">
      <c r="A2889" s="999"/>
      <c r="B2889" s="1000"/>
      <c r="C2889" s="1000"/>
      <c r="D2889" s="1000"/>
      <c r="E2889" s="1000"/>
      <c r="F2889" s="1000"/>
      <c r="G2889" s="1000"/>
      <c r="H2889" s="1000"/>
      <c r="I2889" s="1000"/>
      <c r="J2889" s="1000"/>
      <c r="K2889" s="1000"/>
      <c r="L2889" s="1001"/>
      <c r="M2889" s="25"/>
      <c r="N2889" s="26"/>
      <c r="O2889" s="2"/>
      <c r="P2889" s="27"/>
      <c r="Q2889" s="26"/>
      <c r="R2889" s="28"/>
    </row>
    <row r="2890" spans="1:18" ht="30" customHeight="1" x14ac:dyDescent="0.45">
      <c r="A2890" s="9" t="s">
        <v>4</v>
      </c>
      <c r="B2890" s="10">
        <v>7236</v>
      </c>
      <c r="C2890" s="1138" t="s">
        <v>1636</v>
      </c>
      <c r="D2890" s="1139"/>
      <c r="E2890" s="13" t="s">
        <v>7</v>
      </c>
      <c r="F2890" s="14" t="s">
        <v>35</v>
      </c>
      <c r="G2890" s="11" t="s">
        <v>6</v>
      </c>
      <c r="H2890" s="273">
        <v>1503</v>
      </c>
      <c r="I2890" s="13" t="s">
        <v>9</v>
      </c>
      <c r="J2890" s="985" t="s">
        <v>292</v>
      </c>
      <c r="K2890" s="985"/>
      <c r="L2890" s="986"/>
      <c r="M2890" s="25"/>
      <c r="N2890" s="26"/>
      <c r="O2890" s="2"/>
      <c r="P2890" s="27"/>
      <c r="Q2890" s="26"/>
      <c r="R2890" s="28"/>
    </row>
    <row r="2891" spans="1:18" ht="30" customHeight="1" x14ac:dyDescent="0.45">
      <c r="A2891" s="85" t="s">
        <v>277</v>
      </c>
      <c r="B2891" s="987" t="s">
        <v>293</v>
      </c>
      <c r="C2891" s="988"/>
      <c r="D2891" s="989"/>
      <c r="E2891" s="220" t="s">
        <v>13</v>
      </c>
      <c r="F2891" s="220" t="s">
        <v>14</v>
      </c>
      <c r="G2891" s="990" t="s">
        <v>15</v>
      </c>
      <c r="H2891" s="991"/>
      <c r="I2891" s="19" t="s">
        <v>278</v>
      </c>
      <c r="J2891" s="19"/>
      <c r="K2891" s="23" t="s">
        <v>17</v>
      </c>
      <c r="L2891" s="24"/>
      <c r="M2891" s="25"/>
      <c r="N2891" s="26"/>
      <c r="O2891" s="2"/>
      <c r="P2891" s="27"/>
      <c r="Q2891" s="26"/>
      <c r="R2891" s="28"/>
    </row>
    <row r="2892" spans="1:18" ht="30" customHeight="1" x14ac:dyDescent="0.45">
      <c r="A2892" s="642" t="s">
        <v>1569</v>
      </c>
      <c r="B2892" s="1008" t="s">
        <v>1580</v>
      </c>
      <c r="C2892" s="1009"/>
      <c r="D2892" s="1010"/>
      <c r="E2892" s="221">
        <f>+(8.58+17.25)/2</f>
        <v>12.914999999999999</v>
      </c>
      <c r="F2892" s="56" t="s">
        <v>35</v>
      </c>
      <c r="G2892" s="348"/>
      <c r="H2892" s="349"/>
      <c r="I2892" s="47">
        <v>1.22</v>
      </c>
      <c r="J2892" s="47"/>
      <c r="K2892" s="221">
        <f>+E2892*I2892</f>
        <v>15.756299999999998</v>
      </c>
      <c r="L2892" s="47" t="s">
        <v>35</v>
      </c>
      <c r="M2892" s="25"/>
      <c r="N2892" s="26"/>
      <c r="O2892" s="2"/>
      <c r="P2892" s="27"/>
      <c r="Q2892" s="26"/>
      <c r="R2892" s="28"/>
    </row>
    <row r="2893" spans="1:18" ht="30" customHeight="1" x14ac:dyDescent="0.45">
      <c r="A2893" s="642" t="s">
        <v>1569</v>
      </c>
      <c r="B2893" s="1018" t="s">
        <v>1581</v>
      </c>
      <c r="C2893" s="1019"/>
      <c r="D2893" s="1020"/>
      <c r="E2893" s="221">
        <f>(6+10.25)/2</f>
        <v>8.125</v>
      </c>
      <c r="F2893" s="56" t="s">
        <v>35</v>
      </c>
      <c r="G2893" s="348"/>
      <c r="H2893" s="349"/>
      <c r="I2893" s="47">
        <v>1.22</v>
      </c>
      <c r="J2893" s="47"/>
      <c r="K2893" s="221">
        <f>+E2893*I2893</f>
        <v>9.9124999999999996</v>
      </c>
      <c r="L2893" s="47"/>
      <c r="M2893" s="25"/>
      <c r="N2893" s="26"/>
      <c r="O2893" s="2"/>
      <c r="P2893" s="27"/>
      <c r="Q2893" s="26"/>
      <c r="R2893" s="28"/>
    </row>
    <row r="2894" spans="1:18" ht="30" customHeight="1" x14ac:dyDescent="0.45">
      <c r="A2894" s="642"/>
      <c r="B2894" s="1030"/>
      <c r="C2894" s="1030"/>
      <c r="D2894" s="1030"/>
      <c r="E2894" s="221"/>
      <c r="F2894" s="47"/>
      <c r="G2894" s="47"/>
      <c r="H2894" s="47"/>
      <c r="I2894" s="47"/>
      <c r="J2894" s="47" t="s">
        <v>38</v>
      </c>
      <c r="K2894" s="221">
        <f>SUM(K2892:K2893)</f>
        <v>25.668799999999997</v>
      </c>
      <c r="L2894" s="47" t="s">
        <v>35</v>
      </c>
      <c r="M2894" s="25"/>
      <c r="N2894" s="26"/>
      <c r="O2894" s="2"/>
      <c r="P2894" s="27"/>
      <c r="Q2894" s="26"/>
      <c r="R2894" s="28"/>
    </row>
    <row r="2895" spans="1:18" ht="30" customHeight="1" x14ac:dyDescent="0.45">
      <c r="A2895" s="47"/>
      <c r="B2895" s="224"/>
      <c r="C2895" s="224"/>
      <c r="D2895" s="224"/>
      <c r="E2895" s="221"/>
      <c r="F2895" s="1011" t="s">
        <v>285</v>
      </c>
      <c r="G2895" s="1013" t="s">
        <v>286</v>
      </c>
      <c r="H2895" s="1013"/>
      <c r="I2895" s="1013"/>
      <c r="J2895" s="1013"/>
      <c r="K2895" s="278">
        <v>1.06</v>
      </c>
      <c r="L2895" s="47"/>
      <c r="M2895" s="25"/>
      <c r="N2895" s="26"/>
      <c r="O2895" s="2"/>
      <c r="P2895" s="27"/>
      <c r="Q2895" s="26"/>
      <c r="R2895" s="28"/>
    </row>
    <row r="2896" spans="1:18" ht="30" customHeight="1" x14ac:dyDescent="0.45">
      <c r="A2896" s="47"/>
      <c r="B2896" s="224"/>
      <c r="C2896" s="224"/>
      <c r="D2896" s="224"/>
      <c r="E2896" s="221"/>
      <c r="F2896" s="1012"/>
      <c r="G2896" s="1014" t="s">
        <v>298</v>
      </c>
      <c r="H2896" s="1014"/>
      <c r="I2896" s="1014"/>
      <c r="J2896" s="1014"/>
      <c r="K2896" s="278">
        <v>1.06</v>
      </c>
      <c r="L2896" s="47"/>
      <c r="M2896" s="25"/>
      <c r="N2896" s="101"/>
      <c r="O2896" s="2"/>
      <c r="P2896" s="27"/>
      <c r="Q2896" s="26"/>
      <c r="R2896" s="28"/>
    </row>
    <row r="2897" spans="1:18" ht="30" customHeight="1" x14ac:dyDescent="0.45">
      <c r="A2897" s="47"/>
      <c r="B2897" s="47"/>
      <c r="C2897" s="58"/>
      <c r="D2897" s="58"/>
      <c r="E2897" s="58"/>
      <c r="F2897" s="58"/>
      <c r="G2897" s="58"/>
      <c r="H2897" s="58"/>
      <c r="I2897" s="58"/>
      <c r="J2897" s="47" t="s">
        <v>39</v>
      </c>
      <c r="K2897" s="216">
        <f>+K2894*K2895/K2896</f>
        <v>25.668799999999997</v>
      </c>
      <c r="L2897" s="47" t="s">
        <v>35</v>
      </c>
      <c r="M2897" s="25"/>
      <c r="N2897" s="26"/>
      <c r="O2897" s="2"/>
      <c r="P2897" s="27"/>
      <c r="Q2897" s="26"/>
      <c r="R2897" s="28"/>
    </row>
    <row r="2898" spans="1:18" ht="30" customHeight="1" x14ac:dyDescent="0.45">
      <c r="A2898" s="225"/>
      <c r="B2898" s="225"/>
      <c r="C2898" s="150"/>
      <c r="D2898" s="150"/>
      <c r="E2898" s="150"/>
      <c r="F2898" s="150"/>
      <c r="G2898" s="1021" t="s">
        <v>288</v>
      </c>
      <c r="H2898" s="1022"/>
      <c r="I2898" s="1023"/>
      <c r="J2898" s="213">
        <f>VLOOKUP(B2890,'[1]Mil Cost Premiums for PUCs'!$A$4:$R$278,18,FALSE)</f>
        <v>1.0905505199999999</v>
      </c>
      <c r="K2898" s="216">
        <f>+K2897*J2898</f>
        <v>27.993123187775993</v>
      </c>
      <c r="L2898" s="225" t="s">
        <v>35</v>
      </c>
      <c r="M2898" s="25"/>
      <c r="N2898" s="26"/>
      <c r="O2898" s="2"/>
      <c r="P2898" s="27"/>
      <c r="Q2898" s="26"/>
      <c r="R2898" s="28"/>
    </row>
    <row r="2899" spans="1:18" ht="30" customHeight="1" thickBot="1" x14ac:dyDescent="0.5">
      <c r="A2899" s="225"/>
      <c r="B2899" s="225"/>
      <c r="C2899" s="150"/>
      <c r="D2899" s="150"/>
      <c r="E2899" s="150"/>
      <c r="F2899" s="150"/>
      <c r="G2899" s="1025" t="s">
        <v>299</v>
      </c>
      <c r="H2899" s="1026"/>
      <c r="I2899" s="1027"/>
      <c r="J2899" s="226">
        <v>1.1214</v>
      </c>
      <c r="K2899" s="227">
        <f>+K2898*J2899</f>
        <v>31.391488342771996</v>
      </c>
      <c r="L2899" s="225" t="s">
        <v>35</v>
      </c>
      <c r="M2899" s="25"/>
    </row>
    <row r="2900" spans="1:18" ht="30" customHeight="1" thickBot="1" x14ac:dyDescent="0.5">
      <c r="A2900" s="999"/>
      <c r="B2900" s="1000"/>
      <c r="C2900" s="1000"/>
      <c r="D2900" s="1000"/>
      <c r="E2900" s="1000"/>
      <c r="F2900" s="1000"/>
      <c r="G2900" s="1000"/>
      <c r="H2900" s="1000"/>
      <c r="I2900" s="1000"/>
      <c r="J2900" s="1000"/>
      <c r="K2900" s="1000"/>
      <c r="L2900" s="1001"/>
      <c r="M2900" s="25"/>
      <c r="N2900" s="26"/>
      <c r="O2900" s="2"/>
      <c r="P2900" s="27"/>
      <c r="Q2900" s="26"/>
      <c r="R2900" s="28"/>
    </row>
    <row r="2901" spans="1:18" ht="30" customHeight="1" x14ac:dyDescent="0.45">
      <c r="A2901" s="93" t="s">
        <v>4</v>
      </c>
      <c r="B2901" s="76">
        <v>7240</v>
      </c>
      <c r="C2901" s="1132" t="s">
        <v>1637</v>
      </c>
      <c r="D2901" s="1133"/>
      <c r="E2901" s="94" t="s">
        <v>7</v>
      </c>
      <c r="F2901" s="95" t="s">
        <v>35</v>
      </c>
      <c r="G2901" s="102" t="s">
        <v>6</v>
      </c>
      <c r="H2901" s="110">
        <v>14985</v>
      </c>
      <c r="I2901" s="94" t="s">
        <v>9</v>
      </c>
      <c r="J2901" s="1088" t="s">
        <v>1638</v>
      </c>
      <c r="K2901" s="1088"/>
      <c r="L2901" s="1089"/>
      <c r="M2901" s="25"/>
      <c r="N2901" s="26"/>
      <c r="O2901" s="2"/>
      <c r="P2901" s="27"/>
      <c r="Q2901" s="26"/>
      <c r="R2901" s="28"/>
    </row>
    <row r="2902" spans="1:18" ht="30" customHeight="1" x14ac:dyDescent="0.45">
      <c r="A2902" s="19" t="s">
        <v>11</v>
      </c>
      <c r="B2902" s="1005" t="s">
        <v>12</v>
      </c>
      <c r="C2902" s="1005"/>
      <c r="D2902" s="1005"/>
      <c r="E2902" s="132" t="s">
        <v>267</v>
      </c>
      <c r="F2902" s="20" t="s">
        <v>13</v>
      </c>
      <c r="G2902" s="19"/>
      <c r="H2902" s="19"/>
      <c r="I2902" s="1068" t="s">
        <v>60</v>
      </c>
      <c r="J2902" s="1069"/>
      <c r="K2902" s="992" t="s">
        <v>17</v>
      </c>
      <c r="L2902" s="993"/>
      <c r="M2902" s="25"/>
      <c r="N2902" s="26"/>
      <c r="O2902" s="2"/>
      <c r="P2902" s="27"/>
      <c r="Q2902" s="26"/>
      <c r="R2902" s="28"/>
    </row>
    <row r="2903" spans="1:18" ht="30" customHeight="1" x14ac:dyDescent="0.45">
      <c r="A2903" s="29" t="s">
        <v>268</v>
      </c>
      <c r="B2903" s="994" t="s">
        <v>1639</v>
      </c>
      <c r="C2903" s="994"/>
      <c r="D2903" s="994"/>
      <c r="E2903" s="176">
        <v>97000</v>
      </c>
      <c r="F2903" s="145">
        <v>258</v>
      </c>
      <c r="G2903" s="177"/>
      <c r="H2903" s="178"/>
      <c r="I2903" s="1119">
        <f>+'[1]2023 MILCON Inflation Table'!F13</f>
        <v>1.4090525299662979</v>
      </c>
      <c r="J2903" s="1120"/>
      <c r="K2903" s="145">
        <f>+F2903*I2903</f>
        <v>363.53555273130485</v>
      </c>
      <c r="L2903" s="29" t="s">
        <v>35</v>
      </c>
      <c r="M2903" s="25"/>
      <c r="N2903" s="26"/>
      <c r="O2903" s="2"/>
      <c r="P2903" s="27"/>
      <c r="Q2903" s="26"/>
      <c r="R2903" s="28"/>
    </row>
    <row r="2904" spans="1:18" ht="30" customHeight="1" thickBot="1" x14ac:dyDescent="0.5">
      <c r="A2904" s="225"/>
      <c r="B2904" s="977"/>
      <c r="C2904" s="978"/>
      <c r="D2904" s="979"/>
      <c r="E2904" s="662"/>
      <c r="F2904" s="663"/>
      <c r="G2904" s="663"/>
      <c r="H2904" s="664"/>
      <c r="I2904" s="150"/>
      <c r="J2904" s="133" t="s">
        <v>39</v>
      </c>
      <c r="K2904" s="227">
        <f>+K2903</f>
        <v>363.53555273130485</v>
      </c>
      <c r="L2904" s="225" t="s">
        <v>35</v>
      </c>
      <c r="M2904" s="25"/>
      <c r="N2904" s="26"/>
      <c r="O2904" s="2"/>
      <c r="P2904" s="27"/>
      <c r="Q2904" s="26"/>
      <c r="R2904" s="28"/>
    </row>
    <row r="2905" spans="1:18" ht="30" customHeight="1" thickBot="1" x14ac:dyDescent="0.5">
      <c r="A2905" s="1251"/>
      <c r="B2905" s="1252"/>
      <c r="C2905" s="1252"/>
      <c r="D2905" s="1252"/>
      <c r="E2905" s="1252"/>
      <c r="F2905" s="1252"/>
      <c r="G2905" s="1252"/>
      <c r="H2905" s="1252"/>
      <c r="I2905" s="1252"/>
      <c r="J2905" s="1252"/>
      <c r="K2905" s="1252"/>
      <c r="L2905" s="1253"/>
      <c r="M2905" s="25"/>
      <c r="N2905" s="26"/>
      <c r="O2905" s="2"/>
      <c r="P2905" s="27"/>
      <c r="Q2905" s="26"/>
      <c r="R2905" s="28"/>
    </row>
    <row r="2906" spans="1:18" ht="30" customHeight="1" x14ac:dyDescent="0.45">
      <c r="A2906" s="93" t="s">
        <v>4</v>
      </c>
      <c r="B2906" s="76">
        <v>7241</v>
      </c>
      <c r="C2906" s="1132" t="s">
        <v>1640</v>
      </c>
      <c r="D2906" s="1133"/>
      <c r="E2906" s="94" t="s">
        <v>7</v>
      </c>
      <c r="F2906" s="95" t="s">
        <v>35</v>
      </c>
      <c r="G2906" s="102" t="s">
        <v>6</v>
      </c>
      <c r="H2906" s="671">
        <v>11459</v>
      </c>
      <c r="I2906" s="672" t="s">
        <v>9</v>
      </c>
      <c r="J2906" s="1254" t="s">
        <v>1638</v>
      </c>
      <c r="K2906" s="1254"/>
      <c r="L2906" s="1254"/>
      <c r="N2906" s="26"/>
      <c r="O2906" s="2"/>
      <c r="P2906" s="27"/>
      <c r="Q2906" s="26"/>
      <c r="R2906" s="28"/>
    </row>
    <row r="2907" spans="1:18" ht="30" customHeight="1" x14ac:dyDescent="0.45">
      <c r="A2907" s="19" t="s">
        <v>11</v>
      </c>
      <c r="B2907" s="1005" t="s">
        <v>12</v>
      </c>
      <c r="C2907" s="1005"/>
      <c r="D2907" s="1005"/>
      <c r="E2907" s="132" t="s">
        <v>267</v>
      </c>
      <c r="F2907" s="20" t="s">
        <v>13</v>
      </c>
      <c r="G2907" s="19"/>
      <c r="H2907" s="21"/>
      <c r="I2907" s="1248" t="s">
        <v>60</v>
      </c>
      <c r="J2907" s="1248"/>
      <c r="K2907" s="1249" t="s">
        <v>17</v>
      </c>
      <c r="L2907" s="1249"/>
      <c r="M2907" s="25"/>
      <c r="N2907" s="26"/>
      <c r="O2907" s="2"/>
      <c r="P2907" s="27"/>
      <c r="Q2907" s="26"/>
      <c r="R2907" s="28"/>
    </row>
    <row r="2908" spans="1:18" ht="30" customHeight="1" x14ac:dyDescent="0.45">
      <c r="A2908" s="29" t="s">
        <v>268</v>
      </c>
      <c r="B2908" s="994" t="s">
        <v>1639</v>
      </c>
      <c r="C2908" s="994"/>
      <c r="D2908" s="994"/>
      <c r="E2908" s="176">
        <v>97000</v>
      </c>
      <c r="F2908" s="145">
        <v>258</v>
      </c>
      <c r="G2908" s="177"/>
      <c r="H2908" s="673"/>
      <c r="I2908" s="1250">
        <f>+'[1]2023 MILCON Inflation Table'!F13</f>
        <v>1.4090525299662979</v>
      </c>
      <c r="J2908" s="1250"/>
      <c r="K2908" s="674">
        <f>+F2908*I2908</f>
        <v>363.53555273130485</v>
      </c>
      <c r="L2908" s="252" t="s">
        <v>35</v>
      </c>
      <c r="M2908" s="25"/>
      <c r="N2908" s="26"/>
      <c r="O2908" s="2"/>
      <c r="P2908" s="27"/>
      <c r="Q2908" s="26"/>
      <c r="R2908" s="28"/>
    </row>
    <row r="2909" spans="1:18" ht="30" customHeight="1" thickBot="1" x14ac:dyDescent="0.5">
      <c r="A2909" s="47"/>
      <c r="B2909" s="1092"/>
      <c r="C2909" s="1092"/>
      <c r="D2909" s="1092"/>
      <c r="E2909" s="180"/>
      <c r="F2909" s="181"/>
      <c r="G2909" s="181"/>
      <c r="H2909" s="182"/>
      <c r="I2909" s="54"/>
      <c r="J2909" s="220" t="s">
        <v>39</v>
      </c>
      <c r="K2909" s="675">
        <f>+K2908</f>
        <v>363.53555273130485</v>
      </c>
      <c r="L2909" s="56" t="s">
        <v>35</v>
      </c>
      <c r="M2909" s="25"/>
      <c r="N2909" s="26"/>
      <c r="O2909" s="2"/>
      <c r="P2909" s="27"/>
      <c r="Q2909" s="26"/>
      <c r="R2909" s="28"/>
    </row>
    <row r="2910" spans="1:18" ht="30" customHeight="1" thickBot="1" x14ac:dyDescent="0.5">
      <c r="A2910" s="1245"/>
      <c r="B2910" s="1246"/>
      <c r="C2910" s="1246"/>
      <c r="D2910" s="1246"/>
      <c r="E2910" s="1246"/>
      <c r="F2910" s="1246"/>
      <c r="G2910" s="1246"/>
      <c r="H2910" s="1246"/>
      <c r="I2910" s="1246"/>
      <c r="J2910" s="1246"/>
      <c r="K2910" s="1246"/>
      <c r="L2910" s="1247"/>
      <c r="M2910" s="25"/>
      <c r="N2910" s="26"/>
      <c r="O2910" s="2"/>
      <c r="P2910" s="27"/>
      <c r="Q2910" s="26"/>
      <c r="R2910" s="28"/>
    </row>
    <row r="2911" spans="1:18" ht="30" customHeight="1" x14ac:dyDescent="0.45">
      <c r="A2911" s="93" t="s">
        <v>4</v>
      </c>
      <c r="B2911" s="76">
        <v>7242</v>
      </c>
      <c r="C2911" s="1132" t="s">
        <v>1641</v>
      </c>
      <c r="D2911" s="1133"/>
      <c r="E2911" s="94" t="s">
        <v>7</v>
      </c>
      <c r="F2911" s="95" t="s">
        <v>35</v>
      </c>
      <c r="G2911" s="102" t="s">
        <v>6</v>
      </c>
      <c r="H2911" s="413">
        <v>33476.196428571398</v>
      </c>
      <c r="I2911" s="94" t="s">
        <v>9</v>
      </c>
      <c r="J2911" s="985" t="s">
        <v>276</v>
      </c>
      <c r="K2911" s="985"/>
      <c r="L2911" s="986"/>
      <c r="M2911" s="25"/>
      <c r="N2911" s="26"/>
      <c r="O2911" s="2"/>
      <c r="P2911" s="27"/>
      <c r="Q2911" s="26"/>
      <c r="R2911" s="28"/>
    </row>
    <row r="2912" spans="1:18" ht="30" customHeight="1" x14ac:dyDescent="0.45">
      <c r="A2912" s="85" t="s">
        <v>277</v>
      </c>
      <c r="B2912" s="987" t="s">
        <v>293</v>
      </c>
      <c r="C2912" s="988"/>
      <c r="D2912" s="989"/>
      <c r="E2912" s="220" t="s">
        <v>13</v>
      </c>
      <c r="F2912" s="220" t="s">
        <v>14</v>
      </c>
      <c r="G2912" s="990" t="s">
        <v>15</v>
      </c>
      <c r="H2912" s="991"/>
      <c r="I2912" s="19" t="s">
        <v>278</v>
      </c>
      <c r="J2912" s="19"/>
      <c r="K2912" s="992" t="s">
        <v>17</v>
      </c>
      <c r="L2912" s="993"/>
      <c r="M2912" s="25"/>
      <c r="N2912" s="26"/>
      <c r="O2912" s="2"/>
      <c r="P2912" s="27"/>
      <c r="Q2912" s="26"/>
      <c r="R2912" s="28"/>
    </row>
    <row r="2913" spans="1:18" ht="30" customHeight="1" x14ac:dyDescent="0.45">
      <c r="A2913" s="676" t="s">
        <v>1611</v>
      </c>
      <c r="B2913" s="1030" t="s">
        <v>1642</v>
      </c>
      <c r="C2913" s="1030"/>
      <c r="D2913" s="1030"/>
      <c r="E2913" s="221">
        <v>238</v>
      </c>
      <c r="F2913" s="47" t="s">
        <v>35</v>
      </c>
      <c r="G2913" s="47"/>
      <c r="H2913" s="47"/>
      <c r="I2913" s="365">
        <v>1.34</v>
      </c>
      <c r="J2913" s="365"/>
      <c r="K2913" s="221">
        <f>+E2913*I2913</f>
        <v>318.92</v>
      </c>
      <c r="L2913" s="47" t="s">
        <v>35</v>
      </c>
      <c r="M2913" s="25"/>
      <c r="N2913" s="26"/>
      <c r="O2913" s="2"/>
      <c r="P2913" s="27"/>
      <c r="Q2913" s="26"/>
      <c r="R2913" s="28"/>
    </row>
    <row r="2914" spans="1:18" ht="30" customHeight="1" x14ac:dyDescent="0.45">
      <c r="A2914" s="676" t="s">
        <v>1611</v>
      </c>
      <c r="B2914" s="197" t="s">
        <v>1643</v>
      </c>
      <c r="C2914" s="198"/>
      <c r="D2914" s="198"/>
      <c r="E2914" s="221">
        <f>+E2913*0.005</f>
        <v>1.19</v>
      </c>
      <c r="F2914" s="47" t="s">
        <v>35</v>
      </c>
      <c r="G2914" s="47"/>
      <c r="H2914" s="47"/>
      <c r="I2914" s="365">
        <v>1.34</v>
      </c>
      <c r="J2914" s="365"/>
      <c r="K2914" s="221">
        <f>+E2914*I2914</f>
        <v>1.5946</v>
      </c>
      <c r="L2914" s="47" t="s">
        <v>35</v>
      </c>
      <c r="M2914" s="25"/>
      <c r="N2914" s="26"/>
      <c r="O2914" s="2"/>
      <c r="P2914" s="27"/>
      <c r="Q2914" s="26"/>
      <c r="R2914" s="28"/>
    </row>
    <row r="2915" spans="1:18" ht="30" customHeight="1" x14ac:dyDescent="0.45">
      <c r="A2915" s="642" t="s">
        <v>1491</v>
      </c>
      <c r="B2915" s="1008" t="s">
        <v>1644</v>
      </c>
      <c r="C2915" s="1009"/>
      <c r="D2915" s="1009"/>
      <c r="E2915" s="221">
        <v>3.66</v>
      </c>
      <c r="F2915" s="47" t="s">
        <v>35</v>
      </c>
      <c r="G2915" s="58"/>
      <c r="H2915" s="179"/>
      <c r="I2915" s="365">
        <v>1.34</v>
      </c>
      <c r="J2915" s="365"/>
      <c r="K2915" s="221">
        <f>+E2915*I2915</f>
        <v>4.9044000000000008</v>
      </c>
      <c r="L2915" s="47" t="s">
        <v>35</v>
      </c>
      <c r="M2915" s="25"/>
      <c r="N2915" s="26"/>
      <c r="O2915" s="2"/>
      <c r="P2915" s="27"/>
      <c r="Q2915" s="26"/>
      <c r="R2915" s="28"/>
    </row>
    <row r="2916" spans="1:18" ht="30" customHeight="1" x14ac:dyDescent="0.45">
      <c r="A2916" s="47"/>
      <c r="B2916" s="1092"/>
      <c r="C2916" s="1092"/>
      <c r="D2916" s="1092"/>
      <c r="E2916" s="221"/>
      <c r="F2916" s="47"/>
      <c r="G2916" s="58"/>
      <c r="H2916" s="179"/>
      <c r="I2916" s="47"/>
      <c r="J2916" s="47" t="s">
        <v>38</v>
      </c>
      <c r="K2916" s="221">
        <f>SUM(K2913:K2915)</f>
        <v>325.41900000000004</v>
      </c>
      <c r="L2916" s="47" t="s">
        <v>35</v>
      </c>
      <c r="M2916" s="25"/>
      <c r="N2916" s="26"/>
      <c r="O2916" s="2"/>
      <c r="P2916" s="27"/>
      <c r="Q2916" s="26"/>
      <c r="R2916" s="28"/>
    </row>
    <row r="2917" spans="1:18" ht="30" customHeight="1" x14ac:dyDescent="0.45">
      <c r="A2917" s="47"/>
      <c r="B2917" s="224"/>
      <c r="C2917" s="224"/>
      <c r="D2917" s="224"/>
      <c r="E2917" s="221"/>
      <c r="F2917" s="1011" t="s">
        <v>285</v>
      </c>
      <c r="G2917" s="1013" t="s">
        <v>286</v>
      </c>
      <c r="H2917" s="1013"/>
      <c r="I2917" s="1013"/>
      <c r="J2917" s="1013"/>
      <c r="K2917" s="278">
        <v>1.08</v>
      </c>
      <c r="L2917" s="47"/>
      <c r="M2917" s="25"/>
      <c r="N2917" s="26"/>
      <c r="O2917" s="2"/>
      <c r="P2917" s="27"/>
      <c r="Q2917" s="26"/>
      <c r="R2917" s="28"/>
    </row>
    <row r="2918" spans="1:18" ht="30" customHeight="1" x14ac:dyDescent="0.45">
      <c r="A2918" s="47"/>
      <c r="B2918" s="224"/>
      <c r="C2918" s="224"/>
      <c r="D2918" s="224"/>
      <c r="E2918" s="221"/>
      <c r="F2918" s="1012"/>
      <c r="G2918" s="1014" t="s">
        <v>287</v>
      </c>
      <c r="H2918" s="1014"/>
      <c r="I2918" s="1014"/>
      <c r="J2918" s="1014"/>
      <c r="K2918" s="278">
        <v>1.05</v>
      </c>
      <c r="L2918" s="47"/>
      <c r="N2918" s="26"/>
      <c r="O2918" s="2"/>
      <c r="P2918" s="27"/>
      <c r="Q2918" s="26"/>
      <c r="R2918" s="28"/>
    </row>
    <row r="2919" spans="1:18" ht="30" customHeight="1" x14ac:dyDescent="0.45">
      <c r="A2919" s="47"/>
      <c r="B2919" s="47"/>
      <c r="C2919" s="58"/>
      <c r="D2919" s="58"/>
      <c r="E2919" s="58"/>
      <c r="F2919" s="58"/>
      <c r="G2919" s="58"/>
      <c r="H2919" s="58"/>
      <c r="I2919" s="58"/>
      <c r="J2919" s="58" t="s">
        <v>39</v>
      </c>
      <c r="K2919" s="216">
        <f>+K2916*K2917/K2918</f>
        <v>334.71668571428575</v>
      </c>
      <c r="L2919" s="47" t="s">
        <v>35</v>
      </c>
      <c r="M2919" s="25"/>
      <c r="N2919" s="26"/>
      <c r="O2919" s="2"/>
      <c r="P2919" s="27"/>
      <c r="Q2919" s="26"/>
      <c r="R2919" s="28"/>
    </row>
    <row r="2920" spans="1:18" ht="30" customHeight="1" thickBot="1" x14ac:dyDescent="0.5">
      <c r="A2920" s="47"/>
      <c r="B2920" s="47"/>
      <c r="C2920" s="58"/>
      <c r="D2920" s="58"/>
      <c r="E2920" s="58"/>
      <c r="F2920" s="58"/>
      <c r="G2920" s="557" t="s">
        <v>288</v>
      </c>
      <c r="H2920" s="58"/>
      <c r="I2920" s="58"/>
      <c r="J2920" s="213">
        <f>VLOOKUP(B2911,'[1]Mil Cost Premiums for PUCs'!$A$4:$R$278,18,FALSE)</f>
        <v>1.3319480854780448</v>
      </c>
      <c r="K2920" s="216">
        <f>+K2919*J2920</f>
        <v>445.82524871469934</v>
      </c>
      <c r="L2920" s="47" t="s">
        <v>35</v>
      </c>
      <c r="M2920" s="25"/>
      <c r="N2920" s="26"/>
      <c r="O2920" s="2"/>
      <c r="P2920" s="27"/>
      <c r="Q2920" s="26"/>
      <c r="R2920" s="28"/>
    </row>
    <row r="2921" spans="1:18" ht="30" customHeight="1" thickBot="1" x14ac:dyDescent="0.5">
      <c r="A2921" s="6"/>
      <c r="B2921" s="1000"/>
      <c r="C2921" s="1000"/>
      <c r="D2921" s="1000"/>
      <c r="E2921" s="1000"/>
      <c r="F2921" s="1000"/>
      <c r="G2921" s="1000"/>
      <c r="H2921" s="1000"/>
      <c r="I2921" s="1000"/>
      <c r="J2921" s="1000"/>
      <c r="K2921" s="1000"/>
      <c r="L2921" s="1001"/>
      <c r="M2921" s="25"/>
      <c r="N2921" s="26"/>
      <c r="O2921" s="2"/>
      <c r="P2921" s="27"/>
      <c r="Q2921" s="26"/>
      <c r="R2921" s="28"/>
    </row>
    <row r="2922" spans="1:18" ht="30" customHeight="1" x14ac:dyDescent="0.45">
      <c r="A2922" s="9" t="s">
        <v>4</v>
      </c>
      <c r="B2922" s="10">
        <v>7250</v>
      </c>
      <c r="C2922" s="1243" t="s">
        <v>1645</v>
      </c>
      <c r="D2922" s="1244"/>
      <c r="E2922" s="13" t="s">
        <v>7</v>
      </c>
      <c r="F2922" s="14" t="s">
        <v>35</v>
      </c>
      <c r="G2922" s="11" t="s">
        <v>6</v>
      </c>
      <c r="H2922" s="169">
        <v>4111.3906077658903</v>
      </c>
      <c r="I2922" s="13" t="s">
        <v>9</v>
      </c>
      <c r="J2922" s="985" t="s">
        <v>266</v>
      </c>
      <c r="K2922" s="985"/>
      <c r="L2922" s="986"/>
      <c r="M2922" s="25"/>
      <c r="N2922" s="26"/>
      <c r="O2922" s="2"/>
      <c r="P2922" s="27"/>
      <c r="Q2922" s="26"/>
      <c r="R2922" s="28"/>
    </row>
    <row r="2923" spans="1:18" ht="30" customHeight="1" x14ac:dyDescent="0.45">
      <c r="A2923" s="19" t="s">
        <v>11</v>
      </c>
      <c r="B2923" s="1005" t="s">
        <v>12</v>
      </c>
      <c r="C2923" s="1005"/>
      <c r="D2923" s="1005"/>
      <c r="E2923" s="132" t="s">
        <v>267</v>
      </c>
      <c r="F2923" s="20" t="s">
        <v>13</v>
      </c>
      <c r="G2923" s="19"/>
      <c r="H2923" s="19"/>
      <c r="I2923" s="1140" t="s">
        <v>60</v>
      </c>
      <c r="J2923" s="1141"/>
      <c r="K2923" s="992" t="s">
        <v>17</v>
      </c>
      <c r="L2923" s="993"/>
      <c r="M2923" s="25"/>
      <c r="N2923" s="26"/>
      <c r="O2923" s="2"/>
      <c r="P2923" s="27"/>
      <c r="Q2923" s="26"/>
      <c r="R2923" s="28"/>
    </row>
    <row r="2924" spans="1:18" ht="30" customHeight="1" x14ac:dyDescent="0.45">
      <c r="A2924" s="29" t="s">
        <v>268</v>
      </c>
      <c r="B2924" s="994" t="s">
        <v>1583</v>
      </c>
      <c r="C2924" s="994"/>
      <c r="D2924" s="994"/>
      <c r="E2924" s="176">
        <v>80000</v>
      </c>
      <c r="F2924" s="145">
        <v>550</v>
      </c>
      <c r="G2924" s="177"/>
      <c r="H2924" s="178"/>
      <c r="I2924" s="1119" t="s">
        <v>270</v>
      </c>
      <c r="J2924" s="1120"/>
      <c r="K2924" s="145">
        <f>+F2924</f>
        <v>550</v>
      </c>
      <c r="L2924" s="29" t="s">
        <v>35</v>
      </c>
      <c r="M2924" s="25"/>
      <c r="N2924" s="26"/>
      <c r="O2924" s="2"/>
      <c r="P2924" s="27"/>
      <c r="Q2924" s="26"/>
      <c r="R2924" s="28"/>
    </row>
    <row r="2925" spans="1:18" ht="30" customHeight="1" thickBot="1" x14ac:dyDescent="0.5">
      <c r="A2925" s="225"/>
      <c r="B2925" s="1131"/>
      <c r="C2925" s="1131"/>
      <c r="D2925" s="1131"/>
      <c r="E2925" s="662"/>
      <c r="F2925" s="663"/>
      <c r="G2925" s="663"/>
      <c r="H2925" s="664"/>
      <c r="I2925" s="150"/>
      <c r="J2925" s="133" t="s">
        <v>39</v>
      </c>
      <c r="K2925" s="227">
        <f>+K2924</f>
        <v>550</v>
      </c>
      <c r="L2925" s="225" t="s">
        <v>35</v>
      </c>
      <c r="M2925" s="25"/>
      <c r="N2925" s="26"/>
      <c r="O2925" s="2"/>
      <c r="P2925" s="27"/>
      <c r="Q2925" s="26"/>
      <c r="R2925" s="28"/>
    </row>
    <row r="2926" spans="1:18" ht="30" customHeight="1" thickBot="1" x14ac:dyDescent="0.5">
      <c r="A2926" s="999"/>
      <c r="B2926" s="1000"/>
      <c r="C2926" s="1000"/>
      <c r="D2926" s="1000"/>
      <c r="E2926" s="1000"/>
      <c r="F2926" s="1000"/>
      <c r="G2926" s="1000"/>
      <c r="H2926" s="1000"/>
      <c r="I2926" s="1000"/>
      <c r="J2926" s="1000"/>
      <c r="K2926" s="1000"/>
      <c r="L2926" s="1001"/>
      <c r="M2926" s="25"/>
      <c r="N2926" s="26"/>
      <c r="O2926" s="2"/>
      <c r="P2926" s="27"/>
      <c r="Q2926" s="26"/>
      <c r="R2926" s="28"/>
    </row>
    <row r="2927" spans="1:18" ht="30" customHeight="1" x14ac:dyDescent="0.45">
      <c r="A2927" s="9" t="s">
        <v>4</v>
      </c>
      <c r="B2927" s="10">
        <v>7251</v>
      </c>
      <c r="C2927" s="1138" t="s">
        <v>1646</v>
      </c>
      <c r="D2927" s="1139"/>
      <c r="E2927" s="13" t="s">
        <v>7</v>
      </c>
      <c r="F2927" s="14" t="s">
        <v>35</v>
      </c>
      <c r="G2927" s="11" t="s">
        <v>6</v>
      </c>
      <c r="H2927" s="184">
        <v>1719</v>
      </c>
      <c r="I2927" s="13" t="s">
        <v>9</v>
      </c>
      <c r="J2927" s="985" t="s">
        <v>10</v>
      </c>
      <c r="K2927" s="985"/>
      <c r="L2927" s="986"/>
      <c r="M2927" s="25"/>
      <c r="N2927" s="26"/>
      <c r="O2927" s="2"/>
      <c r="P2927" s="27"/>
      <c r="Q2927" s="26"/>
      <c r="R2927" s="28"/>
    </row>
    <row r="2928" spans="1:18" ht="30" customHeight="1" x14ac:dyDescent="0.45">
      <c r="A2928" s="19" t="s">
        <v>11</v>
      </c>
      <c r="B2928" s="1005" t="s">
        <v>12</v>
      </c>
      <c r="C2928" s="1005"/>
      <c r="D2928" s="1005"/>
      <c r="E2928" s="20" t="s">
        <v>13</v>
      </c>
      <c r="F2928" s="19" t="s">
        <v>79</v>
      </c>
      <c r="G2928" s="1114" t="s">
        <v>15</v>
      </c>
      <c r="H2928" s="1115"/>
      <c r="I2928" s="1068" t="s">
        <v>1647</v>
      </c>
      <c r="J2928" s="1069"/>
      <c r="K2928" s="992" t="s">
        <v>17</v>
      </c>
      <c r="L2928" s="993"/>
      <c r="M2928" s="25"/>
      <c r="N2928" s="63"/>
      <c r="O2928" s="2"/>
      <c r="P2928" s="27"/>
      <c r="Q2928" s="26"/>
      <c r="R2928" s="28"/>
    </row>
    <row r="2929" spans="1:25" ht="30" customHeight="1" x14ac:dyDescent="0.45">
      <c r="A2929" s="47">
        <v>93210</v>
      </c>
      <c r="B2929" s="1018" t="s">
        <v>1648</v>
      </c>
      <c r="C2929" s="1019"/>
      <c r="D2929" s="1020"/>
      <c r="E2929" s="221">
        <v>6.42</v>
      </c>
      <c r="F2929" s="394" t="s">
        <v>29</v>
      </c>
      <c r="G2929" s="167">
        <v>27</v>
      </c>
      <c r="H2929" s="29" t="s">
        <v>1649</v>
      </c>
      <c r="I2929" s="1161">
        <f>+'[1]2023 MILCON Inflation Table'!F22</f>
        <v>0.93771935922451721</v>
      </c>
      <c r="J2929" s="1162"/>
      <c r="K2929" s="36">
        <f>+E2929/G2929*I2929</f>
        <v>0.22296882541560742</v>
      </c>
      <c r="L2929" s="29" t="s">
        <v>35</v>
      </c>
      <c r="M2929" s="25"/>
      <c r="N2929" s="63"/>
      <c r="O2929" s="2"/>
      <c r="P2929" s="27"/>
      <c r="Q2929" s="26"/>
      <c r="R2929" s="28"/>
    </row>
    <row r="2930" spans="1:25" ht="30" customHeight="1" x14ac:dyDescent="0.45">
      <c r="A2930" s="47">
        <v>93210</v>
      </c>
      <c r="B2930" s="1092" t="s">
        <v>1650</v>
      </c>
      <c r="C2930" s="1092"/>
      <c r="D2930" s="1092"/>
      <c r="E2930" s="221">
        <v>5.84</v>
      </c>
      <c r="F2930" s="394" t="s">
        <v>8</v>
      </c>
      <c r="G2930" s="167">
        <v>9</v>
      </c>
      <c r="H2930" s="29" t="s">
        <v>988</v>
      </c>
      <c r="I2930" s="1161">
        <f>+I2929</f>
        <v>0.93771935922451721</v>
      </c>
      <c r="J2930" s="1162"/>
      <c r="K2930" s="36">
        <f>+E2930/G2930*I2930</f>
        <v>0.60847567309679784</v>
      </c>
      <c r="L2930" s="29" t="s">
        <v>35</v>
      </c>
      <c r="M2930" s="25"/>
      <c r="N2930" s="26"/>
      <c r="O2930" s="2"/>
      <c r="P2930" s="27"/>
      <c r="Q2930" s="26"/>
      <c r="R2930" s="28"/>
    </row>
    <row r="2931" spans="1:25" ht="30" customHeight="1" x14ac:dyDescent="0.45">
      <c r="A2931" s="47">
        <v>85110</v>
      </c>
      <c r="B2931" s="1008" t="s">
        <v>1651</v>
      </c>
      <c r="C2931" s="1009"/>
      <c r="D2931" s="1010"/>
      <c r="E2931" s="221">
        <v>44.18</v>
      </c>
      <c r="F2931" s="394" t="s">
        <v>8</v>
      </c>
      <c r="G2931" s="167">
        <v>9</v>
      </c>
      <c r="H2931" s="29" t="s">
        <v>988</v>
      </c>
      <c r="I2931" s="1161">
        <f>+I2929</f>
        <v>0.93771935922451721</v>
      </c>
      <c r="J2931" s="1162"/>
      <c r="K2931" s="36">
        <f>+E2931/G2931*I2931</f>
        <v>4.6031601433932412</v>
      </c>
      <c r="L2931" s="29" t="s">
        <v>35</v>
      </c>
      <c r="M2931" s="25"/>
      <c r="N2931" s="26"/>
      <c r="O2931" s="2"/>
      <c r="P2931" s="27"/>
      <c r="Q2931" s="26"/>
      <c r="R2931" s="28"/>
    </row>
    <row r="2932" spans="1:25" ht="30" customHeight="1" x14ac:dyDescent="0.45">
      <c r="A2932" s="47">
        <v>85110</v>
      </c>
      <c r="B2932" s="1008" t="s">
        <v>1652</v>
      </c>
      <c r="C2932" s="1009"/>
      <c r="D2932" s="1010"/>
      <c r="E2932" s="221">
        <v>78.5</v>
      </c>
      <c r="F2932" s="394" t="s">
        <v>8</v>
      </c>
      <c r="G2932" s="167">
        <v>9</v>
      </c>
      <c r="H2932" s="29" t="s">
        <v>988</v>
      </c>
      <c r="I2932" s="1161">
        <f>+I2929</f>
        <v>0.93771935922451721</v>
      </c>
      <c r="J2932" s="1162"/>
      <c r="K2932" s="36">
        <f>+E2932/G2932*I2932</f>
        <v>8.178996633236066</v>
      </c>
      <c r="L2932" s="29" t="s">
        <v>35</v>
      </c>
      <c r="M2932" s="25"/>
      <c r="N2932" s="26"/>
      <c r="O2932" s="2"/>
      <c r="P2932" s="27"/>
      <c r="Q2932" s="26"/>
      <c r="R2932" s="28"/>
    </row>
    <row r="2933" spans="1:25" ht="30" customHeight="1" thickBot="1" x14ac:dyDescent="0.5">
      <c r="A2933" s="47"/>
      <c r="B2933" s="1008"/>
      <c r="C2933" s="1009"/>
      <c r="D2933" s="1010"/>
      <c r="E2933" s="161"/>
      <c r="F2933" s="415"/>
      <c r="G2933" s="161"/>
      <c r="H2933" s="389" t="s">
        <v>38</v>
      </c>
      <c r="I2933" s="58"/>
      <c r="J2933" s="85" t="s">
        <v>39</v>
      </c>
      <c r="K2933" s="185">
        <f>SUM(K2929:K2932)</f>
        <v>13.613601275141711</v>
      </c>
      <c r="L2933" s="29" t="s">
        <v>35</v>
      </c>
      <c r="M2933" s="25"/>
      <c r="N2933" s="26"/>
      <c r="O2933" s="2"/>
      <c r="P2933" s="27"/>
      <c r="Q2933" s="26"/>
      <c r="R2933" s="28"/>
    </row>
    <row r="2934" spans="1:25" ht="30" customHeight="1" thickBot="1" x14ac:dyDescent="0.5">
      <c r="A2934" s="999"/>
      <c r="B2934" s="1000"/>
      <c r="C2934" s="1000"/>
      <c r="D2934" s="1000"/>
      <c r="E2934" s="1000"/>
      <c r="F2934" s="1000"/>
      <c r="G2934" s="1000"/>
      <c r="H2934" s="1000"/>
      <c r="I2934" s="1000"/>
      <c r="J2934" s="1000"/>
      <c r="K2934" s="1000"/>
      <c r="L2934" s="1001"/>
      <c r="M2934" s="25"/>
      <c r="N2934" s="26"/>
      <c r="O2934" s="2"/>
      <c r="P2934" s="27"/>
      <c r="Q2934" s="26"/>
      <c r="R2934" s="28"/>
    </row>
    <row r="2935" spans="1:25" ht="30" customHeight="1" x14ac:dyDescent="0.45">
      <c r="A2935" s="9" t="s">
        <v>4</v>
      </c>
      <c r="B2935" s="10">
        <v>7311</v>
      </c>
      <c r="C2935" s="983" t="s">
        <v>1653</v>
      </c>
      <c r="D2935" s="984"/>
      <c r="E2935" s="13" t="s">
        <v>7</v>
      </c>
      <c r="F2935" s="14" t="s">
        <v>35</v>
      </c>
      <c r="G2935" s="11" t="s">
        <v>6</v>
      </c>
      <c r="H2935" s="184">
        <v>7966.45</v>
      </c>
      <c r="I2935" s="13" t="s">
        <v>9</v>
      </c>
      <c r="J2935" s="985" t="s">
        <v>266</v>
      </c>
      <c r="K2935" s="985"/>
      <c r="L2935" s="986"/>
      <c r="M2935" s="25"/>
      <c r="N2935" s="26"/>
      <c r="O2935" s="2"/>
      <c r="P2935" s="27"/>
      <c r="Q2935" s="26"/>
      <c r="R2935" s="28"/>
    </row>
    <row r="2936" spans="1:25" ht="30" customHeight="1" x14ac:dyDescent="0.45">
      <c r="A2936" s="19" t="s">
        <v>11</v>
      </c>
      <c r="B2936" s="1005" t="s">
        <v>12</v>
      </c>
      <c r="C2936" s="1005"/>
      <c r="D2936" s="1005"/>
      <c r="E2936" s="19" t="s">
        <v>267</v>
      </c>
      <c r="F2936" s="19" t="s">
        <v>13</v>
      </c>
      <c r="G2936" s="1114"/>
      <c r="H2936" s="1115"/>
      <c r="I2936" s="1140" t="s">
        <v>60</v>
      </c>
      <c r="J2936" s="1141"/>
      <c r="K2936" s="992" t="s">
        <v>17</v>
      </c>
      <c r="L2936" s="993"/>
      <c r="M2936" s="462"/>
      <c r="N2936" s="26"/>
      <c r="O2936" s="2"/>
      <c r="P2936" s="27"/>
      <c r="Q2936" s="26"/>
      <c r="R2936" s="28"/>
    </row>
    <row r="2937" spans="1:25" ht="30" customHeight="1" x14ac:dyDescent="0.45">
      <c r="A2937" s="47" t="s">
        <v>268</v>
      </c>
      <c r="B2937" s="1008" t="s">
        <v>1654</v>
      </c>
      <c r="C2937" s="1009"/>
      <c r="D2937" s="1010"/>
      <c r="E2937" s="176">
        <v>19000</v>
      </c>
      <c r="F2937" s="620">
        <v>795</v>
      </c>
      <c r="G2937" s="167"/>
      <c r="H2937" s="29"/>
      <c r="I2937" s="1119" t="s">
        <v>270</v>
      </c>
      <c r="J2937" s="1120"/>
      <c r="K2937" s="635">
        <f>+F2937</f>
        <v>795</v>
      </c>
      <c r="L2937" s="29" t="s">
        <v>35</v>
      </c>
      <c r="M2937" s="25"/>
      <c r="N2937" s="26"/>
      <c r="O2937" s="2"/>
      <c r="P2937" s="27"/>
      <c r="Q2937" s="26"/>
      <c r="R2937" s="28"/>
    </row>
    <row r="2938" spans="1:25" ht="30" customHeight="1" thickBot="1" x14ac:dyDescent="0.5">
      <c r="A2938" s="225"/>
      <c r="B2938" s="1218"/>
      <c r="C2938" s="1219"/>
      <c r="D2938" s="1220"/>
      <c r="E2938" s="677"/>
      <c r="F2938" s="678"/>
      <c r="G2938" s="677"/>
      <c r="H2938" s="679"/>
      <c r="I2938" s="150"/>
      <c r="J2938" s="133" t="s">
        <v>39</v>
      </c>
      <c r="K2938" s="680">
        <f>SUM(K2937:K2937)</f>
        <v>795</v>
      </c>
      <c r="L2938" s="395" t="s">
        <v>35</v>
      </c>
      <c r="M2938" s="25"/>
      <c r="N2938" s="26"/>
      <c r="O2938" s="2"/>
      <c r="P2938" s="27"/>
      <c r="Q2938" s="26"/>
      <c r="R2938" s="28"/>
    </row>
    <row r="2939" spans="1:25" ht="30" customHeight="1" thickBot="1" x14ac:dyDescent="0.5">
      <c r="A2939" s="1077"/>
      <c r="B2939" s="1078"/>
      <c r="C2939" s="1078"/>
      <c r="D2939" s="1078"/>
      <c r="E2939" s="1078"/>
      <c r="F2939" s="1078"/>
      <c r="G2939" s="1078"/>
      <c r="H2939" s="1078"/>
      <c r="I2939" s="1078"/>
      <c r="J2939" s="1078"/>
      <c r="K2939" s="1078"/>
      <c r="L2939" s="1079"/>
      <c r="M2939" s="25"/>
      <c r="N2939" s="26"/>
      <c r="O2939" s="2"/>
      <c r="P2939" s="27"/>
      <c r="Q2939" s="26"/>
      <c r="R2939" s="28"/>
    </row>
    <row r="2940" spans="1:25" ht="30" customHeight="1" x14ac:dyDescent="0.45">
      <c r="A2940" s="93" t="s">
        <v>4</v>
      </c>
      <c r="B2940" s="76">
        <v>7312</v>
      </c>
      <c r="C2940" s="1241" t="s">
        <v>1655</v>
      </c>
      <c r="D2940" s="1242"/>
      <c r="E2940" s="94" t="s">
        <v>7</v>
      </c>
      <c r="F2940" s="95" t="s">
        <v>35</v>
      </c>
      <c r="G2940" s="102" t="s">
        <v>6</v>
      </c>
      <c r="H2940" s="96">
        <v>15786.709090909</v>
      </c>
      <c r="I2940" s="94" t="s">
        <v>9</v>
      </c>
      <c r="J2940" s="1088" t="s">
        <v>276</v>
      </c>
      <c r="K2940" s="1088"/>
      <c r="L2940" s="1089"/>
      <c r="M2940" s="25"/>
      <c r="N2940" s="26"/>
      <c r="O2940" s="2"/>
      <c r="P2940" s="27"/>
      <c r="Q2940" s="26"/>
      <c r="R2940" s="28"/>
    </row>
    <row r="2941" spans="1:25" ht="30" customHeight="1" x14ac:dyDescent="0.45">
      <c r="A2941" s="85" t="s">
        <v>277</v>
      </c>
      <c r="B2941" s="987" t="s">
        <v>293</v>
      </c>
      <c r="C2941" s="988"/>
      <c r="D2941" s="989"/>
      <c r="E2941" s="220" t="s">
        <v>13</v>
      </c>
      <c r="F2941" s="220" t="s">
        <v>14</v>
      </c>
      <c r="G2941" s="990" t="s">
        <v>15</v>
      </c>
      <c r="H2941" s="991"/>
      <c r="I2941" s="19" t="s">
        <v>1316</v>
      </c>
      <c r="J2941" s="19" t="s">
        <v>278</v>
      </c>
      <c r="K2941" s="992" t="s">
        <v>17</v>
      </c>
      <c r="L2941" s="993"/>
      <c r="N2941" s="26"/>
      <c r="O2941" s="2"/>
      <c r="P2941" s="27"/>
      <c r="Q2941" s="26"/>
      <c r="R2941" s="28"/>
    </row>
    <row r="2942" spans="1:25" ht="30" customHeight="1" x14ac:dyDescent="0.45">
      <c r="A2942" s="426" t="s">
        <v>393</v>
      </c>
      <c r="B2942" s="1018" t="s">
        <v>1656</v>
      </c>
      <c r="C2942" s="1019"/>
      <c r="D2942" s="1020"/>
      <c r="E2942" s="221">
        <v>250</v>
      </c>
      <c r="F2942" s="56" t="s">
        <v>35</v>
      </c>
      <c r="G2942" s="348"/>
      <c r="H2942" s="349"/>
      <c r="I2942" s="58"/>
      <c r="J2942" s="47">
        <v>1.1200000000000001</v>
      </c>
      <c r="K2942" s="221">
        <f>+E2942*J2942</f>
        <v>280</v>
      </c>
      <c r="L2942" s="47" t="s">
        <v>35</v>
      </c>
      <c r="M2942" s="25"/>
      <c r="N2942" s="26"/>
      <c r="O2942" s="2"/>
      <c r="P2942" s="27"/>
      <c r="Q2942" s="26"/>
      <c r="R2942" s="28"/>
    </row>
    <row r="2943" spans="1:25" ht="30" customHeight="1" x14ac:dyDescent="0.45">
      <c r="A2943" s="676" t="s">
        <v>397</v>
      </c>
      <c r="B2943" s="1008" t="s">
        <v>398</v>
      </c>
      <c r="C2943" s="1009"/>
      <c r="D2943" s="1009"/>
      <c r="E2943" s="221">
        <v>4.54</v>
      </c>
      <c r="F2943" s="56" t="s">
        <v>35</v>
      </c>
      <c r="G2943" s="348"/>
      <c r="H2943" s="349"/>
      <c r="I2943" s="58"/>
      <c r="J2943" s="47">
        <v>1.1200000000000001</v>
      </c>
      <c r="K2943" s="221">
        <f>+E2943*J2943</f>
        <v>5.0848000000000004</v>
      </c>
      <c r="L2943" s="47" t="s">
        <v>35</v>
      </c>
      <c r="M2943" s="25"/>
      <c r="N2943" s="26"/>
      <c r="O2943" s="2"/>
      <c r="P2943" s="27"/>
      <c r="Q2943" s="26"/>
      <c r="R2943" s="28"/>
      <c r="T2943" s="306"/>
      <c r="U2943" s="306"/>
      <c r="V2943" s="306"/>
      <c r="W2943" s="306"/>
      <c r="X2943" s="306"/>
      <c r="Y2943" s="306"/>
    </row>
    <row r="2944" spans="1:25" ht="30" customHeight="1" x14ac:dyDescent="0.45">
      <c r="A2944" s="47" t="s">
        <v>1050</v>
      </c>
      <c r="B2944" s="1018" t="s">
        <v>1325</v>
      </c>
      <c r="C2944" s="1019"/>
      <c r="D2944" s="1020"/>
      <c r="E2944" s="221">
        <f>(24+37.25)/2</f>
        <v>30.625</v>
      </c>
      <c r="F2944" s="222" t="s">
        <v>35</v>
      </c>
      <c r="G2944" s="42">
        <f>120*2</f>
        <v>240</v>
      </c>
      <c r="H2944" s="206" t="s">
        <v>479</v>
      </c>
      <c r="I2944" s="506">
        <f>+E2944*G2944/H2940</f>
        <v>0.4655815190914363</v>
      </c>
      <c r="J2944" s="47">
        <v>1.22</v>
      </c>
      <c r="K2944" s="378">
        <f>+I2944*J2944</f>
        <v>0.56800945329155228</v>
      </c>
      <c r="L2944" s="47" t="s">
        <v>35</v>
      </c>
      <c r="M2944" s="25"/>
      <c r="N2944" s="26"/>
      <c r="O2944" s="2"/>
      <c r="P2944" s="27"/>
      <c r="Q2944" s="26"/>
      <c r="R2944" s="28"/>
    </row>
    <row r="2945" spans="1:25" ht="30" customHeight="1" x14ac:dyDescent="0.45">
      <c r="A2945" s="47" t="s">
        <v>1050</v>
      </c>
      <c r="B2945" s="1018" t="s">
        <v>1326</v>
      </c>
      <c r="C2945" s="1019"/>
      <c r="D2945" s="1020"/>
      <c r="E2945" s="221">
        <f>(2020+2850)/2</f>
        <v>2435</v>
      </c>
      <c r="F2945" s="222" t="s">
        <v>88</v>
      </c>
      <c r="G2945" s="42"/>
      <c r="H2945" s="206"/>
      <c r="I2945" s="506">
        <f>2*E2945/H2940</f>
        <v>0.30848734666330541</v>
      </c>
      <c r="J2945" s="47">
        <v>1.22</v>
      </c>
      <c r="K2945" s="378">
        <f>+I2945*J2945</f>
        <v>0.37635456292923258</v>
      </c>
      <c r="L2945" s="47" t="s">
        <v>35</v>
      </c>
      <c r="M2945" s="25"/>
      <c r="N2945" s="306"/>
      <c r="O2945" s="306"/>
      <c r="P2945" s="479"/>
      <c r="Q2945" s="306"/>
      <c r="R2945" s="306"/>
      <c r="S2945" s="306"/>
    </row>
    <row r="2946" spans="1:25" s="306" customFormat="1" ht="30" customHeight="1" x14ac:dyDescent="0.45">
      <c r="A2946" s="47" t="s">
        <v>1055</v>
      </c>
      <c r="B2946" s="1018" t="s">
        <v>1203</v>
      </c>
      <c r="C2946" s="1019"/>
      <c r="D2946" s="1020"/>
      <c r="E2946" s="221">
        <v>72.38</v>
      </c>
      <c r="F2946" s="222" t="s">
        <v>113</v>
      </c>
      <c r="G2946" s="42">
        <v>20</v>
      </c>
      <c r="H2946" s="206" t="s">
        <v>1204</v>
      </c>
      <c r="I2946" s="506">
        <f>+E2946*G2946/H2940</f>
        <v>9.1697388712484784E-2</v>
      </c>
      <c r="J2946" s="47">
        <v>1.1200000000000001</v>
      </c>
      <c r="K2946" s="378">
        <f>+I2946*J2946</f>
        <v>0.10270107535798297</v>
      </c>
      <c r="L2946" s="47" t="s">
        <v>35</v>
      </c>
      <c r="M2946" s="25"/>
      <c r="N2946" s="26"/>
      <c r="O2946" s="2"/>
      <c r="P2946" s="27"/>
      <c r="Q2946" s="26"/>
      <c r="R2946" s="28"/>
      <c r="S2946" s="2"/>
      <c r="T2946" s="2"/>
      <c r="U2946" s="2"/>
      <c r="V2946" s="2"/>
      <c r="W2946" s="2"/>
      <c r="X2946" s="2"/>
      <c r="Y2946" s="2"/>
    </row>
    <row r="2947" spans="1:25" ht="30" customHeight="1" x14ac:dyDescent="0.45">
      <c r="A2947" s="642"/>
      <c r="B2947" s="1030"/>
      <c r="C2947" s="1030"/>
      <c r="D2947" s="1030"/>
      <c r="E2947" s="221"/>
      <c r="F2947" s="47"/>
      <c r="G2947" s="47"/>
      <c r="H2947" s="47"/>
      <c r="I2947" s="47"/>
      <c r="J2947" s="47" t="s">
        <v>38</v>
      </c>
      <c r="K2947" s="221">
        <f>SUM(K2942:K2946)</f>
        <v>286.13186509157873</v>
      </c>
      <c r="L2947" s="47" t="s">
        <v>35</v>
      </c>
      <c r="M2947" s="25"/>
      <c r="N2947" s="26"/>
      <c r="O2947" s="2"/>
      <c r="P2947" s="27"/>
      <c r="Q2947" s="26"/>
      <c r="R2947" s="28"/>
    </row>
    <row r="2948" spans="1:25" ht="30" customHeight="1" x14ac:dyDescent="0.45">
      <c r="A2948" s="47"/>
      <c r="B2948" s="224"/>
      <c r="C2948" s="224"/>
      <c r="D2948" s="224"/>
      <c r="E2948" s="221"/>
      <c r="F2948" s="1011" t="s">
        <v>285</v>
      </c>
      <c r="G2948" s="1013" t="s">
        <v>286</v>
      </c>
      <c r="H2948" s="1013"/>
      <c r="I2948" s="1013"/>
      <c r="J2948" s="1013"/>
      <c r="K2948" s="278">
        <v>1.06</v>
      </c>
      <c r="L2948" s="47"/>
      <c r="M2948" s="25"/>
      <c r="N2948" s="26"/>
      <c r="O2948" s="2"/>
      <c r="P2948" s="27"/>
      <c r="Q2948" s="26"/>
      <c r="R2948" s="28"/>
    </row>
    <row r="2949" spans="1:25" ht="30" customHeight="1" x14ac:dyDescent="0.45">
      <c r="A2949" s="47"/>
      <c r="B2949" s="224"/>
      <c r="C2949" s="224"/>
      <c r="D2949" s="224"/>
      <c r="E2949" s="221"/>
      <c r="F2949" s="1012"/>
      <c r="G2949" s="1014" t="s">
        <v>287</v>
      </c>
      <c r="H2949" s="1014"/>
      <c r="I2949" s="1014"/>
      <c r="J2949" s="1014"/>
      <c r="K2949" s="278">
        <v>1.05</v>
      </c>
      <c r="L2949" s="47"/>
      <c r="M2949" s="25"/>
      <c r="N2949" s="26"/>
      <c r="O2949" s="2"/>
      <c r="P2949" s="27"/>
      <c r="Q2949" s="26"/>
      <c r="R2949" s="28"/>
    </row>
    <row r="2950" spans="1:25" ht="30" customHeight="1" x14ac:dyDescent="0.45">
      <c r="A2950" s="47"/>
      <c r="B2950" s="47"/>
      <c r="C2950" s="58"/>
      <c r="D2950" s="58"/>
      <c r="E2950" s="58"/>
      <c r="F2950" s="58"/>
      <c r="G2950" s="58"/>
      <c r="H2950" s="58"/>
      <c r="I2950" s="58"/>
      <c r="J2950" s="58" t="s">
        <v>39</v>
      </c>
      <c r="K2950" s="216">
        <f>+K2947*K2948/K2949</f>
        <v>288.85693047340328</v>
      </c>
      <c r="L2950" s="47" t="s">
        <v>35</v>
      </c>
      <c r="M2950" s="25"/>
      <c r="N2950" s="26"/>
      <c r="O2950" s="2"/>
      <c r="P2950" s="27"/>
      <c r="Q2950" s="26"/>
      <c r="R2950" s="28"/>
    </row>
    <row r="2951" spans="1:25" ht="30" customHeight="1" thickBot="1" x14ac:dyDescent="0.5">
      <c r="A2951" s="47"/>
      <c r="B2951" s="47"/>
      <c r="C2951" s="58"/>
      <c r="D2951" s="58"/>
      <c r="E2951" s="58"/>
      <c r="F2951" s="58"/>
      <c r="G2951" s="58"/>
      <c r="I2951" s="183" t="s">
        <v>288</v>
      </c>
      <c r="J2951" s="213">
        <f>VLOOKUP(B2940,'[1]Mil Cost Premiums for PUCs'!$A$4:$R$278,18,FALSE)</f>
        <v>1.3319480854780448</v>
      </c>
      <c r="K2951" s="216">
        <f>+K2950*J2951</f>
        <v>384.7424355211142</v>
      </c>
      <c r="L2951" s="47" t="s">
        <v>35</v>
      </c>
      <c r="M2951" s="25"/>
      <c r="N2951" s="26"/>
      <c r="O2951" s="2"/>
      <c r="P2951" s="27"/>
      <c r="Q2951" s="26"/>
      <c r="R2951" s="28"/>
    </row>
    <row r="2952" spans="1:25" ht="30" customHeight="1" thickBot="1" x14ac:dyDescent="0.5">
      <c r="A2952" s="1077"/>
      <c r="B2952" s="1078"/>
      <c r="C2952" s="1078"/>
      <c r="D2952" s="1078"/>
      <c r="E2952" s="1078"/>
      <c r="F2952" s="1078"/>
      <c r="G2952" s="1078"/>
      <c r="H2952" s="1078"/>
      <c r="I2952" s="1078"/>
      <c r="J2952" s="1078"/>
      <c r="K2952" s="1078"/>
      <c r="L2952" s="1079"/>
      <c r="M2952" s="25"/>
      <c r="N2952" s="26"/>
      <c r="O2952" s="2"/>
      <c r="P2952" s="27"/>
      <c r="Q2952" s="26"/>
      <c r="R2952" s="28"/>
    </row>
    <row r="2953" spans="1:25" ht="30" customHeight="1" x14ac:dyDescent="0.45">
      <c r="A2953" s="93" t="s">
        <v>4</v>
      </c>
      <c r="B2953" s="76">
        <v>7313</v>
      </c>
      <c r="C2953" s="1241" t="s">
        <v>1657</v>
      </c>
      <c r="D2953" s="1242"/>
      <c r="E2953" s="94" t="s">
        <v>7</v>
      </c>
      <c r="F2953" s="95" t="s">
        <v>35</v>
      </c>
      <c r="G2953" s="102" t="s">
        <v>6</v>
      </c>
      <c r="H2953" s="413">
        <v>7270.6789485458603</v>
      </c>
      <c r="I2953" s="94" t="s">
        <v>9</v>
      </c>
      <c r="J2953" s="1088" t="s">
        <v>276</v>
      </c>
      <c r="K2953" s="1088"/>
      <c r="L2953" s="1089"/>
      <c r="M2953" s="25"/>
      <c r="N2953" s="26"/>
      <c r="O2953" s="2"/>
      <c r="P2953" s="27"/>
      <c r="Q2953" s="26"/>
      <c r="R2953" s="28"/>
    </row>
    <row r="2954" spans="1:25" ht="30" customHeight="1" x14ac:dyDescent="0.45">
      <c r="A2954" s="85" t="s">
        <v>277</v>
      </c>
      <c r="B2954" s="987" t="s">
        <v>293</v>
      </c>
      <c r="C2954" s="988"/>
      <c r="D2954" s="989"/>
      <c r="E2954" s="220" t="s">
        <v>13</v>
      </c>
      <c r="F2954" s="220" t="s">
        <v>14</v>
      </c>
      <c r="G2954" s="990" t="s">
        <v>15</v>
      </c>
      <c r="H2954" s="991"/>
      <c r="I2954" s="19" t="s">
        <v>1316</v>
      </c>
      <c r="J2954" s="19" t="s">
        <v>278</v>
      </c>
      <c r="K2954" s="992" t="s">
        <v>17</v>
      </c>
      <c r="L2954" s="993"/>
      <c r="M2954" s="25"/>
      <c r="N2954" s="26"/>
      <c r="O2954" s="2"/>
      <c r="P2954" s="27"/>
      <c r="Q2954" s="26"/>
      <c r="R2954" s="28"/>
    </row>
    <row r="2955" spans="1:25" ht="30" customHeight="1" x14ac:dyDescent="0.45">
      <c r="A2955" s="426" t="s">
        <v>393</v>
      </c>
      <c r="B2955" s="1008" t="s">
        <v>1658</v>
      </c>
      <c r="C2955" s="1009"/>
      <c r="D2955" s="1010"/>
      <c r="E2955" s="221">
        <v>178</v>
      </c>
      <c r="F2955" s="56" t="s">
        <v>35</v>
      </c>
      <c r="G2955" s="348"/>
      <c r="H2955" s="349"/>
      <c r="I2955" s="58"/>
      <c r="J2955" s="47">
        <v>1.1200000000000001</v>
      </c>
      <c r="K2955" s="221">
        <f>+E2955*J2955</f>
        <v>199.36</v>
      </c>
      <c r="L2955" s="47" t="s">
        <v>35</v>
      </c>
      <c r="M2955" s="25"/>
      <c r="N2955" s="26"/>
      <c r="O2955" s="2"/>
      <c r="P2955" s="27"/>
      <c r="Q2955" s="26"/>
      <c r="R2955" s="28"/>
    </row>
    <row r="2956" spans="1:25" ht="30" customHeight="1" x14ac:dyDescent="0.45">
      <c r="A2956" s="676" t="s">
        <v>397</v>
      </c>
      <c r="B2956" s="1030" t="s">
        <v>1659</v>
      </c>
      <c r="C2956" s="1030"/>
      <c r="D2956" s="1030"/>
      <c r="E2956" s="221">
        <v>5.47</v>
      </c>
      <c r="F2956" s="47" t="s">
        <v>35</v>
      </c>
      <c r="G2956" s="47"/>
      <c r="H2956" s="47"/>
      <c r="I2956" s="58"/>
      <c r="J2956" s="47">
        <v>1.1200000000000001</v>
      </c>
      <c r="K2956" s="221">
        <f>+E2956*J2956</f>
        <v>6.1264000000000003</v>
      </c>
      <c r="L2956" s="47" t="s">
        <v>35</v>
      </c>
      <c r="M2956" s="25"/>
      <c r="N2956" s="26"/>
      <c r="O2956" s="2"/>
      <c r="P2956" s="27"/>
      <c r="Q2956" s="26"/>
      <c r="R2956" s="28"/>
    </row>
    <row r="2957" spans="1:25" ht="30" customHeight="1" x14ac:dyDescent="0.45">
      <c r="A2957" s="642"/>
      <c r="B2957" s="1030"/>
      <c r="C2957" s="1030"/>
      <c r="D2957" s="1030"/>
      <c r="E2957" s="221"/>
      <c r="F2957" s="47"/>
      <c r="G2957" s="47"/>
      <c r="H2957" s="47"/>
      <c r="I2957" s="47"/>
      <c r="J2957" s="47" t="s">
        <v>38</v>
      </c>
      <c r="K2957" s="221">
        <f>SUM(K2955:K2956)</f>
        <v>205.4864</v>
      </c>
      <c r="L2957" s="47" t="s">
        <v>35</v>
      </c>
      <c r="M2957" s="25"/>
      <c r="N2957" s="26"/>
      <c r="O2957" s="2"/>
      <c r="P2957" s="27"/>
      <c r="Q2957" s="26"/>
      <c r="R2957" s="28"/>
    </row>
    <row r="2958" spans="1:25" ht="30" customHeight="1" x14ac:dyDescent="0.45">
      <c r="A2958" s="47"/>
      <c r="B2958" s="224"/>
      <c r="C2958" s="224"/>
      <c r="D2958" s="224"/>
      <c r="E2958" s="221"/>
      <c r="F2958" s="1011" t="s">
        <v>285</v>
      </c>
      <c r="G2958" s="1013" t="s">
        <v>286</v>
      </c>
      <c r="H2958" s="1013"/>
      <c r="I2958" s="1013"/>
      <c r="J2958" s="1013"/>
      <c r="K2958" s="278">
        <v>1.06</v>
      </c>
      <c r="L2958" s="47"/>
      <c r="M2958" s="25"/>
      <c r="N2958" s="26"/>
      <c r="O2958" s="2"/>
      <c r="P2958" s="27"/>
      <c r="Q2958" s="26"/>
      <c r="R2958" s="28"/>
    </row>
    <row r="2959" spans="1:25" ht="30" customHeight="1" x14ac:dyDescent="0.45">
      <c r="A2959" s="47"/>
      <c r="B2959" s="224"/>
      <c r="C2959" s="224"/>
      <c r="D2959" s="224"/>
      <c r="E2959" s="221"/>
      <c r="F2959" s="1012"/>
      <c r="G2959" s="1014" t="s">
        <v>287</v>
      </c>
      <c r="H2959" s="1014"/>
      <c r="I2959" s="1014"/>
      <c r="J2959" s="1014"/>
      <c r="K2959" s="278">
        <v>1.05</v>
      </c>
      <c r="L2959" s="47"/>
      <c r="M2959" s="25"/>
      <c r="N2959" s="26"/>
      <c r="O2959" s="2"/>
      <c r="P2959" s="27"/>
      <c r="Q2959" s="26"/>
      <c r="R2959" s="28"/>
    </row>
    <row r="2960" spans="1:25" ht="30" customHeight="1" x14ac:dyDescent="0.45">
      <c r="A2960" s="47"/>
      <c r="B2960" s="47"/>
      <c r="C2960" s="58"/>
      <c r="D2960" s="58"/>
      <c r="E2960" s="58"/>
      <c r="F2960" s="58"/>
      <c r="G2960" s="58"/>
      <c r="H2960" s="58"/>
      <c r="I2960" s="58"/>
      <c r="J2960" s="58" t="s">
        <v>39</v>
      </c>
      <c r="K2960" s="216">
        <f>+K2957*K2958/K2959</f>
        <v>207.44341333333332</v>
      </c>
      <c r="L2960" s="47" t="s">
        <v>35</v>
      </c>
      <c r="M2960" s="25"/>
      <c r="N2960" s="26"/>
      <c r="O2960" s="2"/>
      <c r="P2960" s="27"/>
      <c r="Q2960" s="26"/>
      <c r="R2960" s="28"/>
    </row>
    <row r="2961" spans="1:18" ht="30" customHeight="1" thickBot="1" x14ac:dyDescent="0.5">
      <c r="A2961" s="47"/>
      <c r="B2961" s="47"/>
      <c r="C2961" s="58"/>
      <c r="D2961" s="58"/>
      <c r="E2961" s="58"/>
      <c r="F2961" s="58"/>
      <c r="H2961" s="58"/>
      <c r="I2961" s="183" t="s">
        <v>288</v>
      </c>
      <c r="J2961" s="213">
        <f>VLOOKUP(B2953,'[1]Mil Cost Premiums for PUCs'!$A$4:$R$278,18,FALSE)</f>
        <v>1.3319480854780448</v>
      </c>
      <c r="K2961" s="216">
        <f>+K2960*J2961</f>
        <v>276.30385723436405</v>
      </c>
      <c r="L2961" s="47" t="s">
        <v>35</v>
      </c>
      <c r="M2961" s="25"/>
      <c r="N2961" s="26"/>
      <c r="O2961" s="2"/>
      <c r="P2961" s="27"/>
      <c r="Q2961" s="26"/>
      <c r="R2961" s="28"/>
    </row>
    <row r="2962" spans="1:18" ht="30" customHeight="1" thickBot="1" x14ac:dyDescent="0.5">
      <c r="A2962" s="1077"/>
      <c r="B2962" s="1078"/>
      <c r="C2962" s="1078"/>
      <c r="D2962" s="1078"/>
      <c r="E2962" s="1078"/>
      <c r="F2962" s="1078"/>
      <c r="G2962" s="1078"/>
      <c r="H2962" s="1078"/>
      <c r="I2962" s="1078"/>
      <c r="J2962" s="1078"/>
      <c r="K2962" s="1078"/>
      <c r="L2962" s="1079"/>
      <c r="M2962" s="25"/>
      <c r="N2962" s="26"/>
      <c r="O2962" s="2"/>
      <c r="P2962" s="27"/>
      <c r="Q2962" s="26"/>
      <c r="R2962" s="28"/>
    </row>
    <row r="2963" spans="1:18" ht="30" customHeight="1" x14ac:dyDescent="0.45">
      <c r="A2963" s="93" t="s">
        <v>4</v>
      </c>
      <c r="B2963" s="76">
        <v>7314</v>
      </c>
      <c r="C2963" s="1073" t="s">
        <v>1660</v>
      </c>
      <c r="D2963" s="1074"/>
      <c r="E2963" s="94" t="s">
        <v>7</v>
      </c>
      <c r="F2963" s="95" t="s">
        <v>35</v>
      </c>
      <c r="G2963" s="102" t="s">
        <v>6</v>
      </c>
      <c r="H2963" s="96">
        <v>5579</v>
      </c>
      <c r="I2963" s="94" t="s">
        <v>9</v>
      </c>
      <c r="J2963" s="1088" t="s">
        <v>575</v>
      </c>
      <c r="K2963" s="1088"/>
      <c r="L2963" s="1089"/>
      <c r="M2963" s="25"/>
      <c r="N2963" s="26"/>
      <c r="O2963" s="2"/>
      <c r="P2963" s="27"/>
      <c r="Q2963" s="26"/>
      <c r="R2963" s="28"/>
    </row>
    <row r="2964" spans="1:18" ht="30" customHeight="1" x14ac:dyDescent="0.45">
      <c r="A2964" s="85" t="s">
        <v>277</v>
      </c>
      <c r="B2964" s="987" t="s">
        <v>293</v>
      </c>
      <c r="C2964" s="988"/>
      <c r="D2964" s="989"/>
      <c r="E2964" s="220" t="s">
        <v>13</v>
      </c>
      <c r="F2964" s="220" t="s">
        <v>14</v>
      </c>
      <c r="G2964" s="990" t="s">
        <v>15</v>
      </c>
      <c r="H2964" s="991"/>
      <c r="I2964" s="19" t="s">
        <v>278</v>
      </c>
      <c r="J2964" s="19"/>
      <c r="K2964" s="992" t="s">
        <v>17</v>
      </c>
      <c r="L2964" s="993"/>
      <c r="M2964" s="25"/>
      <c r="N2964" s="26"/>
      <c r="O2964" s="2"/>
      <c r="P2964" s="27"/>
      <c r="Q2964" s="26"/>
      <c r="R2964" s="28"/>
    </row>
    <row r="2965" spans="1:18" ht="30" customHeight="1" x14ac:dyDescent="0.45">
      <c r="A2965" s="426" t="s">
        <v>1661</v>
      </c>
      <c r="B2965" s="1030" t="s">
        <v>1662</v>
      </c>
      <c r="C2965" s="1030"/>
      <c r="D2965" s="1030"/>
      <c r="E2965" s="221">
        <v>149</v>
      </c>
      <c r="F2965" s="47" t="s">
        <v>35</v>
      </c>
      <c r="G2965" s="47"/>
      <c r="H2965" s="47"/>
      <c r="I2965" s="47">
        <v>1.05</v>
      </c>
      <c r="J2965" s="47"/>
      <c r="K2965" s="221">
        <f>+E2965*I2965</f>
        <v>156.45000000000002</v>
      </c>
      <c r="L2965" s="47" t="s">
        <v>35</v>
      </c>
      <c r="M2965" s="25"/>
      <c r="N2965" s="26"/>
      <c r="O2965" s="2"/>
      <c r="P2965" s="27"/>
      <c r="Q2965" s="26"/>
      <c r="R2965" s="28"/>
    </row>
    <row r="2966" spans="1:18" ht="30" customHeight="1" x14ac:dyDescent="0.45">
      <c r="A2966" s="676" t="s">
        <v>397</v>
      </c>
      <c r="B2966" s="1030" t="s">
        <v>1659</v>
      </c>
      <c r="C2966" s="1030"/>
      <c r="D2966" s="1030"/>
      <c r="E2966" s="221">
        <v>4.49</v>
      </c>
      <c r="F2966" s="47" t="s">
        <v>35</v>
      </c>
      <c r="G2966" s="47"/>
      <c r="H2966" s="47"/>
      <c r="I2966" s="47">
        <v>1.05</v>
      </c>
      <c r="J2966" s="47"/>
      <c r="K2966" s="221">
        <f>+E2966*I2966</f>
        <v>4.7145000000000001</v>
      </c>
      <c r="L2966" s="47" t="s">
        <v>35</v>
      </c>
      <c r="M2966" s="25"/>
      <c r="N2966" s="26"/>
      <c r="O2966" s="2"/>
      <c r="P2966" s="27"/>
      <c r="Q2966" s="26"/>
      <c r="R2966" s="28"/>
    </row>
    <row r="2967" spans="1:18" ht="30" customHeight="1" x14ac:dyDescent="0.45">
      <c r="A2967" s="642"/>
      <c r="B2967" s="1030"/>
      <c r="C2967" s="1030"/>
      <c r="D2967" s="1030"/>
      <c r="E2967" s="221"/>
      <c r="F2967" s="47"/>
      <c r="G2967" s="47"/>
      <c r="H2967" s="47"/>
      <c r="I2967" s="47"/>
      <c r="J2967" s="47" t="s">
        <v>38</v>
      </c>
      <c r="K2967" s="221">
        <f>SUM(K2965:K2966)</f>
        <v>161.1645</v>
      </c>
      <c r="L2967" s="47" t="s">
        <v>35</v>
      </c>
      <c r="M2967" s="25"/>
      <c r="N2967" s="26"/>
      <c r="O2967" s="2"/>
      <c r="P2967" s="27"/>
      <c r="Q2967" s="26"/>
      <c r="R2967" s="28"/>
    </row>
    <row r="2968" spans="1:18" ht="30" customHeight="1" x14ac:dyDescent="0.45">
      <c r="A2968" s="47"/>
      <c r="B2968" s="224"/>
      <c r="C2968" s="224"/>
      <c r="D2968" s="224"/>
      <c r="E2968" s="221"/>
      <c r="F2968" s="1011" t="s">
        <v>285</v>
      </c>
      <c r="G2968" s="1013" t="s">
        <v>286</v>
      </c>
      <c r="H2968" s="1013"/>
      <c r="I2968" s="1013"/>
      <c r="J2968" s="1013"/>
      <c r="K2968" s="278">
        <v>1.07</v>
      </c>
      <c r="L2968" s="47"/>
      <c r="M2968" s="25"/>
      <c r="N2968" s="26"/>
      <c r="O2968" s="2"/>
      <c r="P2968" s="27"/>
      <c r="Q2968" s="26"/>
      <c r="R2968" s="28"/>
    </row>
    <row r="2969" spans="1:18" ht="30" customHeight="1" x14ac:dyDescent="0.45">
      <c r="A2969" s="47"/>
      <c r="B2969" s="224"/>
      <c r="C2969" s="224"/>
      <c r="D2969" s="224"/>
      <c r="E2969" s="221"/>
      <c r="F2969" s="1012"/>
      <c r="G2969" s="1014" t="s">
        <v>580</v>
      </c>
      <c r="H2969" s="1014"/>
      <c r="I2969" s="1014"/>
      <c r="J2969" s="1014"/>
      <c r="K2969" s="278">
        <v>1.08</v>
      </c>
      <c r="L2969" s="47"/>
      <c r="N2969" s="26"/>
      <c r="O2969" s="2"/>
      <c r="P2969" s="27"/>
      <c r="Q2969" s="26"/>
      <c r="R2969" s="28"/>
    </row>
    <row r="2970" spans="1:18" ht="30" customHeight="1" x14ac:dyDescent="0.45">
      <c r="A2970" s="47"/>
      <c r="B2970" s="47"/>
      <c r="C2970" s="58"/>
      <c r="D2970" s="58"/>
      <c r="E2970" s="58"/>
      <c r="F2970" s="58"/>
      <c r="G2970" s="58"/>
      <c r="H2970" s="58"/>
      <c r="I2970" s="58"/>
      <c r="J2970" s="58" t="s">
        <v>39</v>
      </c>
      <c r="K2970" s="216">
        <f>+K2967*K2968/K2969</f>
        <v>159.67223611111112</v>
      </c>
      <c r="L2970" s="47" t="s">
        <v>35</v>
      </c>
      <c r="M2970" s="25"/>
      <c r="N2970" s="26"/>
      <c r="O2970" s="2"/>
      <c r="P2970" s="27"/>
      <c r="Q2970" s="26"/>
      <c r="R2970" s="28"/>
    </row>
    <row r="2971" spans="1:18" ht="30" customHeight="1" x14ac:dyDescent="0.45">
      <c r="A2971" s="47"/>
      <c r="B2971" s="47"/>
      <c r="C2971" s="58"/>
      <c r="D2971" s="58"/>
      <c r="E2971" s="58"/>
      <c r="F2971" s="58"/>
      <c r="G2971" s="1021" t="s">
        <v>288</v>
      </c>
      <c r="H2971" s="1022"/>
      <c r="I2971" s="1023"/>
      <c r="J2971" s="213">
        <f>VLOOKUP(B2963,'[1]Mil Cost Premiums for PUCs'!$A$4:$R$278,18,FALSE)</f>
        <v>1.3319480854780448</v>
      </c>
      <c r="K2971" s="216">
        <f>+K2970*J2971</f>
        <v>212.67512919219277</v>
      </c>
      <c r="L2971" s="47" t="s">
        <v>35</v>
      </c>
      <c r="M2971" s="25"/>
      <c r="N2971" s="26"/>
      <c r="O2971" s="2"/>
      <c r="P2971" s="27"/>
      <c r="Q2971" s="26"/>
      <c r="R2971" s="28"/>
    </row>
    <row r="2972" spans="1:18" ht="30" customHeight="1" x14ac:dyDescent="0.45">
      <c r="A2972" s="541"/>
      <c r="B2972" s="541"/>
      <c r="C2972" s="542"/>
      <c r="D2972" s="542"/>
      <c r="E2972" s="552"/>
      <c r="F2972" s="1024" t="s">
        <v>581</v>
      </c>
      <c r="G2972" s="1024"/>
      <c r="H2972" s="1024"/>
      <c r="I2972" s="1024"/>
      <c r="J2972" s="543">
        <v>1.0833999999999999</v>
      </c>
      <c r="K2972" s="363">
        <f>K2971*J2972</f>
        <v>230.41223496682164</v>
      </c>
      <c r="L2972" s="225" t="s">
        <v>35</v>
      </c>
      <c r="M2972" s="25"/>
      <c r="N2972" s="26"/>
      <c r="O2972" s="2"/>
      <c r="P2972" s="27"/>
      <c r="Q2972" s="26"/>
      <c r="R2972" s="28"/>
    </row>
    <row r="2973" spans="1:18" ht="30" customHeight="1" thickBot="1" x14ac:dyDescent="0.5">
      <c r="A2973" s="225"/>
      <c r="B2973" s="225"/>
      <c r="C2973" s="150"/>
      <c r="D2973" s="150"/>
      <c r="E2973" s="150"/>
      <c r="F2973" s="150"/>
      <c r="G2973" s="1025" t="s">
        <v>299</v>
      </c>
      <c r="H2973" s="1026"/>
      <c r="I2973" s="1027"/>
      <c r="J2973" s="226">
        <v>1.1214</v>
      </c>
      <c r="K2973" s="227">
        <f>+K2972*J2973</f>
        <v>258.3842802917938</v>
      </c>
      <c r="L2973" s="225" t="s">
        <v>35</v>
      </c>
      <c r="M2973" s="25"/>
    </row>
    <row r="2974" spans="1:18" ht="30" customHeight="1" thickBot="1" x14ac:dyDescent="0.5">
      <c r="A2974" s="1077"/>
      <c r="B2974" s="1078"/>
      <c r="C2974" s="1078"/>
      <c r="D2974" s="1078"/>
      <c r="E2974" s="1078"/>
      <c r="F2974" s="1078"/>
      <c r="G2974" s="1078"/>
      <c r="H2974" s="1078"/>
      <c r="I2974" s="1078"/>
      <c r="J2974" s="1078"/>
      <c r="K2974" s="1078"/>
      <c r="L2974" s="1079"/>
      <c r="M2974" s="25"/>
      <c r="N2974" s="26"/>
      <c r="O2974" s="2"/>
      <c r="P2974" s="27"/>
      <c r="Q2974" s="26"/>
      <c r="R2974" s="28"/>
    </row>
    <row r="2975" spans="1:18" ht="30" customHeight="1" x14ac:dyDescent="0.45">
      <c r="A2975" s="93" t="s">
        <v>4</v>
      </c>
      <c r="B2975" s="76">
        <v>7321</v>
      </c>
      <c r="C2975" s="1073" t="s">
        <v>1663</v>
      </c>
      <c r="D2975" s="1074"/>
      <c r="E2975" s="94" t="s">
        <v>7</v>
      </c>
      <c r="F2975" s="95" t="s">
        <v>35</v>
      </c>
      <c r="G2975" s="102" t="s">
        <v>6</v>
      </c>
      <c r="H2975" s="96">
        <v>35640</v>
      </c>
      <c r="I2975" s="94" t="s">
        <v>9</v>
      </c>
      <c r="J2975" s="1088" t="s">
        <v>575</v>
      </c>
      <c r="K2975" s="1088"/>
      <c r="L2975" s="1089"/>
      <c r="M2975" s="25"/>
      <c r="N2975" s="26"/>
      <c r="O2975" s="2"/>
      <c r="P2975" s="27"/>
      <c r="Q2975" s="26"/>
      <c r="R2975" s="28"/>
    </row>
    <row r="2976" spans="1:18" ht="30" customHeight="1" x14ac:dyDescent="0.45">
      <c r="A2976" s="85" t="s">
        <v>277</v>
      </c>
      <c r="B2976" s="987" t="s">
        <v>293</v>
      </c>
      <c r="C2976" s="988"/>
      <c r="D2976" s="989"/>
      <c r="E2976" s="220" t="s">
        <v>13</v>
      </c>
      <c r="F2976" s="220" t="s">
        <v>14</v>
      </c>
      <c r="G2976" s="990" t="s">
        <v>15</v>
      </c>
      <c r="H2976" s="991"/>
      <c r="I2976" s="19" t="s">
        <v>278</v>
      </c>
      <c r="J2976" s="19" t="s">
        <v>16</v>
      </c>
      <c r="K2976" s="992" t="s">
        <v>17</v>
      </c>
      <c r="L2976" s="993"/>
      <c r="M2976" s="25"/>
      <c r="N2976" s="26"/>
      <c r="O2976" s="2"/>
      <c r="P2976" s="27"/>
      <c r="Q2976" s="26"/>
      <c r="R2976" s="28"/>
    </row>
    <row r="2977" spans="1:18" ht="30" customHeight="1" x14ac:dyDescent="0.45">
      <c r="A2977" s="426" t="s">
        <v>1664</v>
      </c>
      <c r="B2977" s="1018" t="s">
        <v>1665</v>
      </c>
      <c r="C2977" s="1019"/>
      <c r="D2977" s="1020"/>
      <c r="E2977" s="221">
        <f>(64.5+103)/2</f>
        <v>83.75</v>
      </c>
      <c r="F2977" s="56" t="s">
        <v>35</v>
      </c>
      <c r="G2977" s="348"/>
      <c r="H2977" s="349"/>
      <c r="I2977" s="47">
        <v>1.03</v>
      </c>
      <c r="J2977" s="681">
        <f>+'[1]2023 MILCON Inflation Table'!$F$14</f>
        <v>1.3545159367405897</v>
      </c>
      <c r="K2977" s="221">
        <f>+E2977*I2977*J2977</f>
        <v>116.84393099308512</v>
      </c>
      <c r="L2977" s="47" t="s">
        <v>35</v>
      </c>
      <c r="M2977" s="25"/>
      <c r="N2977" s="26"/>
      <c r="O2977" s="2"/>
      <c r="P2977" s="27"/>
      <c r="Q2977" s="26"/>
      <c r="R2977" s="28"/>
    </row>
    <row r="2978" spans="1:18" ht="30" customHeight="1" x14ac:dyDescent="0.45">
      <c r="A2978" s="676" t="s">
        <v>358</v>
      </c>
      <c r="B2978" s="1018" t="s">
        <v>1666</v>
      </c>
      <c r="C2978" s="1019"/>
      <c r="D2978" s="1019"/>
      <c r="E2978" s="221">
        <v>2.66</v>
      </c>
      <c r="F2978" s="56" t="s">
        <v>35</v>
      </c>
      <c r="G2978" s="348"/>
      <c r="H2978" s="349"/>
      <c r="I2978" s="47">
        <v>1.03</v>
      </c>
      <c r="J2978" s="47"/>
      <c r="K2978" s="221">
        <f>+E2978*I2978</f>
        <v>2.7398000000000002</v>
      </c>
      <c r="L2978" s="47" t="s">
        <v>35</v>
      </c>
      <c r="M2978" s="84"/>
      <c r="N2978" s="26"/>
      <c r="O2978" s="2"/>
      <c r="P2978" s="27"/>
      <c r="Q2978" s="26"/>
      <c r="R2978" s="28"/>
    </row>
    <row r="2979" spans="1:18" ht="30" customHeight="1" x14ac:dyDescent="0.45">
      <c r="A2979" s="642"/>
      <c r="B2979" s="1030"/>
      <c r="C2979" s="1030"/>
      <c r="D2979" s="1030"/>
      <c r="E2979" s="221"/>
      <c r="F2979" s="47"/>
      <c r="G2979" s="47"/>
      <c r="H2979" s="47"/>
      <c r="I2979" s="47"/>
      <c r="J2979" s="47" t="s">
        <v>38</v>
      </c>
      <c r="K2979" s="221">
        <f>SUM(K2977:K2978)</f>
        <v>119.58373099308513</v>
      </c>
      <c r="L2979" s="47" t="s">
        <v>35</v>
      </c>
      <c r="M2979" s="25"/>
      <c r="N2979" s="26"/>
      <c r="O2979" s="2"/>
      <c r="P2979" s="27"/>
      <c r="Q2979" s="26"/>
      <c r="R2979" s="28"/>
    </row>
    <row r="2980" spans="1:18" ht="30" customHeight="1" x14ac:dyDescent="0.45">
      <c r="A2980" s="47"/>
      <c r="B2980" s="224"/>
      <c r="C2980" s="224"/>
      <c r="D2980" s="224"/>
      <c r="E2980" s="221"/>
      <c r="F2980" s="1011" t="s">
        <v>285</v>
      </c>
      <c r="G2980" s="1013" t="s">
        <v>286</v>
      </c>
      <c r="H2980" s="1013"/>
      <c r="I2980" s="1013"/>
      <c r="J2980" s="1013"/>
      <c r="K2980" s="278">
        <v>1.07</v>
      </c>
      <c r="L2980" s="47"/>
      <c r="M2980" s="25"/>
      <c r="N2980" s="26"/>
      <c r="O2980" s="2"/>
      <c r="P2980" s="27"/>
      <c r="Q2980" s="26"/>
      <c r="R2980" s="28"/>
    </row>
    <row r="2981" spans="1:18" ht="30" customHeight="1" x14ac:dyDescent="0.45">
      <c r="A2981" s="47"/>
      <c r="B2981" s="224"/>
      <c r="C2981" s="224"/>
      <c r="D2981" s="224"/>
      <c r="E2981" s="221"/>
      <c r="F2981" s="1012"/>
      <c r="G2981" s="1014" t="s">
        <v>580</v>
      </c>
      <c r="H2981" s="1014"/>
      <c r="I2981" s="1014"/>
      <c r="J2981" s="1014"/>
      <c r="K2981" s="278">
        <v>1.08</v>
      </c>
      <c r="L2981" s="47"/>
      <c r="M2981" s="25"/>
      <c r="N2981" s="26"/>
      <c r="O2981" s="2"/>
      <c r="P2981" s="27"/>
      <c r="Q2981" s="26"/>
      <c r="R2981" s="28"/>
    </row>
    <row r="2982" spans="1:18" ht="30" customHeight="1" x14ac:dyDescent="0.45">
      <c r="A2982" s="47"/>
      <c r="B2982" s="47"/>
      <c r="C2982" s="58"/>
      <c r="D2982" s="58"/>
      <c r="E2982" s="58"/>
      <c r="F2982" s="58"/>
      <c r="G2982" s="58"/>
      <c r="H2982" s="58"/>
      <c r="I2982" s="58"/>
      <c r="J2982" s="47" t="s">
        <v>39</v>
      </c>
      <c r="K2982" s="216">
        <f>+K2979*K2980/K2981</f>
        <v>118.47647422463064</v>
      </c>
      <c r="L2982" s="47" t="s">
        <v>35</v>
      </c>
      <c r="N2982" s="26"/>
      <c r="O2982" s="2"/>
      <c r="P2982" s="27"/>
      <c r="Q2982" s="26"/>
      <c r="R2982" s="28"/>
    </row>
    <row r="2983" spans="1:18" ht="30" customHeight="1" x14ac:dyDescent="0.45">
      <c r="A2983" s="47"/>
      <c r="B2983" s="47"/>
      <c r="C2983" s="58"/>
      <c r="D2983" s="58"/>
      <c r="E2983" s="58"/>
      <c r="F2983" s="58"/>
      <c r="G2983" s="1021" t="s">
        <v>288</v>
      </c>
      <c r="H2983" s="1022"/>
      <c r="I2983" s="1023"/>
      <c r="J2983" s="213">
        <f>VLOOKUP(B2975,'[1]Mil Cost Premiums for PUCs'!$A$4:$R$278,18,FALSE)</f>
        <v>1.1838860786480316</v>
      </c>
      <c r="K2983" s="216">
        <f>+K2982*J2983</f>
        <v>140.26264848184255</v>
      </c>
      <c r="L2983" s="47" t="s">
        <v>35</v>
      </c>
      <c r="M2983" s="25"/>
      <c r="N2983" s="26"/>
      <c r="O2983" s="2"/>
      <c r="P2983" s="27"/>
      <c r="Q2983" s="26"/>
      <c r="R2983" s="28"/>
    </row>
    <row r="2984" spans="1:18" ht="30" customHeight="1" x14ac:dyDescent="0.45">
      <c r="A2984" s="541"/>
      <c r="B2984" s="541"/>
      <c r="C2984" s="542"/>
      <c r="D2984" s="542"/>
      <c r="E2984" s="552"/>
      <c r="F2984" s="1024" t="s">
        <v>581</v>
      </c>
      <c r="G2984" s="1024"/>
      <c r="H2984" s="1024"/>
      <c r="I2984" s="1024"/>
      <c r="J2984" s="543">
        <v>1.0833999999999999</v>
      </c>
      <c r="K2984" s="363">
        <f>K2983*J2984</f>
        <v>151.96055336522821</v>
      </c>
      <c r="L2984" s="225" t="s">
        <v>35</v>
      </c>
      <c r="M2984" s="25"/>
      <c r="N2984" s="26"/>
      <c r="O2984" s="2"/>
      <c r="P2984" s="27"/>
      <c r="Q2984" s="26"/>
      <c r="R2984" s="28"/>
    </row>
    <row r="2985" spans="1:18" ht="30" customHeight="1" thickBot="1" x14ac:dyDescent="0.5">
      <c r="A2985" s="225"/>
      <c r="B2985" s="225"/>
      <c r="C2985" s="150"/>
      <c r="D2985" s="150"/>
      <c r="E2985" s="150"/>
      <c r="F2985" s="150"/>
      <c r="G2985" s="1025" t="s">
        <v>299</v>
      </c>
      <c r="H2985" s="1026"/>
      <c r="I2985" s="1027"/>
      <c r="J2985" s="226">
        <v>1.1214</v>
      </c>
      <c r="K2985" s="227">
        <f>+K2984*J2985</f>
        <v>170.40856454376691</v>
      </c>
      <c r="L2985" s="225" t="s">
        <v>35</v>
      </c>
      <c r="M2985" s="25"/>
    </row>
    <row r="2986" spans="1:18" ht="30" customHeight="1" thickBot="1" x14ac:dyDescent="0.5">
      <c r="A2986" s="1077"/>
      <c r="B2986" s="1078"/>
      <c r="C2986" s="1078"/>
      <c r="D2986" s="1078"/>
      <c r="E2986" s="1078"/>
      <c r="F2986" s="1078"/>
      <c r="G2986" s="1078"/>
      <c r="H2986" s="1078"/>
      <c r="I2986" s="1078"/>
      <c r="J2986" s="1078"/>
      <c r="K2986" s="1078"/>
      <c r="L2986" s="1079"/>
      <c r="M2986" s="25"/>
      <c r="N2986" s="26"/>
      <c r="O2986" s="2"/>
      <c r="P2986" s="27"/>
      <c r="Q2986" s="26"/>
      <c r="R2986" s="28"/>
    </row>
    <row r="2987" spans="1:18" ht="30" customHeight="1" x14ac:dyDescent="0.45">
      <c r="A2987" s="93" t="s">
        <v>4</v>
      </c>
      <c r="B2987" s="76">
        <v>7322</v>
      </c>
      <c r="C2987" s="1073" t="s">
        <v>1667</v>
      </c>
      <c r="D2987" s="1074"/>
      <c r="E2987" s="94" t="s">
        <v>7</v>
      </c>
      <c r="F2987" s="95" t="s">
        <v>35</v>
      </c>
      <c r="G2987" s="102" t="s">
        <v>6</v>
      </c>
      <c r="H2987" s="96">
        <v>1836</v>
      </c>
      <c r="I2987" s="94" t="s">
        <v>9</v>
      </c>
      <c r="J2987" s="1088" t="s">
        <v>575</v>
      </c>
      <c r="K2987" s="1088"/>
      <c r="L2987" s="1089"/>
      <c r="M2987" s="25"/>
      <c r="N2987" s="26"/>
      <c r="O2987" s="2"/>
      <c r="P2987" s="27"/>
      <c r="Q2987" s="26"/>
      <c r="R2987" s="28"/>
    </row>
    <row r="2988" spans="1:18" ht="30" customHeight="1" x14ac:dyDescent="0.45">
      <c r="A2988" s="85" t="s">
        <v>277</v>
      </c>
      <c r="B2988" s="987" t="s">
        <v>293</v>
      </c>
      <c r="C2988" s="988"/>
      <c r="D2988" s="989"/>
      <c r="E2988" s="220" t="s">
        <v>13</v>
      </c>
      <c r="F2988" s="220" t="s">
        <v>14</v>
      </c>
      <c r="G2988" s="990" t="s">
        <v>15</v>
      </c>
      <c r="H2988" s="991"/>
      <c r="I2988" s="19" t="s">
        <v>278</v>
      </c>
      <c r="J2988" s="19"/>
      <c r="K2988" s="992" t="s">
        <v>17</v>
      </c>
      <c r="L2988" s="993"/>
      <c r="M2988" s="25"/>
      <c r="N2988" s="26"/>
      <c r="O2988" s="2"/>
      <c r="P2988" s="27"/>
      <c r="Q2988" s="26"/>
      <c r="R2988" s="28"/>
    </row>
    <row r="2989" spans="1:18" ht="30" customHeight="1" x14ac:dyDescent="0.45">
      <c r="A2989" s="426" t="s">
        <v>1668</v>
      </c>
      <c r="B2989" s="1008" t="s">
        <v>1669</v>
      </c>
      <c r="C2989" s="1009"/>
      <c r="D2989" s="1010"/>
      <c r="E2989" s="221">
        <v>90.5</v>
      </c>
      <c r="F2989" s="56" t="s">
        <v>35</v>
      </c>
      <c r="G2989" s="348"/>
      <c r="H2989" s="349"/>
      <c r="I2989" s="47">
        <v>1.03</v>
      </c>
      <c r="J2989" s="47"/>
      <c r="K2989" s="221">
        <f>+E2989*I2989</f>
        <v>93.215000000000003</v>
      </c>
      <c r="L2989" s="47" t="s">
        <v>35</v>
      </c>
      <c r="M2989" s="25"/>
      <c r="N2989" s="26"/>
      <c r="O2989" s="2"/>
      <c r="P2989" s="27"/>
      <c r="Q2989" s="26"/>
      <c r="R2989" s="28"/>
    </row>
    <row r="2990" spans="1:18" ht="30" customHeight="1" x14ac:dyDescent="0.45">
      <c r="A2990" s="426" t="s">
        <v>1431</v>
      </c>
      <c r="B2990" s="1008" t="s">
        <v>1670</v>
      </c>
      <c r="C2990" s="1009"/>
      <c r="D2990" s="1010"/>
      <c r="E2990" s="221">
        <v>14.35</v>
      </c>
      <c r="F2990" s="56" t="s">
        <v>35</v>
      </c>
      <c r="G2990" s="348"/>
      <c r="H2990" s="349"/>
      <c r="I2990" s="47">
        <v>1.03</v>
      </c>
      <c r="J2990" s="47"/>
      <c r="K2990" s="221">
        <f>+E2990*I2990</f>
        <v>14.7805</v>
      </c>
      <c r="L2990" s="47" t="s">
        <v>35</v>
      </c>
      <c r="M2990" s="25"/>
      <c r="N2990" s="26"/>
      <c r="O2990" s="2"/>
      <c r="P2990" s="27"/>
      <c r="Q2990" s="26"/>
      <c r="R2990" s="28"/>
    </row>
    <row r="2991" spans="1:18" ht="30" customHeight="1" x14ac:dyDescent="0.45">
      <c r="A2991" s="676" t="s">
        <v>358</v>
      </c>
      <c r="B2991" s="1008" t="s">
        <v>1671</v>
      </c>
      <c r="C2991" s="1009"/>
      <c r="D2991" s="1009"/>
      <c r="E2991" s="221">
        <v>4.1500000000000004</v>
      </c>
      <c r="F2991" s="56" t="s">
        <v>35</v>
      </c>
      <c r="G2991" s="348"/>
      <c r="H2991" s="349"/>
      <c r="I2991" s="47">
        <v>1.03</v>
      </c>
      <c r="J2991" s="47"/>
      <c r="K2991" s="221">
        <f>+E2991*I2991</f>
        <v>4.2745000000000006</v>
      </c>
      <c r="L2991" s="47" t="s">
        <v>35</v>
      </c>
      <c r="M2991" s="25"/>
      <c r="N2991" s="26"/>
      <c r="O2991" s="2"/>
      <c r="P2991" s="27"/>
      <c r="Q2991" s="26"/>
      <c r="R2991" s="28"/>
    </row>
    <row r="2992" spans="1:18" ht="30" customHeight="1" x14ac:dyDescent="0.45">
      <c r="A2992" s="642"/>
      <c r="B2992" s="1030"/>
      <c r="C2992" s="1030"/>
      <c r="D2992" s="1030"/>
      <c r="E2992" s="221"/>
      <c r="F2992" s="47"/>
      <c r="G2992" s="47"/>
      <c r="H2992" s="47"/>
      <c r="I2992" s="47"/>
      <c r="J2992" s="47" t="s">
        <v>38</v>
      </c>
      <c r="K2992" s="221">
        <f>SUM(K2989:K2991)</f>
        <v>112.27000000000001</v>
      </c>
      <c r="L2992" s="47" t="s">
        <v>35</v>
      </c>
      <c r="M2992" s="25"/>
      <c r="N2992" s="26"/>
      <c r="O2992" s="2"/>
      <c r="P2992" s="27"/>
      <c r="Q2992" s="26"/>
      <c r="R2992" s="28"/>
    </row>
    <row r="2993" spans="1:18" ht="30" customHeight="1" x14ac:dyDescent="0.45">
      <c r="A2993" s="47"/>
      <c r="B2993" s="224"/>
      <c r="C2993" s="224"/>
      <c r="D2993" s="224"/>
      <c r="E2993" s="221"/>
      <c r="F2993" s="1011" t="s">
        <v>285</v>
      </c>
      <c r="G2993" s="1013" t="s">
        <v>286</v>
      </c>
      <c r="H2993" s="1013"/>
      <c r="I2993" s="1013"/>
      <c r="J2993" s="1013"/>
      <c r="K2993" s="278">
        <v>1.07</v>
      </c>
      <c r="L2993" s="47"/>
      <c r="M2993" s="25"/>
      <c r="N2993" s="26"/>
      <c r="O2993" s="2"/>
      <c r="P2993" s="27"/>
      <c r="Q2993" s="26"/>
      <c r="R2993" s="28"/>
    </row>
    <row r="2994" spans="1:18" ht="30" customHeight="1" x14ac:dyDescent="0.45">
      <c r="A2994" s="47"/>
      <c r="B2994" s="224"/>
      <c r="C2994" s="224"/>
      <c r="D2994" s="224"/>
      <c r="E2994" s="221"/>
      <c r="F2994" s="1012"/>
      <c r="G2994" s="1014" t="s">
        <v>580</v>
      </c>
      <c r="H2994" s="1014"/>
      <c r="I2994" s="1014"/>
      <c r="J2994" s="1014"/>
      <c r="K2994" s="278">
        <v>1.08</v>
      </c>
      <c r="L2994" s="47"/>
      <c r="N2994" s="26"/>
      <c r="O2994" s="2"/>
      <c r="P2994" s="27"/>
      <c r="Q2994" s="26"/>
      <c r="R2994" s="28"/>
    </row>
    <row r="2995" spans="1:18" ht="30" customHeight="1" x14ac:dyDescent="0.45">
      <c r="A2995" s="47"/>
      <c r="B2995" s="47"/>
      <c r="C2995" s="58"/>
      <c r="D2995" s="58"/>
      <c r="E2995" s="58"/>
      <c r="F2995" s="58"/>
      <c r="G2995" s="58"/>
      <c r="H2995" s="58"/>
      <c r="I2995" s="58"/>
      <c r="J2995" s="47" t="s">
        <v>39</v>
      </c>
      <c r="K2995" s="216">
        <f>+K2992*K2993/K2994</f>
        <v>111.23046296296297</v>
      </c>
      <c r="L2995" s="47" t="s">
        <v>35</v>
      </c>
      <c r="M2995" s="25"/>
      <c r="N2995" s="26"/>
      <c r="O2995" s="2"/>
      <c r="P2995" s="27"/>
      <c r="Q2995" s="26"/>
      <c r="R2995" s="28"/>
    </row>
    <row r="2996" spans="1:18" ht="30" customHeight="1" x14ac:dyDescent="0.45">
      <c r="A2996" s="47"/>
      <c r="B2996" s="47"/>
      <c r="C2996" s="58"/>
      <c r="D2996" s="58"/>
      <c r="E2996" s="58"/>
      <c r="F2996" s="58"/>
      <c r="G2996" s="1021" t="s">
        <v>288</v>
      </c>
      <c r="H2996" s="1022"/>
      <c r="I2996" s="1023"/>
      <c r="J2996" s="213">
        <f>VLOOKUP(B2987,'[1]Mil Cost Premiums for PUCs'!$A$4:$R$278,18,FALSE)</f>
        <v>1.1838860786480316</v>
      </c>
      <c r="K2996" s="216">
        <f>+K2995*J2996</f>
        <v>131.68419662342734</v>
      </c>
      <c r="L2996" s="47" t="s">
        <v>35</v>
      </c>
      <c r="M2996" s="25"/>
      <c r="N2996" s="26"/>
      <c r="O2996" s="2"/>
      <c r="P2996" s="27"/>
      <c r="Q2996" s="26"/>
      <c r="R2996" s="28"/>
    </row>
    <row r="2997" spans="1:18" ht="30" customHeight="1" x14ac:dyDescent="0.45">
      <c r="A2997" s="541"/>
      <c r="B2997" s="541"/>
      <c r="C2997" s="542"/>
      <c r="D2997" s="542"/>
      <c r="E2997" s="552"/>
      <c r="F2997" s="1024" t="s">
        <v>581</v>
      </c>
      <c r="G2997" s="1024"/>
      <c r="H2997" s="1024"/>
      <c r="I2997" s="1024"/>
      <c r="J2997" s="543">
        <v>1.0833999999999999</v>
      </c>
      <c r="K2997" s="363">
        <f>K2996*J2997</f>
        <v>142.66665862182117</v>
      </c>
      <c r="L2997" s="225" t="s">
        <v>35</v>
      </c>
      <c r="M2997" s="25"/>
      <c r="N2997" s="26"/>
      <c r="O2997" s="2"/>
      <c r="P2997" s="27"/>
      <c r="Q2997" s="26"/>
      <c r="R2997" s="28"/>
    </row>
    <row r="2998" spans="1:18" ht="30" customHeight="1" thickBot="1" x14ac:dyDescent="0.5">
      <c r="A2998" s="225"/>
      <c r="B2998" s="225"/>
      <c r="C2998" s="150"/>
      <c r="D2998" s="150"/>
      <c r="E2998" s="150"/>
      <c r="F2998" s="150"/>
      <c r="G2998" s="1025" t="s">
        <v>299</v>
      </c>
      <c r="H2998" s="1026"/>
      <c r="I2998" s="1027"/>
      <c r="J2998" s="226">
        <v>1.1214</v>
      </c>
      <c r="K2998" s="227">
        <f>+K2997*J2998</f>
        <v>159.98639097851026</v>
      </c>
      <c r="L2998" s="225" t="s">
        <v>35</v>
      </c>
      <c r="M2998" s="25"/>
    </row>
    <row r="2999" spans="1:18" ht="30" customHeight="1" thickBot="1" x14ac:dyDescent="0.5">
      <c r="A2999" s="1077"/>
      <c r="B2999" s="1078"/>
      <c r="C2999" s="1078"/>
      <c r="D2999" s="1078"/>
      <c r="E2999" s="1078"/>
      <c r="F2999" s="1078"/>
      <c r="G2999" s="1078"/>
      <c r="H2999" s="1078"/>
      <c r="I2999" s="1078"/>
      <c r="J2999" s="1078"/>
      <c r="K2999" s="1078"/>
      <c r="L2999" s="1079"/>
      <c r="M2999" s="25"/>
      <c r="N2999" s="26"/>
      <c r="O2999" s="2"/>
      <c r="P2999" s="27"/>
      <c r="Q2999" s="26"/>
      <c r="R2999" s="28"/>
    </row>
    <row r="3000" spans="1:18" ht="30" customHeight="1" x14ac:dyDescent="0.45">
      <c r="A3000" s="9" t="s">
        <v>4</v>
      </c>
      <c r="B3000" s="10">
        <v>7323</v>
      </c>
      <c r="C3000" s="983" t="s">
        <v>1672</v>
      </c>
      <c r="D3000" s="984"/>
      <c r="E3000" s="13" t="s">
        <v>7</v>
      </c>
      <c r="F3000" s="14" t="s">
        <v>35</v>
      </c>
      <c r="G3000" s="11" t="s">
        <v>6</v>
      </c>
      <c r="H3000" s="163">
        <v>2026</v>
      </c>
      <c r="I3000" s="13" t="s">
        <v>9</v>
      </c>
      <c r="J3000" s="985" t="s">
        <v>575</v>
      </c>
      <c r="K3000" s="985"/>
      <c r="L3000" s="986"/>
      <c r="M3000" s="25"/>
      <c r="N3000" s="26"/>
      <c r="O3000" s="2"/>
      <c r="P3000" s="27"/>
      <c r="Q3000" s="26"/>
      <c r="R3000" s="28"/>
    </row>
    <row r="3001" spans="1:18" ht="30" customHeight="1" x14ac:dyDescent="0.45">
      <c r="A3001" s="85" t="s">
        <v>277</v>
      </c>
      <c r="B3001" s="987" t="s">
        <v>293</v>
      </c>
      <c r="C3001" s="988"/>
      <c r="D3001" s="989"/>
      <c r="E3001" s="220" t="s">
        <v>13</v>
      </c>
      <c r="F3001" s="220" t="s">
        <v>14</v>
      </c>
      <c r="G3001" s="990" t="s">
        <v>15</v>
      </c>
      <c r="H3001" s="991"/>
      <c r="I3001" s="19" t="s">
        <v>278</v>
      </c>
      <c r="J3001" s="19"/>
      <c r="K3001" s="23" t="s">
        <v>17</v>
      </c>
      <c r="L3001" s="24"/>
      <c r="M3001" s="25"/>
      <c r="N3001" s="26"/>
      <c r="O3001" s="2"/>
      <c r="P3001" s="27"/>
      <c r="Q3001" s="26"/>
      <c r="R3001" s="28"/>
    </row>
    <row r="3002" spans="1:18" ht="30" customHeight="1" x14ac:dyDescent="0.45">
      <c r="A3002" s="426" t="s">
        <v>1673</v>
      </c>
      <c r="B3002" s="1030" t="s">
        <v>1674</v>
      </c>
      <c r="C3002" s="1030"/>
      <c r="D3002" s="1030"/>
      <c r="E3002" s="221">
        <v>10.7</v>
      </c>
      <c r="F3002" s="47" t="s">
        <v>35</v>
      </c>
      <c r="G3002" s="47"/>
      <c r="H3002" s="47"/>
      <c r="I3002" s="47">
        <v>1.03</v>
      </c>
      <c r="J3002" s="47"/>
      <c r="K3002" s="221">
        <f>+E3002*I3002</f>
        <v>11.020999999999999</v>
      </c>
      <c r="L3002" s="47" t="s">
        <v>35</v>
      </c>
      <c r="M3002" s="25"/>
      <c r="N3002" s="26"/>
      <c r="O3002" s="2"/>
      <c r="P3002" s="27"/>
      <c r="Q3002" s="26"/>
      <c r="R3002" s="28"/>
    </row>
    <row r="3003" spans="1:18" ht="30" customHeight="1" x14ac:dyDescent="0.45">
      <c r="A3003" s="426" t="s">
        <v>1675</v>
      </c>
      <c r="B3003" s="1008" t="s">
        <v>1676</v>
      </c>
      <c r="C3003" s="1009"/>
      <c r="D3003" s="1010"/>
      <c r="E3003" s="221">
        <f>(449+2230)/2</f>
        <v>1339.5</v>
      </c>
      <c r="F3003" s="225" t="s">
        <v>88</v>
      </c>
      <c r="G3003" s="298">
        <f>(E3003)/H3000</f>
        <v>0.66115498519249749</v>
      </c>
      <c r="H3003" s="47" t="s">
        <v>35</v>
      </c>
      <c r="I3003" s="47">
        <v>1.03</v>
      </c>
      <c r="J3003" s="47"/>
      <c r="K3003" s="221">
        <f>G3003*I3003</f>
        <v>0.68098963474827245</v>
      </c>
      <c r="L3003" s="47" t="s">
        <v>35</v>
      </c>
      <c r="M3003" s="25"/>
      <c r="N3003" s="26"/>
      <c r="O3003" s="2"/>
      <c r="P3003" s="27"/>
      <c r="Q3003" s="26"/>
      <c r="R3003" s="28"/>
    </row>
    <row r="3004" spans="1:18" ht="30" customHeight="1" x14ac:dyDescent="0.45">
      <c r="A3004" s="426" t="s">
        <v>1675</v>
      </c>
      <c r="B3004" s="1018" t="s">
        <v>1677</v>
      </c>
      <c r="C3004" s="1019"/>
      <c r="D3004" s="1020"/>
      <c r="E3004" s="221">
        <f>(785+2010)/2</f>
        <v>1397.5</v>
      </c>
      <c r="F3004" s="225" t="s">
        <v>88</v>
      </c>
      <c r="G3004" s="298">
        <f>(E3004)/H3000</f>
        <v>0.68978282329713725</v>
      </c>
      <c r="H3004" s="356" t="s">
        <v>35</v>
      </c>
      <c r="I3004" s="47">
        <v>1.03</v>
      </c>
      <c r="J3004" s="223"/>
      <c r="K3004" s="221">
        <f>G3004*I3004</f>
        <v>0.71047630799605144</v>
      </c>
      <c r="L3004" s="47" t="s">
        <v>35</v>
      </c>
      <c r="M3004" s="25"/>
      <c r="N3004" s="26"/>
      <c r="O3004" s="2"/>
      <c r="P3004" s="27"/>
      <c r="Q3004" s="26"/>
      <c r="R3004" s="28"/>
    </row>
    <row r="3005" spans="1:18" ht="30" customHeight="1" x14ac:dyDescent="0.45">
      <c r="A3005" s="47"/>
      <c r="B3005" s="224"/>
      <c r="C3005" s="224"/>
      <c r="D3005" s="224"/>
      <c r="E3005" s="221"/>
      <c r="F3005" s="1011" t="s">
        <v>285</v>
      </c>
      <c r="G3005" s="1223" t="s">
        <v>286</v>
      </c>
      <c r="H3005" s="1224"/>
      <c r="I3005" s="1224"/>
      <c r="J3005" s="1225"/>
      <c r="K3005" s="278">
        <v>1.07</v>
      </c>
      <c r="L3005" s="47"/>
      <c r="M3005" s="25"/>
      <c r="N3005" s="26"/>
      <c r="O3005" s="2"/>
      <c r="P3005" s="27"/>
      <c r="Q3005" s="26"/>
      <c r="R3005" s="28"/>
    </row>
    <row r="3006" spans="1:18" ht="30" customHeight="1" x14ac:dyDescent="0.45">
      <c r="A3006" s="47"/>
      <c r="B3006" s="224"/>
      <c r="C3006" s="224"/>
      <c r="D3006" s="224"/>
      <c r="E3006" s="221"/>
      <c r="F3006" s="1012"/>
      <c r="G3006" s="1014" t="s">
        <v>580</v>
      </c>
      <c r="H3006" s="1014"/>
      <c r="I3006" s="1014"/>
      <c r="J3006" s="1014"/>
      <c r="K3006" s="278">
        <v>1.08</v>
      </c>
      <c r="L3006" s="47"/>
      <c r="M3006" s="25"/>
      <c r="N3006" s="26"/>
      <c r="O3006" s="2"/>
      <c r="P3006" s="27"/>
      <c r="Q3006" s="26"/>
      <c r="R3006" s="28"/>
    </row>
    <row r="3007" spans="1:18" ht="30" customHeight="1" x14ac:dyDescent="0.45">
      <c r="A3007" s="47"/>
      <c r="B3007" s="47"/>
      <c r="C3007" s="58"/>
      <c r="D3007" s="58"/>
      <c r="E3007" s="58"/>
      <c r="F3007" s="58"/>
      <c r="G3007" s="58"/>
      <c r="H3007" s="58"/>
      <c r="I3007" s="58"/>
      <c r="J3007" s="47" t="s">
        <v>39</v>
      </c>
      <c r="K3007" s="216">
        <f>+(K3002+K3003+K3004)*K3005/K3006</f>
        <v>12.297535702533727</v>
      </c>
      <c r="L3007" s="47" t="s">
        <v>35</v>
      </c>
      <c r="M3007" s="25"/>
      <c r="N3007" s="26"/>
      <c r="O3007" s="2"/>
      <c r="P3007" s="27"/>
      <c r="Q3007" s="26"/>
      <c r="R3007" s="28"/>
    </row>
    <row r="3008" spans="1:18" ht="30" customHeight="1" x14ac:dyDescent="0.45">
      <c r="A3008" s="47"/>
      <c r="B3008" s="47"/>
      <c r="C3008" s="58"/>
      <c r="D3008" s="58"/>
      <c r="E3008" s="58"/>
      <c r="F3008" s="58"/>
      <c r="G3008" s="1021" t="s">
        <v>288</v>
      </c>
      <c r="H3008" s="1022"/>
      <c r="I3008" s="1023"/>
      <c r="J3008" s="213">
        <f>VLOOKUP(B3000,'[1]Mil Cost Premiums for PUCs'!$A$4:$R$278,18,FALSE)</f>
        <v>1.0209999999999999</v>
      </c>
      <c r="K3008" s="216">
        <f>+K3007*J3008</f>
        <v>12.555783952286934</v>
      </c>
      <c r="L3008" s="47" t="s">
        <v>35</v>
      </c>
      <c r="N3008" s="26"/>
      <c r="O3008" s="2"/>
      <c r="P3008" s="27"/>
      <c r="Q3008" s="26"/>
      <c r="R3008" s="28"/>
    </row>
    <row r="3009" spans="1:18" ht="30" customHeight="1" x14ac:dyDescent="0.45">
      <c r="A3009" s="541"/>
      <c r="B3009" s="541"/>
      <c r="C3009" s="542"/>
      <c r="D3009" s="542"/>
      <c r="E3009" s="552"/>
      <c r="F3009" s="1024" t="s">
        <v>581</v>
      </c>
      <c r="G3009" s="1024"/>
      <c r="H3009" s="1024"/>
      <c r="I3009" s="1024"/>
      <c r="J3009" s="543">
        <v>1.0833999999999999</v>
      </c>
      <c r="K3009" s="363">
        <f>K3008*J3009</f>
        <v>13.602936333907662</v>
      </c>
      <c r="L3009" s="225" t="s">
        <v>35</v>
      </c>
      <c r="M3009" s="25"/>
      <c r="N3009" s="26"/>
      <c r="O3009" s="2"/>
      <c r="P3009" s="27"/>
      <c r="Q3009" s="26"/>
      <c r="R3009" s="28"/>
    </row>
    <row r="3010" spans="1:18" ht="30" customHeight="1" thickBot="1" x14ac:dyDescent="0.5">
      <c r="A3010" s="225"/>
      <c r="B3010" s="225"/>
      <c r="C3010" s="150"/>
      <c r="D3010" s="150"/>
      <c r="E3010" s="150"/>
      <c r="F3010" s="150"/>
      <c r="G3010" s="1025" t="s">
        <v>299</v>
      </c>
      <c r="H3010" s="1026"/>
      <c r="I3010" s="1027"/>
      <c r="J3010" s="226">
        <v>1.1214</v>
      </c>
      <c r="K3010" s="227">
        <f>+K3009*J3010</f>
        <v>15.254332804844053</v>
      </c>
      <c r="L3010" s="225" t="s">
        <v>35</v>
      </c>
      <c r="M3010" s="25"/>
    </row>
    <row r="3011" spans="1:18" ht="30" customHeight="1" thickBot="1" x14ac:dyDescent="0.5">
      <c r="A3011" s="1077"/>
      <c r="B3011" s="1078"/>
      <c r="C3011" s="1078"/>
      <c r="D3011" s="1078"/>
      <c r="E3011" s="1078"/>
      <c r="F3011" s="1078"/>
      <c r="G3011" s="1078"/>
      <c r="H3011" s="1078"/>
      <c r="I3011" s="1078"/>
      <c r="J3011" s="1078"/>
      <c r="K3011" s="1078"/>
      <c r="L3011" s="1079"/>
      <c r="M3011" s="25"/>
      <c r="N3011" s="26"/>
      <c r="O3011" s="2"/>
      <c r="P3011" s="27"/>
      <c r="Q3011" s="26"/>
      <c r="R3011" s="28"/>
    </row>
    <row r="3012" spans="1:18" ht="30" customHeight="1" x14ac:dyDescent="0.45">
      <c r="A3012" s="9" t="s">
        <v>4</v>
      </c>
      <c r="B3012" s="10">
        <v>7331</v>
      </c>
      <c r="C3012" s="1138" t="s">
        <v>1678</v>
      </c>
      <c r="D3012" s="1139"/>
      <c r="E3012" s="13" t="s">
        <v>7</v>
      </c>
      <c r="F3012" s="14" t="s">
        <v>35</v>
      </c>
      <c r="G3012" s="11" t="s">
        <v>6</v>
      </c>
      <c r="H3012" s="163">
        <v>6434.1336325678403</v>
      </c>
      <c r="I3012" s="13" t="s">
        <v>9</v>
      </c>
      <c r="J3012" s="1088" t="s">
        <v>276</v>
      </c>
      <c r="K3012" s="1088"/>
      <c r="L3012" s="1089"/>
      <c r="M3012" s="25"/>
      <c r="N3012" s="26"/>
      <c r="O3012" s="2"/>
      <c r="P3012" s="27"/>
      <c r="Q3012" s="26"/>
      <c r="R3012" s="28"/>
    </row>
    <row r="3013" spans="1:18" ht="30" customHeight="1" x14ac:dyDescent="0.45">
      <c r="A3013" s="19" t="s">
        <v>277</v>
      </c>
      <c r="B3013" s="1005" t="s">
        <v>12</v>
      </c>
      <c r="C3013" s="1005"/>
      <c r="D3013" s="1005"/>
      <c r="E3013" s="682" t="s">
        <v>13</v>
      </c>
      <c r="F3013" s="682" t="s">
        <v>14</v>
      </c>
      <c r="G3013" s="1068" t="s">
        <v>15</v>
      </c>
      <c r="H3013" s="1137"/>
      <c r="I3013" s="19" t="s">
        <v>1316</v>
      </c>
      <c r="J3013" s="19" t="s">
        <v>278</v>
      </c>
      <c r="K3013" s="992" t="s">
        <v>17</v>
      </c>
      <c r="L3013" s="993"/>
      <c r="M3013" s="25"/>
      <c r="N3013" s="26"/>
      <c r="O3013" s="2"/>
      <c r="P3013" s="27"/>
      <c r="Q3013" s="26"/>
      <c r="R3013" s="28"/>
    </row>
    <row r="3014" spans="1:18" ht="30" customHeight="1" x14ac:dyDescent="0.45">
      <c r="A3014" s="426" t="s">
        <v>1679</v>
      </c>
      <c r="B3014" s="1008" t="s">
        <v>1680</v>
      </c>
      <c r="C3014" s="1009"/>
      <c r="D3014" s="1010"/>
      <c r="E3014" s="221">
        <v>182</v>
      </c>
      <c r="F3014" s="56" t="s">
        <v>35</v>
      </c>
      <c r="G3014" s="348"/>
      <c r="H3014" s="349" t="s">
        <v>35</v>
      </c>
      <c r="I3014" s="58"/>
      <c r="J3014" s="365">
        <v>1.1000000000000001</v>
      </c>
      <c r="K3014" s="221">
        <f>+E3014*J3014</f>
        <v>200.20000000000002</v>
      </c>
      <c r="L3014" s="47" t="s">
        <v>35</v>
      </c>
      <c r="M3014" s="25"/>
      <c r="N3014" s="26"/>
      <c r="O3014" s="2"/>
      <c r="P3014" s="27"/>
      <c r="Q3014" s="26"/>
      <c r="R3014" s="28"/>
    </row>
    <row r="3015" spans="1:18" ht="30" customHeight="1" x14ac:dyDescent="0.45">
      <c r="A3015" s="426" t="s">
        <v>1466</v>
      </c>
      <c r="B3015" s="1008" t="s">
        <v>1659</v>
      </c>
      <c r="C3015" s="1009"/>
      <c r="D3015" s="1010"/>
      <c r="E3015" s="221">
        <v>5.24</v>
      </c>
      <c r="F3015" s="56" t="s">
        <v>35</v>
      </c>
      <c r="G3015" s="348"/>
      <c r="H3015" s="349" t="s">
        <v>35</v>
      </c>
      <c r="I3015" s="58"/>
      <c r="J3015" s="365">
        <v>1.1000000000000001</v>
      </c>
      <c r="K3015" s="221">
        <f>+E3015*J3015</f>
        <v>5.7640000000000011</v>
      </c>
      <c r="L3015" s="47" t="s">
        <v>35</v>
      </c>
      <c r="M3015" s="25"/>
      <c r="N3015" s="26"/>
      <c r="O3015" s="2"/>
      <c r="P3015" s="27"/>
      <c r="Q3015" s="26"/>
      <c r="R3015" s="28"/>
    </row>
    <row r="3016" spans="1:18" ht="30" customHeight="1" x14ac:dyDescent="0.45">
      <c r="A3016" s="426" t="s">
        <v>1681</v>
      </c>
      <c r="B3016" s="1018" t="s">
        <v>1682</v>
      </c>
      <c r="C3016" s="1019"/>
      <c r="D3016" s="1020"/>
      <c r="E3016" s="221">
        <v>1050</v>
      </c>
      <c r="F3016" s="56" t="s">
        <v>113</v>
      </c>
      <c r="G3016" s="683">
        <f>(10*E3016)/H3012</f>
        <v>1.631921343201802</v>
      </c>
      <c r="H3016" s="349" t="s">
        <v>1061</v>
      </c>
      <c r="I3016" s="58"/>
      <c r="J3016" s="47">
        <v>1.1200000000000001</v>
      </c>
      <c r="K3016" s="221">
        <f>+G3016*J3016</f>
        <v>1.8277519043860184</v>
      </c>
      <c r="L3016" s="47" t="s">
        <v>35</v>
      </c>
      <c r="M3016" s="25"/>
      <c r="N3016" s="26"/>
      <c r="O3016" s="2"/>
      <c r="P3016" s="27"/>
      <c r="Q3016" s="26"/>
      <c r="R3016" s="28"/>
    </row>
    <row r="3017" spans="1:18" ht="30" customHeight="1" x14ac:dyDescent="0.45">
      <c r="A3017" s="426" t="s">
        <v>1683</v>
      </c>
      <c r="B3017" s="1018" t="s">
        <v>1684</v>
      </c>
      <c r="C3017" s="1019"/>
      <c r="D3017" s="1020"/>
      <c r="E3017" s="221">
        <v>840</v>
      </c>
      <c r="F3017" s="56" t="s">
        <v>88</v>
      </c>
      <c r="G3017" s="684">
        <f>2*E3017/H3012</f>
        <v>0.26110741491228834</v>
      </c>
      <c r="H3017" s="349" t="s">
        <v>1061</v>
      </c>
      <c r="I3017" s="58"/>
      <c r="J3017" s="47">
        <v>1.31</v>
      </c>
      <c r="K3017" s="221">
        <f>+G3017*J3017</f>
        <v>0.34205071353509775</v>
      </c>
      <c r="L3017" s="47" t="s">
        <v>35</v>
      </c>
      <c r="M3017" s="25"/>
      <c r="N3017" s="26"/>
      <c r="O3017" s="2"/>
      <c r="P3017" s="27"/>
      <c r="Q3017" s="26"/>
      <c r="R3017" s="28"/>
    </row>
    <row r="3018" spans="1:18" ht="30" customHeight="1" x14ac:dyDescent="0.45">
      <c r="A3018" s="642"/>
      <c r="B3018" s="224"/>
      <c r="C3018" s="224"/>
      <c r="D3018" s="224"/>
      <c r="E3018" s="221"/>
      <c r="F3018" s="47"/>
      <c r="G3018" s="47"/>
      <c r="H3018" s="47"/>
      <c r="I3018" s="47"/>
      <c r="J3018" s="47" t="s">
        <v>38</v>
      </c>
      <c r="K3018" s="221">
        <f>SUM(K3014:K3017)</f>
        <v>208.13380261792113</v>
      </c>
      <c r="L3018" s="47" t="s">
        <v>35</v>
      </c>
      <c r="M3018" s="25"/>
      <c r="N3018" s="26"/>
      <c r="O3018" s="2"/>
      <c r="P3018" s="27"/>
      <c r="Q3018" s="26"/>
      <c r="R3018" s="28"/>
    </row>
    <row r="3019" spans="1:18" ht="30" customHeight="1" x14ac:dyDescent="0.45">
      <c r="A3019" s="47"/>
      <c r="B3019" s="224"/>
      <c r="C3019" s="224"/>
      <c r="D3019" s="224"/>
      <c r="E3019" s="221"/>
      <c r="F3019" s="1011" t="s">
        <v>285</v>
      </c>
      <c r="G3019" s="1013" t="s">
        <v>286</v>
      </c>
      <c r="H3019" s="1013"/>
      <c r="I3019" s="1013"/>
      <c r="J3019" s="1013"/>
      <c r="K3019" s="278">
        <v>1.06</v>
      </c>
      <c r="L3019" s="47"/>
      <c r="M3019" s="25"/>
      <c r="N3019" s="26"/>
      <c r="O3019" s="2"/>
      <c r="P3019" s="27"/>
      <c r="Q3019" s="26"/>
      <c r="R3019" s="28"/>
    </row>
    <row r="3020" spans="1:18" ht="30" customHeight="1" x14ac:dyDescent="0.45">
      <c r="A3020" s="47"/>
      <c r="B3020" s="224"/>
      <c r="C3020" s="224"/>
      <c r="D3020" s="224"/>
      <c r="E3020" s="221"/>
      <c r="F3020" s="1012"/>
      <c r="G3020" s="1014" t="s">
        <v>287</v>
      </c>
      <c r="H3020" s="1014"/>
      <c r="I3020" s="1014"/>
      <c r="J3020" s="1014"/>
      <c r="K3020" s="278">
        <v>1.05</v>
      </c>
      <c r="L3020" s="47"/>
      <c r="M3020" s="25"/>
      <c r="N3020" s="26"/>
      <c r="O3020" s="2"/>
      <c r="P3020" s="27"/>
      <c r="Q3020" s="26"/>
      <c r="R3020" s="28"/>
    </row>
    <row r="3021" spans="1:18" ht="30" customHeight="1" x14ac:dyDescent="0.45">
      <c r="A3021" s="561"/>
      <c r="B3021" s="562"/>
      <c r="C3021" s="562"/>
      <c r="D3021" s="562"/>
      <c r="E3021" s="562"/>
      <c r="F3021" s="562"/>
      <c r="G3021" s="562"/>
      <c r="H3021" s="563"/>
      <c r="I3021" s="58"/>
      <c r="J3021" s="47" t="s">
        <v>39</v>
      </c>
      <c r="K3021" s="216">
        <f>+K3018*K3019/K3020</f>
        <v>210.1160293095204</v>
      </c>
      <c r="L3021" s="47" t="s">
        <v>35</v>
      </c>
      <c r="M3021" s="25"/>
      <c r="N3021" s="26"/>
      <c r="O3021" s="2"/>
      <c r="P3021" s="27"/>
      <c r="Q3021" s="26"/>
      <c r="R3021" s="28"/>
    </row>
    <row r="3022" spans="1:18" ht="30" customHeight="1" thickBot="1" x14ac:dyDescent="0.5">
      <c r="A3022" s="576"/>
      <c r="B3022" s="576"/>
      <c r="C3022" s="576"/>
      <c r="D3022" s="576"/>
      <c r="E3022" s="576"/>
      <c r="F3022" s="576"/>
      <c r="G3022" s="1226" t="s">
        <v>288</v>
      </c>
      <c r="H3022" s="1227"/>
      <c r="I3022" s="1228"/>
      <c r="J3022" s="213">
        <f>VLOOKUP(B3012,'[1]Mil Cost Premiums for PUCs'!$A$4:$R$278,18,FALSE)</f>
        <v>1.290538574246207</v>
      </c>
      <c r="K3022" s="216">
        <f>+K3021*J3022</f>
        <v>271.1628408913827</v>
      </c>
      <c r="L3022" s="47" t="s">
        <v>35</v>
      </c>
      <c r="M3022" s="25"/>
      <c r="N3022" s="26"/>
      <c r="O3022" s="2"/>
      <c r="P3022" s="27"/>
      <c r="Q3022" s="26"/>
      <c r="R3022" s="28"/>
    </row>
    <row r="3023" spans="1:18" ht="30" customHeight="1" thickBot="1" x14ac:dyDescent="0.5">
      <c r="A3023" s="1077"/>
      <c r="B3023" s="1078"/>
      <c r="C3023" s="1078"/>
      <c r="D3023" s="1078"/>
      <c r="E3023" s="1078"/>
      <c r="F3023" s="1078"/>
      <c r="G3023" s="1078"/>
      <c r="H3023" s="1078"/>
      <c r="I3023" s="1078"/>
      <c r="J3023" s="1078"/>
      <c r="K3023" s="1078"/>
      <c r="L3023" s="1079"/>
      <c r="M3023" s="25"/>
      <c r="N3023" s="26"/>
      <c r="O3023" s="2"/>
      <c r="P3023" s="27"/>
      <c r="Q3023" s="26"/>
      <c r="R3023" s="28"/>
    </row>
    <row r="3024" spans="1:18" ht="30" customHeight="1" x14ac:dyDescent="0.45">
      <c r="A3024" s="9" t="s">
        <v>4</v>
      </c>
      <c r="B3024" s="10">
        <v>7332</v>
      </c>
      <c r="C3024" s="1002" t="s">
        <v>1685</v>
      </c>
      <c r="D3024" s="1003"/>
      <c r="E3024" s="11" t="s">
        <v>7</v>
      </c>
      <c r="F3024" s="12" t="s">
        <v>35</v>
      </c>
      <c r="G3024" s="13" t="s">
        <v>6</v>
      </c>
      <c r="H3024" s="14">
        <v>3077</v>
      </c>
      <c r="I3024" s="13" t="s">
        <v>9</v>
      </c>
      <c r="J3024" s="1155" t="s">
        <v>1686</v>
      </c>
      <c r="K3024" s="1156"/>
      <c r="L3024" s="1127"/>
      <c r="M3024" s="111"/>
      <c r="N3024" s="26"/>
      <c r="O3024" s="2"/>
      <c r="P3024" s="27"/>
      <c r="Q3024" s="26"/>
      <c r="R3024" s="28"/>
    </row>
    <row r="3025" spans="1:18" ht="30" customHeight="1" x14ac:dyDescent="0.45">
      <c r="A3025" s="19"/>
      <c r="B3025" s="1005" t="s">
        <v>12</v>
      </c>
      <c r="C3025" s="1005"/>
      <c r="D3025" s="1005"/>
      <c r="E3025" s="19" t="s">
        <v>13</v>
      </c>
      <c r="F3025" s="19" t="s">
        <v>14</v>
      </c>
      <c r="G3025" s="990" t="s">
        <v>15</v>
      </c>
      <c r="H3025" s="991"/>
      <c r="I3025" s="19" t="s">
        <v>59</v>
      </c>
      <c r="J3025" s="19" t="s">
        <v>60</v>
      </c>
      <c r="K3025" s="992" t="s">
        <v>39</v>
      </c>
      <c r="L3025" s="993"/>
      <c r="M3025" s="90"/>
      <c r="N3025" s="685"/>
      <c r="O3025" s="101"/>
      <c r="P3025" s="18"/>
      <c r="Q3025" s="26"/>
      <c r="R3025" s="28"/>
    </row>
    <row r="3026" spans="1:18" ht="30" customHeight="1" thickBot="1" x14ac:dyDescent="0.5">
      <c r="A3026" s="38"/>
      <c r="B3026" s="1065" t="str">
        <f>C3012</f>
        <v>Exchange Eating Facility</v>
      </c>
      <c r="C3026" s="1065"/>
      <c r="D3026" s="1065"/>
      <c r="E3026" s="350">
        <f>+K3022</f>
        <v>271.1628408913827</v>
      </c>
      <c r="F3026" s="105"/>
      <c r="G3026" s="1084"/>
      <c r="H3026" s="1085"/>
      <c r="I3026" s="105"/>
      <c r="J3026" s="106"/>
      <c r="K3026" s="108">
        <f>E3026</f>
        <v>271.1628408913827</v>
      </c>
      <c r="L3026" s="105" t="s">
        <v>35</v>
      </c>
      <c r="M3026" s="25"/>
      <c r="N3026" s="26"/>
      <c r="O3026" s="2"/>
      <c r="P3026" s="27"/>
      <c r="Q3026" s="26"/>
      <c r="R3026" s="28"/>
    </row>
    <row r="3027" spans="1:18" ht="30" customHeight="1" thickBot="1" x14ac:dyDescent="0.5">
      <c r="A3027" s="999"/>
      <c r="B3027" s="1000"/>
      <c r="C3027" s="1000"/>
      <c r="D3027" s="1000"/>
      <c r="E3027" s="1000"/>
      <c r="F3027" s="1000"/>
      <c r="G3027" s="1000"/>
      <c r="H3027" s="1000"/>
      <c r="I3027" s="1000"/>
      <c r="J3027" s="1000"/>
      <c r="K3027" s="1000"/>
      <c r="L3027" s="1001"/>
      <c r="M3027" s="25"/>
      <c r="N3027" s="26"/>
      <c r="O3027" s="2"/>
      <c r="P3027" s="27"/>
      <c r="Q3027" s="26"/>
      <c r="R3027" s="28"/>
    </row>
    <row r="3028" spans="1:18" ht="30" customHeight="1" x14ac:dyDescent="0.45">
      <c r="A3028" s="9" t="s">
        <v>4</v>
      </c>
      <c r="B3028" s="10">
        <v>7333</v>
      </c>
      <c r="C3028" s="1002" t="s">
        <v>1687</v>
      </c>
      <c r="D3028" s="1003"/>
      <c r="E3028" s="13" t="s">
        <v>7</v>
      </c>
      <c r="F3028" s="14" t="s">
        <v>35</v>
      </c>
      <c r="G3028" s="11" t="s">
        <v>6</v>
      </c>
      <c r="H3028" s="163">
        <v>14084.0772204968</v>
      </c>
      <c r="I3028" s="13" t="s">
        <v>9</v>
      </c>
      <c r="J3028" s="985" t="s">
        <v>276</v>
      </c>
      <c r="K3028" s="985"/>
      <c r="L3028" s="986"/>
      <c r="M3028" s="25"/>
      <c r="N3028" s="26"/>
      <c r="O3028" s="2"/>
      <c r="P3028" s="27"/>
      <c r="Q3028" s="26"/>
      <c r="R3028" s="28"/>
    </row>
    <row r="3029" spans="1:18" ht="30" customHeight="1" x14ac:dyDescent="0.45">
      <c r="A3029" s="19" t="s">
        <v>277</v>
      </c>
      <c r="B3029" s="187" t="s">
        <v>293</v>
      </c>
      <c r="C3029" s="188"/>
      <c r="D3029" s="189"/>
      <c r="E3029" s="682" t="s">
        <v>13</v>
      </c>
      <c r="F3029" s="682" t="s">
        <v>14</v>
      </c>
      <c r="G3029" s="1068" t="s">
        <v>15</v>
      </c>
      <c r="H3029" s="1137"/>
      <c r="I3029" s="19" t="s">
        <v>1316</v>
      </c>
      <c r="J3029" s="19" t="s">
        <v>278</v>
      </c>
      <c r="K3029" s="992" t="s">
        <v>17</v>
      </c>
      <c r="L3029" s="993"/>
      <c r="M3029" s="25"/>
      <c r="N3029" s="26"/>
      <c r="O3029" s="2"/>
      <c r="P3029" s="27"/>
      <c r="Q3029" s="26"/>
      <c r="R3029" s="28"/>
    </row>
    <row r="3030" spans="1:18" ht="30" customHeight="1" x14ac:dyDescent="0.45">
      <c r="A3030" s="426" t="s">
        <v>1688</v>
      </c>
      <c r="B3030" s="1008" t="s">
        <v>1689</v>
      </c>
      <c r="C3030" s="1009"/>
      <c r="D3030" s="1010"/>
      <c r="E3030" s="221">
        <v>151</v>
      </c>
      <c r="F3030" s="56" t="s">
        <v>35</v>
      </c>
      <c r="G3030" s="348"/>
      <c r="H3030" s="349"/>
      <c r="I3030" s="58"/>
      <c r="J3030" s="47">
        <v>1.34</v>
      </c>
      <c r="K3030" s="221">
        <f>+E3030*J3030</f>
        <v>202.34</v>
      </c>
      <c r="L3030" s="47" t="s">
        <v>35</v>
      </c>
      <c r="M3030" s="25"/>
      <c r="N3030" s="26"/>
      <c r="O3030" s="2"/>
      <c r="P3030" s="27"/>
      <c r="Q3030" s="26"/>
      <c r="R3030" s="28"/>
    </row>
    <row r="3031" spans="1:18" ht="30" customHeight="1" x14ac:dyDescent="0.45">
      <c r="A3031" s="426" t="s">
        <v>1491</v>
      </c>
      <c r="B3031" s="1008" t="s">
        <v>1690</v>
      </c>
      <c r="C3031" s="1009"/>
      <c r="D3031" s="1010"/>
      <c r="E3031" s="221">
        <v>4.1399999999999997</v>
      </c>
      <c r="F3031" s="56" t="s">
        <v>35</v>
      </c>
      <c r="G3031" s="511"/>
      <c r="H3031" s="349"/>
      <c r="I3031" s="58"/>
      <c r="J3031" s="47">
        <v>1.34</v>
      </c>
      <c r="K3031" s="221">
        <f>+E3031*J3031</f>
        <v>5.5476000000000001</v>
      </c>
      <c r="L3031" s="47" t="s">
        <v>35</v>
      </c>
      <c r="M3031" s="25"/>
      <c r="N3031" s="26"/>
      <c r="O3031" s="2"/>
      <c r="P3031" s="27"/>
      <c r="Q3031" s="26"/>
      <c r="R3031" s="28"/>
    </row>
    <row r="3032" spans="1:18" ht="30" customHeight="1" x14ac:dyDescent="0.45">
      <c r="A3032" s="426" t="s">
        <v>1681</v>
      </c>
      <c r="B3032" s="1008" t="s">
        <v>1691</v>
      </c>
      <c r="C3032" s="1009"/>
      <c r="D3032" s="1010"/>
      <c r="E3032" s="221">
        <v>1050</v>
      </c>
      <c r="F3032" s="56" t="s">
        <v>113</v>
      </c>
      <c r="G3032" s="683">
        <f>(2*10*E3032)/H3028</f>
        <v>1.4910455027496115</v>
      </c>
      <c r="H3032" s="349" t="s">
        <v>1061</v>
      </c>
      <c r="I3032" s="58"/>
      <c r="J3032" s="47">
        <v>1.1200000000000001</v>
      </c>
      <c r="K3032" s="221">
        <f>+G3032*J3032</f>
        <v>1.6699709630795649</v>
      </c>
      <c r="L3032" s="47" t="s">
        <v>35</v>
      </c>
      <c r="M3032" s="25"/>
      <c r="N3032" s="26"/>
      <c r="O3032" s="2"/>
      <c r="P3032" s="27"/>
      <c r="Q3032" s="26"/>
      <c r="R3032" s="28"/>
    </row>
    <row r="3033" spans="1:18" ht="30" customHeight="1" x14ac:dyDescent="0.45">
      <c r="A3033" s="426" t="s">
        <v>1683</v>
      </c>
      <c r="B3033" s="1018" t="s">
        <v>1692</v>
      </c>
      <c r="C3033" s="1019"/>
      <c r="D3033" s="1020"/>
      <c r="E3033" s="221">
        <v>840</v>
      </c>
      <c r="F3033" s="56" t="s">
        <v>88</v>
      </c>
      <c r="G3033" s="684">
        <f>4*E3033/H3028</f>
        <v>0.23856728043993783</v>
      </c>
      <c r="H3033" s="349" t="s">
        <v>1061</v>
      </c>
      <c r="I3033" s="58"/>
      <c r="J3033" s="47">
        <v>1.31</v>
      </c>
      <c r="K3033" s="221">
        <f>+G3033*J3033</f>
        <v>0.31252313737631859</v>
      </c>
      <c r="L3033" s="47" t="s">
        <v>35</v>
      </c>
      <c r="M3033" s="25"/>
      <c r="N3033" s="26"/>
      <c r="O3033" s="2"/>
      <c r="P3033" s="27"/>
      <c r="Q3033" s="26"/>
      <c r="R3033" s="28"/>
    </row>
    <row r="3034" spans="1:18" ht="30" customHeight="1" x14ac:dyDescent="0.45">
      <c r="A3034" s="47" t="s">
        <v>1050</v>
      </c>
      <c r="B3034" s="1018" t="s">
        <v>1325</v>
      </c>
      <c r="C3034" s="1019"/>
      <c r="D3034" s="1020"/>
      <c r="E3034" s="221">
        <f>(24+37.25)/2</f>
        <v>30.625</v>
      </c>
      <c r="F3034" s="222" t="s">
        <v>35</v>
      </c>
      <c r="G3034" s="42">
        <f>120*2</f>
        <v>240</v>
      </c>
      <c r="H3034" s="206" t="s">
        <v>479</v>
      </c>
      <c r="I3034" s="506">
        <f>+E3034*G3034/H3028</f>
        <v>0.52186592596236403</v>
      </c>
      <c r="J3034" s="47">
        <v>1.22</v>
      </c>
      <c r="K3034" s="378">
        <f>+I3034*J3034</f>
        <v>0.63667642967408411</v>
      </c>
      <c r="L3034" s="47" t="s">
        <v>35</v>
      </c>
      <c r="N3034" s="26"/>
      <c r="O3034" s="2"/>
      <c r="P3034" s="27"/>
      <c r="Q3034" s="26"/>
      <c r="R3034" s="28"/>
    </row>
    <row r="3035" spans="1:18" ht="30" customHeight="1" x14ac:dyDescent="0.45">
      <c r="A3035" s="47" t="s">
        <v>1050</v>
      </c>
      <c r="B3035" s="1018" t="s">
        <v>1326</v>
      </c>
      <c r="C3035" s="1019"/>
      <c r="D3035" s="1020"/>
      <c r="E3035" s="221">
        <f>(2020+2850)/2</f>
        <v>2435</v>
      </c>
      <c r="F3035" s="222" t="s">
        <v>88</v>
      </c>
      <c r="G3035" s="42"/>
      <c r="H3035" s="206"/>
      <c r="I3035" s="506">
        <f>2*E3035/H3028</f>
        <v>0.34578055230431465</v>
      </c>
      <c r="J3035" s="47">
        <v>1.22</v>
      </c>
      <c r="K3035" s="378">
        <f>+I3035*J3035</f>
        <v>0.42185227381126383</v>
      </c>
      <c r="L3035" s="47" t="s">
        <v>35</v>
      </c>
      <c r="M3035" s="25"/>
      <c r="N3035" s="26"/>
      <c r="O3035" s="2"/>
      <c r="P3035" s="27"/>
      <c r="Q3035" s="26"/>
      <c r="R3035" s="28"/>
    </row>
    <row r="3036" spans="1:18" ht="30" customHeight="1" x14ac:dyDescent="0.45">
      <c r="A3036" s="47" t="s">
        <v>1055</v>
      </c>
      <c r="B3036" s="1018" t="s">
        <v>1203</v>
      </c>
      <c r="C3036" s="1019"/>
      <c r="D3036" s="1020"/>
      <c r="E3036" s="221">
        <v>72.38</v>
      </c>
      <c r="F3036" s="222" t="s">
        <v>113</v>
      </c>
      <c r="G3036" s="42">
        <v>20</v>
      </c>
      <c r="H3036" s="206" t="s">
        <v>1204</v>
      </c>
      <c r="I3036" s="506">
        <f>+E3036*G3036/H3028</f>
        <v>0.10278273665620653</v>
      </c>
      <c r="J3036" s="47">
        <v>1.1200000000000001</v>
      </c>
      <c r="K3036" s="378">
        <f>+I3036*J3036</f>
        <v>0.11511666505495133</v>
      </c>
      <c r="L3036" s="47" t="s">
        <v>35</v>
      </c>
      <c r="M3036" s="25"/>
      <c r="N3036" s="26"/>
      <c r="O3036" s="2"/>
      <c r="P3036" s="27"/>
      <c r="Q3036" s="26"/>
      <c r="R3036" s="28"/>
    </row>
    <row r="3037" spans="1:18" ht="30" customHeight="1" x14ac:dyDescent="0.45">
      <c r="A3037" s="642"/>
      <c r="B3037" s="224"/>
      <c r="C3037" s="224"/>
      <c r="D3037" s="224"/>
      <c r="E3037" s="221"/>
      <c r="F3037" s="47"/>
      <c r="G3037" s="47"/>
      <c r="H3037" s="47"/>
      <c r="I3037" s="47"/>
      <c r="J3037" s="47" t="s">
        <v>38</v>
      </c>
      <c r="K3037" s="221">
        <f>SUM(K3030:K3036)</f>
        <v>211.04373946899619</v>
      </c>
      <c r="L3037" s="47" t="s">
        <v>35</v>
      </c>
      <c r="M3037" s="25"/>
      <c r="N3037" s="26"/>
      <c r="O3037" s="2"/>
      <c r="P3037" s="27"/>
      <c r="Q3037" s="26"/>
      <c r="R3037" s="28"/>
    </row>
    <row r="3038" spans="1:18" ht="30" customHeight="1" x14ac:dyDescent="0.45">
      <c r="A3038" s="47"/>
      <c r="B3038" s="224"/>
      <c r="C3038" s="224"/>
      <c r="D3038" s="224"/>
      <c r="E3038" s="221"/>
      <c r="F3038" s="1011" t="s">
        <v>285</v>
      </c>
      <c r="G3038" s="1013" t="s">
        <v>286</v>
      </c>
      <c r="H3038" s="1013"/>
      <c r="I3038" s="1013"/>
      <c r="J3038" s="1013"/>
      <c r="K3038" s="278">
        <v>1.06</v>
      </c>
      <c r="L3038" s="47"/>
      <c r="M3038" s="25"/>
      <c r="N3038" s="26"/>
      <c r="O3038" s="2"/>
      <c r="P3038" s="27"/>
      <c r="Q3038" s="26"/>
      <c r="R3038" s="28"/>
    </row>
    <row r="3039" spans="1:18" ht="30" customHeight="1" x14ac:dyDescent="0.45">
      <c r="A3039" s="47"/>
      <c r="B3039" s="224"/>
      <c r="C3039" s="224"/>
      <c r="D3039" s="224"/>
      <c r="E3039" s="221"/>
      <c r="F3039" s="1012"/>
      <c r="G3039" s="1175" t="s">
        <v>287</v>
      </c>
      <c r="H3039" s="1086"/>
      <c r="I3039" s="1086"/>
      <c r="J3039" s="1087"/>
      <c r="K3039" s="278">
        <v>1.05</v>
      </c>
      <c r="L3039" s="47"/>
      <c r="M3039" s="25"/>
      <c r="N3039" s="26"/>
      <c r="O3039" s="2"/>
      <c r="P3039" s="27"/>
      <c r="Q3039" s="26"/>
      <c r="R3039" s="28"/>
    </row>
    <row r="3040" spans="1:18" ht="30" customHeight="1" x14ac:dyDescent="0.45">
      <c r="A3040" s="47"/>
      <c r="B3040" s="47"/>
      <c r="C3040" s="58"/>
      <c r="D3040" s="58"/>
      <c r="E3040" s="58"/>
      <c r="F3040" s="58"/>
      <c r="G3040" s="58"/>
      <c r="H3040" s="58"/>
      <c r="I3040" s="58"/>
      <c r="J3040" s="47" t="s">
        <v>39</v>
      </c>
      <c r="K3040" s="216">
        <f>+K3037*K3038/K3039</f>
        <v>213.05367984489138</v>
      </c>
      <c r="L3040" s="47" t="s">
        <v>35</v>
      </c>
      <c r="M3040" s="25"/>
      <c r="N3040" s="26"/>
      <c r="O3040" s="2"/>
      <c r="P3040" s="27"/>
      <c r="Q3040" s="26"/>
      <c r="R3040" s="28"/>
    </row>
    <row r="3041" spans="1:18" ht="30" customHeight="1" thickBot="1" x14ac:dyDescent="0.5">
      <c r="A3041" s="58"/>
      <c r="B3041" s="58"/>
      <c r="C3041" s="58"/>
      <c r="D3041" s="58"/>
      <c r="E3041" s="58"/>
      <c r="F3041" s="58"/>
      <c r="G3041" s="1226" t="s">
        <v>288</v>
      </c>
      <c r="H3041" s="1227"/>
      <c r="I3041" s="1228"/>
      <c r="J3041" s="213">
        <f>VLOOKUP(B3028,'[1]Mil Cost Premiums for PUCs'!$A$4:$R$278,18,FALSE)</f>
        <v>1.3319480854780448</v>
      </c>
      <c r="K3041" s="216">
        <f>+K3040*J3041</f>
        <v>283.77644097345535</v>
      </c>
      <c r="L3041" s="47" t="s">
        <v>35</v>
      </c>
      <c r="M3041" s="25"/>
      <c r="N3041" s="26"/>
      <c r="O3041" s="2"/>
      <c r="P3041" s="27"/>
      <c r="Q3041" s="26"/>
      <c r="R3041" s="28"/>
    </row>
    <row r="3042" spans="1:18" ht="30" customHeight="1" thickBot="1" x14ac:dyDescent="0.5">
      <c r="A3042" s="999"/>
      <c r="B3042" s="1000"/>
      <c r="C3042" s="1000"/>
      <c r="D3042" s="1000"/>
      <c r="E3042" s="1000"/>
      <c r="F3042" s="1000"/>
      <c r="G3042" s="1000"/>
      <c r="H3042" s="1000"/>
      <c r="I3042" s="1000"/>
      <c r="J3042" s="1000"/>
      <c r="K3042" s="1000"/>
      <c r="L3042" s="1001"/>
      <c r="M3042" s="25"/>
      <c r="N3042" s="26"/>
      <c r="O3042" s="2"/>
      <c r="P3042" s="27"/>
      <c r="Q3042" s="26"/>
      <c r="R3042" s="28"/>
    </row>
    <row r="3043" spans="1:18" ht="30" customHeight="1" x14ac:dyDescent="0.45">
      <c r="A3043" s="9" t="s">
        <v>4</v>
      </c>
      <c r="B3043" s="10">
        <v>7340</v>
      </c>
      <c r="C3043" s="983" t="s">
        <v>1693</v>
      </c>
      <c r="D3043" s="984"/>
      <c r="E3043" s="13" t="s">
        <v>7</v>
      </c>
      <c r="F3043" s="14" t="s">
        <v>35</v>
      </c>
      <c r="G3043" s="11" t="s">
        <v>6</v>
      </c>
      <c r="H3043" s="184">
        <v>5155</v>
      </c>
      <c r="I3043" s="13" t="s">
        <v>9</v>
      </c>
      <c r="J3043" s="985" t="s">
        <v>575</v>
      </c>
      <c r="K3043" s="985"/>
      <c r="L3043" s="986"/>
      <c r="M3043" s="25"/>
      <c r="N3043" s="26"/>
      <c r="O3043" s="2"/>
      <c r="P3043" s="27"/>
      <c r="Q3043" s="26"/>
      <c r="R3043" s="28"/>
    </row>
    <row r="3044" spans="1:18" ht="30" customHeight="1" x14ac:dyDescent="0.45">
      <c r="A3044" s="85" t="s">
        <v>277</v>
      </c>
      <c r="B3044" s="987" t="s">
        <v>293</v>
      </c>
      <c r="C3044" s="988"/>
      <c r="D3044" s="989"/>
      <c r="E3044" s="220" t="s">
        <v>13</v>
      </c>
      <c r="F3044" s="220" t="s">
        <v>14</v>
      </c>
      <c r="G3044" s="990" t="s">
        <v>15</v>
      </c>
      <c r="H3044" s="991"/>
      <c r="I3044" s="19" t="s">
        <v>278</v>
      </c>
      <c r="J3044" s="19"/>
      <c r="K3044" s="992" t="s">
        <v>17</v>
      </c>
      <c r="L3044" s="993"/>
      <c r="M3044" s="25"/>
      <c r="N3044" s="26"/>
      <c r="O3044" s="2"/>
      <c r="P3044" s="27"/>
      <c r="Q3044" s="26"/>
      <c r="R3044" s="28"/>
    </row>
    <row r="3045" spans="1:18" ht="30" customHeight="1" x14ac:dyDescent="0.45">
      <c r="A3045" s="426" t="s">
        <v>1694</v>
      </c>
      <c r="B3045" s="1008" t="s">
        <v>1695</v>
      </c>
      <c r="C3045" s="1009"/>
      <c r="D3045" s="1010"/>
      <c r="E3045" s="221">
        <v>88</v>
      </c>
      <c r="F3045" s="56" t="s">
        <v>35</v>
      </c>
      <c r="G3045" s="348"/>
      <c r="H3045" s="349"/>
      <c r="I3045" s="47">
        <v>1.04</v>
      </c>
      <c r="J3045" s="47"/>
      <c r="K3045" s="221">
        <f>+E3045*I3045</f>
        <v>91.52000000000001</v>
      </c>
      <c r="L3045" s="47" t="s">
        <v>35</v>
      </c>
      <c r="M3045" s="25"/>
      <c r="N3045" s="26"/>
      <c r="O3045" s="2"/>
      <c r="P3045" s="27"/>
      <c r="Q3045" s="26"/>
      <c r="R3045" s="28"/>
    </row>
    <row r="3046" spans="1:18" ht="30" customHeight="1" x14ac:dyDescent="0.45">
      <c r="A3046" s="642" t="s">
        <v>1466</v>
      </c>
      <c r="B3046" s="1008" t="s">
        <v>1659</v>
      </c>
      <c r="C3046" s="1009"/>
      <c r="D3046" s="1010"/>
      <c r="E3046" s="221">
        <v>4.09</v>
      </c>
      <c r="F3046" s="56" t="s">
        <v>35</v>
      </c>
      <c r="G3046" s="348"/>
      <c r="H3046" s="349"/>
      <c r="I3046" s="47">
        <v>1.04</v>
      </c>
      <c r="J3046" s="47"/>
      <c r="K3046" s="221">
        <f>+E3046*I3046</f>
        <v>4.2535999999999996</v>
      </c>
      <c r="L3046" s="47" t="s">
        <v>35</v>
      </c>
      <c r="M3046" s="25"/>
      <c r="N3046" s="26"/>
      <c r="O3046" s="2"/>
      <c r="P3046" s="27"/>
      <c r="Q3046" s="26"/>
      <c r="R3046" s="28"/>
    </row>
    <row r="3047" spans="1:18" ht="30" customHeight="1" x14ac:dyDescent="0.45">
      <c r="A3047" s="47"/>
      <c r="B3047" s="1030"/>
      <c r="C3047" s="1030"/>
      <c r="D3047" s="1030"/>
      <c r="E3047" s="221"/>
      <c r="F3047" s="47"/>
      <c r="G3047" s="47"/>
      <c r="H3047" s="47"/>
      <c r="I3047" s="47"/>
      <c r="J3047" s="47" t="s">
        <v>38</v>
      </c>
      <c r="K3047" s="221">
        <f>SUM(K3045:K3046)</f>
        <v>95.773600000000016</v>
      </c>
      <c r="L3047" s="47" t="s">
        <v>35</v>
      </c>
      <c r="M3047" s="25"/>
      <c r="N3047" s="26"/>
      <c r="O3047" s="2"/>
      <c r="P3047" s="27"/>
      <c r="Q3047" s="26"/>
      <c r="R3047" s="28"/>
    </row>
    <row r="3048" spans="1:18" ht="30" customHeight="1" x14ac:dyDescent="0.45">
      <c r="A3048" s="47"/>
      <c r="B3048" s="224"/>
      <c r="C3048" s="224"/>
      <c r="D3048" s="224"/>
      <c r="E3048" s="221"/>
      <c r="F3048" s="1011" t="s">
        <v>285</v>
      </c>
      <c r="G3048" s="1013" t="s">
        <v>286</v>
      </c>
      <c r="H3048" s="1013"/>
      <c r="I3048" s="1013"/>
      <c r="J3048" s="1013"/>
      <c r="K3048" s="278">
        <v>1.07</v>
      </c>
      <c r="L3048" s="47"/>
      <c r="M3048" s="25"/>
      <c r="N3048" s="26"/>
      <c r="O3048" s="2"/>
      <c r="P3048" s="27"/>
      <c r="Q3048" s="26"/>
      <c r="R3048" s="28"/>
    </row>
    <row r="3049" spans="1:18" ht="30" customHeight="1" x14ac:dyDescent="0.45">
      <c r="A3049" s="47"/>
      <c r="B3049" s="224"/>
      <c r="C3049" s="224"/>
      <c r="D3049" s="224"/>
      <c r="E3049" s="221"/>
      <c r="F3049" s="1012"/>
      <c r="G3049" s="1014" t="s">
        <v>580</v>
      </c>
      <c r="H3049" s="1014"/>
      <c r="I3049" s="1014"/>
      <c r="J3049" s="1014"/>
      <c r="K3049" s="278">
        <v>1.08</v>
      </c>
      <c r="L3049" s="47"/>
      <c r="N3049" s="26"/>
      <c r="O3049" s="2"/>
      <c r="P3049" s="27"/>
      <c r="Q3049" s="26"/>
      <c r="R3049" s="28"/>
    </row>
    <row r="3050" spans="1:18" ht="30" customHeight="1" x14ac:dyDescent="0.45">
      <c r="A3050" s="47"/>
      <c r="B3050" s="47"/>
      <c r="C3050" s="58"/>
      <c r="D3050" s="58"/>
      <c r="E3050" s="58"/>
      <c r="F3050" s="58"/>
      <c r="G3050" s="58"/>
      <c r="H3050" s="58"/>
      <c r="I3050" s="58"/>
      <c r="J3050" s="47" t="s">
        <v>39</v>
      </c>
      <c r="K3050" s="216">
        <f>+K3047*K3048/K3049</f>
        <v>94.886807407407417</v>
      </c>
      <c r="L3050" s="47" t="s">
        <v>35</v>
      </c>
      <c r="M3050" s="25"/>
      <c r="N3050" s="26"/>
      <c r="O3050" s="2"/>
      <c r="P3050" s="27"/>
      <c r="Q3050" s="26"/>
      <c r="R3050" s="28"/>
    </row>
    <row r="3051" spans="1:18" ht="30" customHeight="1" x14ac:dyDescent="0.45">
      <c r="A3051" s="47"/>
      <c r="B3051" s="47"/>
      <c r="C3051" s="58"/>
      <c r="D3051" s="58"/>
      <c r="E3051" s="58"/>
      <c r="F3051" s="58"/>
      <c r="G3051" s="1021" t="s">
        <v>288</v>
      </c>
      <c r="H3051" s="1022"/>
      <c r="I3051" s="1023"/>
      <c r="J3051" s="213">
        <f>VLOOKUP(B3043,'[1]Mil Cost Premiums for PUCs'!$A$4:$R$278,18,FALSE)</f>
        <v>1.0291833149999998</v>
      </c>
      <c r="K3051" s="216">
        <f>+K3050*J3051</f>
        <v>97.655918997322104</v>
      </c>
      <c r="L3051" s="47" t="s">
        <v>35</v>
      </c>
      <c r="M3051" s="25"/>
      <c r="N3051" s="26"/>
      <c r="O3051" s="2"/>
      <c r="P3051" s="27"/>
      <c r="Q3051" s="26"/>
      <c r="R3051" s="28"/>
    </row>
    <row r="3052" spans="1:18" ht="30" customHeight="1" x14ac:dyDescent="0.45">
      <c r="A3052" s="541"/>
      <c r="B3052" s="541"/>
      <c r="C3052" s="542"/>
      <c r="D3052" s="542"/>
      <c r="E3052" s="552"/>
      <c r="F3052" s="1024" t="s">
        <v>581</v>
      </c>
      <c r="G3052" s="1024"/>
      <c r="H3052" s="1024"/>
      <c r="I3052" s="1024"/>
      <c r="J3052" s="543">
        <v>1.0833999999999999</v>
      </c>
      <c r="K3052" s="363">
        <f>K3051*J3052</f>
        <v>105.80042264169876</v>
      </c>
      <c r="L3052" s="225" t="s">
        <v>35</v>
      </c>
      <c r="M3052" s="25"/>
      <c r="N3052" s="26"/>
      <c r="O3052" s="2"/>
      <c r="P3052" s="27"/>
      <c r="Q3052" s="26"/>
      <c r="R3052" s="28"/>
    </row>
    <row r="3053" spans="1:18" ht="30" customHeight="1" thickBot="1" x14ac:dyDescent="0.5">
      <c r="A3053" s="225"/>
      <c r="B3053" s="225"/>
      <c r="C3053" s="150"/>
      <c r="D3053" s="150"/>
      <c r="E3053" s="150"/>
      <c r="F3053" s="150"/>
      <c r="G3053" s="1025" t="s">
        <v>299</v>
      </c>
      <c r="H3053" s="1026"/>
      <c r="I3053" s="1027"/>
      <c r="J3053" s="226">
        <v>1.1214</v>
      </c>
      <c r="K3053" s="227">
        <f>+K3052*J3053</f>
        <v>118.64459395040099</v>
      </c>
      <c r="L3053" s="225" t="s">
        <v>35</v>
      </c>
      <c r="M3053" s="25"/>
    </row>
    <row r="3054" spans="1:18" ht="30" customHeight="1" thickBot="1" x14ac:dyDescent="0.5">
      <c r="A3054" s="999"/>
      <c r="B3054" s="1000"/>
      <c r="C3054" s="1000"/>
      <c r="D3054" s="1000"/>
      <c r="E3054" s="1000"/>
      <c r="F3054" s="1000"/>
      <c r="G3054" s="1000"/>
      <c r="H3054" s="1000"/>
      <c r="I3054" s="1000"/>
      <c r="J3054" s="1000"/>
      <c r="K3054" s="1000"/>
      <c r="L3054" s="1001"/>
      <c r="M3054" s="25"/>
      <c r="N3054" s="26"/>
      <c r="O3054" s="2"/>
      <c r="P3054" s="27"/>
      <c r="Q3054" s="26"/>
      <c r="R3054" s="28"/>
    </row>
    <row r="3055" spans="1:18" ht="30" customHeight="1" x14ac:dyDescent="0.45">
      <c r="A3055" s="9" t="s">
        <v>4</v>
      </c>
      <c r="B3055" s="10">
        <v>7341</v>
      </c>
      <c r="C3055" s="983" t="s">
        <v>1696</v>
      </c>
      <c r="D3055" s="984"/>
      <c r="E3055" s="13" t="s">
        <v>7</v>
      </c>
      <c r="F3055" s="14" t="s">
        <v>35</v>
      </c>
      <c r="G3055" s="11" t="s">
        <v>6</v>
      </c>
      <c r="H3055" s="360">
        <v>973</v>
      </c>
      <c r="I3055" s="13" t="s">
        <v>9</v>
      </c>
      <c r="J3055" s="985" t="s">
        <v>575</v>
      </c>
      <c r="K3055" s="985"/>
      <c r="L3055" s="986"/>
      <c r="M3055" s="25"/>
      <c r="N3055" s="26"/>
      <c r="O3055" s="2"/>
      <c r="P3055" s="27"/>
      <c r="Q3055" s="26"/>
      <c r="R3055" s="28"/>
    </row>
    <row r="3056" spans="1:18" ht="30" customHeight="1" x14ac:dyDescent="0.45">
      <c r="A3056" s="85" t="s">
        <v>277</v>
      </c>
      <c r="B3056" s="987" t="s">
        <v>293</v>
      </c>
      <c r="C3056" s="988"/>
      <c r="D3056" s="989"/>
      <c r="E3056" s="220" t="s">
        <v>13</v>
      </c>
      <c r="F3056" s="220" t="s">
        <v>14</v>
      </c>
      <c r="G3056" s="990" t="s">
        <v>15</v>
      </c>
      <c r="H3056" s="991"/>
      <c r="I3056" s="19" t="s">
        <v>278</v>
      </c>
      <c r="J3056" s="19"/>
      <c r="K3056" s="23" t="s">
        <v>17</v>
      </c>
      <c r="L3056" s="24"/>
      <c r="M3056" s="25"/>
      <c r="N3056" s="26"/>
      <c r="O3056" s="2"/>
      <c r="P3056" s="27"/>
      <c r="Q3056" s="26"/>
      <c r="R3056" s="28"/>
    </row>
    <row r="3057" spans="1:18" ht="30" customHeight="1" x14ac:dyDescent="0.45">
      <c r="A3057" s="426" t="s">
        <v>1697</v>
      </c>
      <c r="B3057" s="1008" t="s">
        <v>1698</v>
      </c>
      <c r="C3057" s="1009"/>
      <c r="D3057" s="1010"/>
      <c r="E3057" s="221">
        <v>121</v>
      </c>
      <c r="F3057" s="56" t="s">
        <v>35</v>
      </c>
      <c r="G3057" s="348"/>
      <c r="H3057" s="349"/>
      <c r="I3057" s="47">
        <v>1.03</v>
      </c>
      <c r="J3057" s="47"/>
      <c r="K3057" s="221">
        <f>+E3057*I3057</f>
        <v>124.63000000000001</v>
      </c>
      <c r="L3057" s="47" t="s">
        <v>35</v>
      </c>
      <c r="M3057" s="25"/>
      <c r="N3057" s="26"/>
      <c r="O3057" s="2"/>
      <c r="P3057" s="27"/>
      <c r="Q3057" s="26"/>
      <c r="R3057" s="28"/>
    </row>
    <row r="3058" spans="1:18" ht="30" customHeight="1" x14ac:dyDescent="0.45">
      <c r="A3058" s="642" t="s">
        <v>358</v>
      </c>
      <c r="B3058" s="1008" t="s">
        <v>1671</v>
      </c>
      <c r="C3058" s="1009"/>
      <c r="D3058" s="1010"/>
      <c r="E3058" s="221">
        <v>4.1500000000000004</v>
      </c>
      <c r="F3058" s="56" t="s">
        <v>35</v>
      </c>
      <c r="G3058" s="348"/>
      <c r="H3058" s="349"/>
      <c r="I3058" s="47">
        <v>1.03</v>
      </c>
      <c r="J3058" s="47"/>
      <c r="K3058" s="221">
        <f>+E3058*I3058</f>
        <v>4.2745000000000006</v>
      </c>
      <c r="L3058" s="47" t="s">
        <v>35</v>
      </c>
      <c r="M3058" s="25"/>
      <c r="N3058" s="26"/>
      <c r="O3058" s="2"/>
      <c r="P3058" s="27"/>
      <c r="Q3058" s="26"/>
      <c r="R3058" s="28"/>
    </row>
    <row r="3059" spans="1:18" ht="30" customHeight="1" x14ac:dyDescent="0.45">
      <c r="A3059" s="47"/>
      <c r="B3059" s="1030"/>
      <c r="C3059" s="1030"/>
      <c r="D3059" s="1030"/>
      <c r="E3059" s="221"/>
      <c r="F3059" s="47"/>
      <c r="G3059" s="47"/>
      <c r="H3059" s="47"/>
      <c r="I3059" s="47"/>
      <c r="J3059" s="47" t="s">
        <v>38</v>
      </c>
      <c r="K3059" s="221">
        <f>SUM(K3057:K3058)</f>
        <v>128.90450000000001</v>
      </c>
      <c r="L3059" s="47" t="s">
        <v>35</v>
      </c>
      <c r="M3059" s="25"/>
      <c r="N3059" s="26"/>
      <c r="O3059" s="2"/>
      <c r="P3059" s="27"/>
      <c r="Q3059" s="26"/>
      <c r="R3059" s="28"/>
    </row>
    <row r="3060" spans="1:18" ht="30" customHeight="1" x14ac:dyDescent="0.45">
      <c r="A3060" s="47"/>
      <c r="B3060" s="224"/>
      <c r="C3060" s="224"/>
      <c r="D3060" s="224"/>
      <c r="E3060" s="221"/>
      <c r="F3060" s="1011" t="s">
        <v>285</v>
      </c>
      <c r="G3060" s="1013" t="s">
        <v>286</v>
      </c>
      <c r="H3060" s="1013"/>
      <c r="I3060" s="1013"/>
      <c r="J3060" s="1013"/>
      <c r="K3060" s="278">
        <v>1.07</v>
      </c>
      <c r="L3060" s="47"/>
      <c r="M3060" s="25"/>
      <c r="N3060" s="26"/>
      <c r="O3060" s="2"/>
      <c r="P3060" s="27"/>
      <c r="Q3060" s="26"/>
      <c r="R3060" s="28"/>
    </row>
    <row r="3061" spans="1:18" ht="30" customHeight="1" x14ac:dyDescent="0.45">
      <c r="A3061" s="47"/>
      <c r="B3061" s="224"/>
      <c r="C3061" s="224"/>
      <c r="D3061" s="224"/>
      <c r="E3061" s="221"/>
      <c r="F3061" s="1012"/>
      <c r="G3061" s="1014" t="s">
        <v>580</v>
      </c>
      <c r="H3061" s="1014"/>
      <c r="I3061" s="1014"/>
      <c r="J3061" s="1014"/>
      <c r="K3061" s="278">
        <v>1.08</v>
      </c>
      <c r="L3061" s="47"/>
      <c r="M3061" s="25"/>
      <c r="N3061" s="26"/>
      <c r="O3061" s="2"/>
      <c r="P3061" s="27"/>
      <c r="Q3061" s="26"/>
      <c r="R3061" s="28"/>
    </row>
    <row r="3062" spans="1:18" ht="30" customHeight="1" x14ac:dyDescent="0.45">
      <c r="A3062" s="47"/>
      <c r="B3062" s="47"/>
      <c r="C3062" s="58"/>
      <c r="D3062" s="58"/>
      <c r="E3062" s="58"/>
      <c r="F3062" s="58"/>
      <c r="G3062" s="58"/>
      <c r="H3062" s="58"/>
      <c r="I3062" s="58"/>
      <c r="J3062" s="47" t="s">
        <v>39</v>
      </c>
      <c r="K3062" s="216">
        <f>+K3059*K3060/K3061</f>
        <v>127.71093981481482</v>
      </c>
      <c r="L3062" s="47" t="s">
        <v>35</v>
      </c>
      <c r="M3062" s="25"/>
      <c r="N3062" s="26"/>
      <c r="O3062" s="2"/>
      <c r="P3062" s="27"/>
      <c r="Q3062" s="26"/>
      <c r="R3062" s="28"/>
    </row>
    <row r="3063" spans="1:18" ht="30" customHeight="1" x14ac:dyDescent="0.45">
      <c r="A3063" s="47"/>
      <c r="B3063" s="47"/>
      <c r="C3063" s="58"/>
      <c r="D3063" s="58"/>
      <c r="E3063" s="58"/>
      <c r="F3063" s="58"/>
      <c r="G3063" s="1021" t="s">
        <v>288</v>
      </c>
      <c r="H3063" s="1022"/>
      <c r="I3063" s="1023"/>
      <c r="J3063" s="213">
        <f>VLOOKUP(B3055,'[1]Mil Cost Premiums for PUCs'!$A$4:$R$278,18,FALSE)</f>
        <v>1.1345642417967394</v>
      </c>
      <c r="K3063" s="216">
        <f>+K3062*J3063</f>
        <v>144.8962656001444</v>
      </c>
      <c r="L3063" s="47" t="s">
        <v>35</v>
      </c>
      <c r="N3063" s="26"/>
      <c r="O3063" s="2"/>
      <c r="P3063" s="27"/>
      <c r="Q3063" s="26"/>
      <c r="R3063" s="28"/>
    </row>
    <row r="3064" spans="1:18" ht="30" customHeight="1" x14ac:dyDescent="0.45">
      <c r="A3064" s="541"/>
      <c r="B3064" s="541"/>
      <c r="C3064" s="542"/>
      <c r="D3064" s="542"/>
      <c r="E3064" s="552"/>
      <c r="F3064" s="1024" t="s">
        <v>581</v>
      </c>
      <c r="G3064" s="1024"/>
      <c r="H3064" s="1024"/>
      <c r="I3064" s="1024"/>
      <c r="J3064" s="543">
        <v>1.0833999999999999</v>
      </c>
      <c r="K3064" s="363">
        <f>K3063*J3064</f>
        <v>156.98061415119645</v>
      </c>
      <c r="L3064" s="225" t="s">
        <v>35</v>
      </c>
      <c r="M3064" s="25"/>
      <c r="N3064" s="26"/>
      <c r="O3064" s="2"/>
      <c r="P3064" s="27"/>
      <c r="Q3064" s="26"/>
      <c r="R3064" s="28"/>
    </row>
    <row r="3065" spans="1:18" ht="30" customHeight="1" thickBot="1" x14ac:dyDescent="0.5">
      <c r="A3065" s="225"/>
      <c r="B3065" s="225"/>
      <c r="C3065" s="150"/>
      <c r="D3065" s="150"/>
      <c r="E3065" s="150"/>
      <c r="F3065" s="150"/>
      <c r="G3065" s="1025" t="s">
        <v>299</v>
      </c>
      <c r="H3065" s="1026"/>
      <c r="I3065" s="1027"/>
      <c r="J3065" s="226">
        <v>1.1214</v>
      </c>
      <c r="K3065" s="227">
        <f>+K3064*J3065</f>
        <v>176.03806070915169</v>
      </c>
      <c r="L3065" s="225" t="s">
        <v>35</v>
      </c>
      <c r="M3065" s="25"/>
    </row>
    <row r="3066" spans="1:18" ht="30" customHeight="1" thickBot="1" x14ac:dyDescent="0.5">
      <c r="A3066" s="999"/>
      <c r="B3066" s="1000"/>
      <c r="C3066" s="1000"/>
      <c r="D3066" s="1000"/>
      <c r="E3066" s="1000"/>
      <c r="F3066" s="1000"/>
      <c r="G3066" s="1000"/>
      <c r="H3066" s="1000"/>
      <c r="I3066" s="1000"/>
      <c r="J3066" s="1000"/>
      <c r="K3066" s="1000"/>
      <c r="L3066" s="1001"/>
      <c r="M3066" s="25"/>
      <c r="N3066" s="26"/>
      <c r="O3066" s="2"/>
      <c r="P3066" s="27"/>
      <c r="Q3066" s="26"/>
      <c r="R3066" s="28"/>
    </row>
    <row r="3067" spans="1:18" ht="30" customHeight="1" x14ac:dyDescent="0.45">
      <c r="A3067" s="9" t="s">
        <v>4</v>
      </c>
      <c r="B3067" s="10">
        <v>7342</v>
      </c>
      <c r="C3067" s="983" t="s">
        <v>1699</v>
      </c>
      <c r="D3067" s="984"/>
      <c r="E3067" s="13" t="s">
        <v>7</v>
      </c>
      <c r="F3067" s="14" t="s">
        <v>35</v>
      </c>
      <c r="G3067" s="11" t="s">
        <v>6</v>
      </c>
      <c r="H3067" s="565">
        <v>3505</v>
      </c>
      <c r="I3067" s="13" t="s">
        <v>9</v>
      </c>
      <c r="J3067" s="985" t="s">
        <v>575</v>
      </c>
      <c r="K3067" s="985"/>
      <c r="L3067" s="986"/>
      <c r="M3067" s="25"/>
      <c r="N3067" s="26"/>
      <c r="O3067" s="2"/>
      <c r="P3067" s="27"/>
      <c r="Q3067" s="26"/>
      <c r="R3067" s="28"/>
    </row>
    <row r="3068" spans="1:18" ht="30" customHeight="1" x14ac:dyDescent="0.45">
      <c r="A3068" s="85" t="s">
        <v>277</v>
      </c>
      <c r="B3068" s="987" t="s">
        <v>293</v>
      </c>
      <c r="C3068" s="988"/>
      <c r="D3068" s="989"/>
      <c r="E3068" s="220" t="s">
        <v>13</v>
      </c>
      <c r="F3068" s="220" t="s">
        <v>14</v>
      </c>
      <c r="G3068" s="990" t="s">
        <v>15</v>
      </c>
      <c r="H3068" s="991"/>
      <c r="I3068" s="19" t="s">
        <v>278</v>
      </c>
      <c r="J3068" s="19" t="s">
        <v>16</v>
      </c>
      <c r="K3068" s="992" t="s">
        <v>17</v>
      </c>
      <c r="L3068" s="993"/>
      <c r="M3068" s="25"/>
      <c r="N3068" s="26"/>
      <c r="O3068" s="2"/>
      <c r="P3068" s="27"/>
      <c r="Q3068" s="26"/>
      <c r="R3068" s="28"/>
    </row>
    <row r="3069" spans="1:18" ht="30" customHeight="1" x14ac:dyDescent="0.45">
      <c r="A3069" s="426" t="s">
        <v>1664</v>
      </c>
      <c r="B3069" s="1018" t="s">
        <v>1700</v>
      </c>
      <c r="C3069" s="1019"/>
      <c r="D3069" s="1020"/>
      <c r="E3069" s="221">
        <v>73</v>
      </c>
      <c r="F3069" s="56" t="s">
        <v>35</v>
      </c>
      <c r="G3069" s="348"/>
      <c r="H3069" s="349"/>
      <c r="I3069" s="47">
        <v>1.03</v>
      </c>
      <c r="J3069" s="681">
        <f>+'[1]2023 MILCON Inflation Table'!$F$14</f>
        <v>1.3545159367405897</v>
      </c>
      <c r="K3069" s="221">
        <f>+E3069*I3069*J3069</f>
        <v>101.84605328352494</v>
      </c>
      <c r="L3069" s="47" t="s">
        <v>35</v>
      </c>
      <c r="M3069" s="25"/>
      <c r="N3069" s="26"/>
      <c r="O3069" s="2"/>
      <c r="P3069" s="27"/>
      <c r="Q3069" s="26"/>
      <c r="R3069" s="28"/>
    </row>
    <row r="3070" spans="1:18" ht="30" customHeight="1" x14ac:dyDescent="0.45">
      <c r="A3070" s="642" t="s">
        <v>1121</v>
      </c>
      <c r="B3070" s="1008" t="s">
        <v>1701</v>
      </c>
      <c r="C3070" s="1009"/>
      <c r="D3070" s="1010"/>
      <c r="E3070" s="378">
        <v>24.7</v>
      </c>
      <c r="F3070" s="56" t="s">
        <v>35</v>
      </c>
      <c r="G3070" s="348"/>
      <c r="H3070" s="349"/>
      <c r="I3070" s="47">
        <v>1.03</v>
      </c>
      <c r="J3070" s="47"/>
      <c r="K3070" s="221">
        <f>+E3070*I3070</f>
        <v>25.440999999999999</v>
      </c>
      <c r="L3070" s="47" t="s">
        <v>35</v>
      </c>
      <c r="M3070" s="25"/>
      <c r="N3070" s="26"/>
      <c r="O3070" s="2"/>
      <c r="P3070" s="27"/>
      <c r="Q3070" s="26"/>
      <c r="R3070" s="28"/>
    </row>
    <row r="3071" spans="1:18" ht="30" customHeight="1" x14ac:dyDescent="0.45">
      <c r="A3071" s="642" t="s">
        <v>1121</v>
      </c>
      <c r="B3071" s="1018" t="s">
        <v>1702</v>
      </c>
      <c r="C3071" s="1019"/>
      <c r="D3071" s="1020"/>
      <c r="E3071" s="378">
        <f>+(13.25+18.1)/2</f>
        <v>15.675000000000001</v>
      </c>
      <c r="F3071" s="56" t="s">
        <v>35</v>
      </c>
      <c r="G3071" s="348"/>
      <c r="H3071" s="349"/>
      <c r="I3071" s="47">
        <v>1.03</v>
      </c>
      <c r="J3071" s="47"/>
      <c r="K3071" s="221">
        <f>+E3071*I3071</f>
        <v>16.145250000000001</v>
      </c>
      <c r="L3071" s="47" t="s">
        <v>35</v>
      </c>
      <c r="M3071" s="25"/>
      <c r="N3071" s="26"/>
      <c r="O3071" s="2"/>
      <c r="P3071" s="27"/>
      <c r="Q3071" s="26"/>
      <c r="R3071" s="28"/>
    </row>
    <row r="3072" spans="1:18" ht="30" customHeight="1" x14ac:dyDescent="0.45">
      <c r="A3072" s="642" t="s">
        <v>358</v>
      </c>
      <c r="B3072" s="1008" t="s">
        <v>1703</v>
      </c>
      <c r="C3072" s="1009"/>
      <c r="D3072" s="1010"/>
      <c r="E3072" s="221">
        <v>3.71</v>
      </c>
      <c r="F3072" s="56" t="s">
        <v>35</v>
      </c>
      <c r="G3072" s="348"/>
      <c r="H3072" s="349"/>
      <c r="I3072" s="47">
        <v>1.03</v>
      </c>
      <c r="J3072" s="47"/>
      <c r="K3072" s="221">
        <f>+E3072*I3072</f>
        <v>3.8212999999999999</v>
      </c>
      <c r="L3072" s="47" t="s">
        <v>35</v>
      </c>
      <c r="M3072" s="25"/>
      <c r="N3072" s="26"/>
      <c r="O3072" s="2"/>
      <c r="P3072" s="27"/>
      <c r="Q3072" s="26"/>
      <c r="R3072" s="28"/>
    </row>
    <row r="3073" spans="1:18" ht="30" customHeight="1" x14ac:dyDescent="0.45">
      <c r="A3073" s="47"/>
      <c r="B3073" s="1030"/>
      <c r="C3073" s="1030"/>
      <c r="D3073" s="1030"/>
      <c r="E3073" s="221"/>
      <c r="F3073" s="47"/>
      <c r="G3073" s="47"/>
      <c r="H3073" s="47"/>
      <c r="I3073" s="47"/>
      <c r="J3073" s="47" t="s">
        <v>38</v>
      </c>
      <c r="K3073" s="221">
        <f>SUM(K3069:K3072)</f>
        <v>147.25360328352494</v>
      </c>
      <c r="L3073" s="47" t="s">
        <v>35</v>
      </c>
      <c r="M3073" s="25"/>
      <c r="N3073" s="26"/>
      <c r="O3073" s="2"/>
      <c r="P3073" s="27"/>
      <c r="Q3073" s="26"/>
      <c r="R3073" s="28"/>
    </row>
    <row r="3074" spans="1:18" ht="30" customHeight="1" x14ac:dyDescent="0.45">
      <c r="A3074" s="47"/>
      <c r="B3074" s="224"/>
      <c r="C3074" s="224"/>
      <c r="D3074" s="224"/>
      <c r="E3074" s="221"/>
      <c r="F3074" s="1011" t="s">
        <v>285</v>
      </c>
      <c r="G3074" s="1013" t="s">
        <v>286</v>
      </c>
      <c r="H3074" s="1013"/>
      <c r="I3074" s="1013"/>
      <c r="J3074" s="1013"/>
      <c r="K3074" s="278">
        <v>1.07</v>
      </c>
      <c r="L3074" s="47"/>
      <c r="M3074" s="25"/>
      <c r="N3074" s="26"/>
      <c r="O3074" s="2"/>
      <c r="P3074" s="27"/>
      <c r="Q3074" s="26"/>
      <c r="R3074" s="28"/>
    </row>
    <row r="3075" spans="1:18" ht="30" customHeight="1" x14ac:dyDescent="0.45">
      <c r="A3075" s="47"/>
      <c r="B3075" s="224"/>
      <c r="C3075" s="224"/>
      <c r="D3075" s="224"/>
      <c r="E3075" s="221"/>
      <c r="F3075" s="1012"/>
      <c r="G3075" s="1175" t="s">
        <v>580</v>
      </c>
      <c r="H3075" s="1086"/>
      <c r="I3075" s="1086"/>
      <c r="J3075" s="1087"/>
      <c r="K3075" s="278">
        <v>1.08</v>
      </c>
      <c r="L3075" s="47"/>
      <c r="M3075" s="25"/>
      <c r="N3075" s="26"/>
      <c r="O3075" s="2"/>
      <c r="P3075" s="27"/>
      <c r="Q3075" s="26"/>
      <c r="R3075" s="28"/>
    </row>
    <row r="3076" spans="1:18" ht="30" customHeight="1" x14ac:dyDescent="0.45">
      <c r="A3076" s="47"/>
      <c r="B3076" s="47"/>
      <c r="C3076" s="58"/>
      <c r="D3076" s="58"/>
      <c r="E3076" s="58"/>
      <c r="F3076" s="58"/>
      <c r="G3076" s="58"/>
      <c r="H3076" s="58"/>
      <c r="I3076" s="58"/>
      <c r="J3076" s="47" t="s">
        <v>39</v>
      </c>
      <c r="K3076" s="216">
        <f>+K3073*K3074/K3075</f>
        <v>145.89014399386267</v>
      </c>
      <c r="L3076" s="47" t="s">
        <v>35</v>
      </c>
      <c r="M3076" s="25"/>
      <c r="N3076" s="26"/>
      <c r="O3076" s="2"/>
      <c r="P3076" s="27"/>
      <c r="Q3076" s="26"/>
      <c r="R3076" s="28"/>
    </row>
    <row r="3077" spans="1:18" ht="30" customHeight="1" x14ac:dyDescent="0.45">
      <c r="A3077" s="47"/>
      <c r="B3077" s="47"/>
      <c r="C3077" s="58"/>
      <c r="D3077" s="58"/>
      <c r="E3077" s="58"/>
      <c r="F3077" s="58"/>
      <c r="G3077" s="1021" t="s">
        <v>288</v>
      </c>
      <c r="H3077" s="1022"/>
      <c r="I3077" s="1023"/>
      <c r="J3077" s="213">
        <f>VLOOKUP(B3067,'[1]Mil Cost Premiums for PUCs'!$A$4:$R$278,18,FALSE)</f>
        <v>1.1113659853696505</v>
      </c>
      <c r="K3077" s="216">
        <f>+K3076*J3077</f>
        <v>162.13734363545939</v>
      </c>
      <c r="L3077" s="47" t="s">
        <v>35</v>
      </c>
      <c r="M3077" s="25"/>
      <c r="N3077" s="26"/>
      <c r="O3077" s="2"/>
      <c r="P3077" s="27"/>
      <c r="Q3077" s="26"/>
      <c r="R3077" s="28"/>
    </row>
    <row r="3078" spans="1:18" ht="30" customHeight="1" x14ac:dyDescent="0.45">
      <c r="A3078" s="541"/>
      <c r="B3078" s="541"/>
      <c r="C3078" s="542"/>
      <c r="D3078" s="542"/>
      <c r="E3078" s="552"/>
      <c r="F3078" s="1024" t="s">
        <v>581</v>
      </c>
      <c r="G3078" s="1024"/>
      <c r="H3078" s="1024"/>
      <c r="I3078" s="1024"/>
      <c r="J3078" s="543">
        <v>1.0833999999999999</v>
      </c>
      <c r="K3078" s="363">
        <f>K3077*J3078</f>
        <v>175.6595980946567</v>
      </c>
      <c r="L3078" s="225" t="s">
        <v>35</v>
      </c>
      <c r="M3078" s="25"/>
      <c r="N3078" s="26"/>
      <c r="O3078" s="2"/>
      <c r="P3078" s="27"/>
      <c r="Q3078" s="26"/>
      <c r="R3078" s="28"/>
    </row>
    <row r="3079" spans="1:18" ht="30" customHeight="1" thickBot="1" x14ac:dyDescent="0.5">
      <c r="A3079" s="225"/>
      <c r="B3079" s="225"/>
      <c r="C3079" s="150"/>
      <c r="D3079" s="150"/>
      <c r="E3079" s="150"/>
      <c r="F3079" s="150"/>
      <c r="G3079" s="1025" t="s">
        <v>299</v>
      </c>
      <c r="H3079" s="1026"/>
      <c r="I3079" s="1027"/>
      <c r="J3079" s="226">
        <v>1.1214</v>
      </c>
      <c r="K3079" s="227">
        <f>+K3078*J3079</f>
        <v>196.98467330334802</v>
      </c>
      <c r="L3079" s="225" t="s">
        <v>35</v>
      </c>
      <c r="M3079" s="25"/>
    </row>
    <row r="3080" spans="1:18" ht="30" customHeight="1" thickBot="1" x14ac:dyDescent="0.5">
      <c r="A3080" s="999"/>
      <c r="B3080" s="1000"/>
      <c r="C3080" s="1000"/>
      <c r="D3080" s="1000"/>
      <c r="E3080" s="1000"/>
      <c r="F3080" s="1000"/>
      <c r="G3080" s="1000"/>
      <c r="H3080" s="1000"/>
      <c r="I3080" s="1000"/>
      <c r="J3080" s="1000"/>
      <c r="K3080" s="1000"/>
      <c r="L3080" s="1001"/>
      <c r="N3080" s="26"/>
      <c r="O3080" s="2"/>
      <c r="P3080" s="27"/>
      <c r="Q3080" s="26"/>
      <c r="R3080" s="28"/>
    </row>
    <row r="3081" spans="1:18" ht="30" customHeight="1" x14ac:dyDescent="0.45">
      <c r="A3081" s="9" t="s">
        <v>4</v>
      </c>
      <c r="B3081" s="10">
        <v>7343</v>
      </c>
      <c r="C3081" s="1002" t="s">
        <v>1704</v>
      </c>
      <c r="D3081" s="1003"/>
      <c r="E3081" s="13" t="s">
        <v>7</v>
      </c>
      <c r="F3081" s="14" t="s">
        <v>35</v>
      </c>
      <c r="G3081" s="11" t="s">
        <v>6</v>
      </c>
      <c r="H3081" s="12">
        <v>7927</v>
      </c>
      <c r="I3081" s="13" t="s">
        <v>9</v>
      </c>
      <c r="J3081" s="1155" t="s">
        <v>1705</v>
      </c>
      <c r="K3081" s="1156"/>
      <c r="L3081" s="1127"/>
      <c r="M3081" s="90"/>
      <c r="N3081" s="26"/>
      <c r="O3081" s="2"/>
      <c r="P3081" s="27"/>
      <c r="Q3081" s="26"/>
      <c r="R3081" s="28"/>
    </row>
    <row r="3082" spans="1:18" ht="30" customHeight="1" x14ac:dyDescent="0.45">
      <c r="A3082" s="19"/>
      <c r="B3082" s="1005" t="s">
        <v>12</v>
      </c>
      <c r="C3082" s="1005"/>
      <c r="D3082" s="1005"/>
      <c r="E3082" s="19" t="s">
        <v>13</v>
      </c>
      <c r="F3082" s="19" t="s">
        <v>14</v>
      </c>
      <c r="G3082" s="990" t="s">
        <v>15</v>
      </c>
      <c r="H3082" s="991"/>
      <c r="I3082" s="19" t="s">
        <v>59</v>
      </c>
      <c r="J3082" s="19" t="s">
        <v>60</v>
      </c>
      <c r="K3082" s="992" t="s">
        <v>39</v>
      </c>
      <c r="L3082" s="993"/>
      <c r="M3082" s="90"/>
      <c r="N3082" s="26"/>
      <c r="O3082" s="2"/>
      <c r="P3082" s="27"/>
      <c r="Q3082" s="26"/>
      <c r="R3082" s="28"/>
    </row>
    <row r="3083" spans="1:18" ht="30" customHeight="1" thickBot="1" x14ac:dyDescent="0.5">
      <c r="A3083" s="38"/>
      <c r="B3083" s="1065" t="str">
        <f>C3110</f>
        <v>Exchange Sales Facility</v>
      </c>
      <c r="C3083" s="1065"/>
      <c r="D3083" s="1065"/>
      <c r="E3083" s="350">
        <f>+K3121</f>
        <v>157.99709417377571</v>
      </c>
      <c r="F3083" s="105"/>
      <c r="G3083" s="1084"/>
      <c r="H3083" s="1085"/>
      <c r="I3083" s="105"/>
      <c r="J3083" s="106"/>
      <c r="K3083" s="108">
        <f>E3083</f>
        <v>157.99709417377571</v>
      </c>
      <c r="L3083" s="105" t="s">
        <v>35</v>
      </c>
      <c r="M3083" s="111"/>
      <c r="N3083" s="26"/>
      <c r="O3083" s="2"/>
      <c r="P3083" s="27"/>
      <c r="Q3083" s="26"/>
      <c r="R3083" s="28"/>
    </row>
    <row r="3084" spans="1:18" ht="30" customHeight="1" thickBot="1" x14ac:dyDescent="0.5">
      <c r="A3084" s="999"/>
      <c r="B3084" s="1000"/>
      <c r="C3084" s="1000"/>
      <c r="D3084" s="1000"/>
      <c r="E3084" s="1000"/>
      <c r="F3084" s="1000"/>
      <c r="G3084" s="1000"/>
      <c r="H3084" s="1000"/>
      <c r="I3084" s="1000"/>
      <c r="J3084" s="1000"/>
      <c r="K3084" s="1000"/>
      <c r="L3084" s="1001"/>
      <c r="M3084" s="149"/>
      <c r="N3084" s="685"/>
      <c r="O3084" s="2"/>
      <c r="P3084" s="27"/>
      <c r="Q3084" s="26"/>
      <c r="R3084" s="28"/>
    </row>
    <row r="3085" spans="1:18" ht="30" customHeight="1" x14ac:dyDescent="0.45">
      <c r="A3085" s="9" t="s">
        <v>4</v>
      </c>
      <c r="B3085" s="10">
        <v>7344</v>
      </c>
      <c r="C3085" s="983" t="s">
        <v>1706</v>
      </c>
      <c r="D3085" s="984"/>
      <c r="E3085" s="13" t="s">
        <v>7</v>
      </c>
      <c r="F3085" s="14" t="s">
        <v>35</v>
      </c>
      <c r="G3085" s="11" t="s">
        <v>6</v>
      </c>
      <c r="H3085" s="163">
        <v>5944.4151333333302</v>
      </c>
      <c r="I3085" s="13" t="s">
        <v>9</v>
      </c>
      <c r="J3085" s="985" t="s">
        <v>276</v>
      </c>
      <c r="K3085" s="985"/>
      <c r="L3085" s="986"/>
      <c r="M3085" s="25"/>
      <c r="N3085" s="26"/>
      <c r="O3085" s="2"/>
      <c r="P3085" s="27"/>
      <c r="Q3085" s="26"/>
      <c r="R3085" s="28"/>
    </row>
    <row r="3086" spans="1:18" ht="30" customHeight="1" x14ac:dyDescent="0.45">
      <c r="A3086" s="85" t="s">
        <v>277</v>
      </c>
      <c r="B3086" s="987" t="s">
        <v>293</v>
      </c>
      <c r="C3086" s="988"/>
      <c r="D3086" s="989"/>
      <c r="E3086" s="220" t="s">
        <v>13</v>
      </c>
      <c r="F3086" s="220" t="s">
        <v>14</v>
      </c>
      <c r="G3086" s="990" t="s">
        <v>15</v>
      </c>
      <c r="H3086" s="991"/>
      <c r="I3086" s="19" t="s">
        <v>1316</v>
      </c>
      <c r="J3086" s="19" t="s">
        <v>278</v>
      </c>
      <c r="K3086" s="992" t="s">
        <v>17</v>
      </c>
      <c r="L3086" s="993"/>
      <c r="M3086" s="25"/>
      <c r="N3086" s="26"/>
      <c r="O3086" s="2"/>
      <c r="P3086" s="27"/>
      <c r="Q3086" s="26"/>
      <c r="R3086" s="28"/>
    </row>
    <row r="3087" spans="1:18" ht="30" customHeight="1" x14ac:dyDescent="0.45">
      <c r="A3087" s="426" t="s">
        <v>1707</v>
      </c>
      <c r="B3087" s="1008" t="s">
        <v>1708</v>
      </c>
      <c r="C3087" s="1009"/>
      <c r="D3087" s="1010"/>
      <c r="E3087" s="221">
        <v>177</v>
      </c>
      <c r="F3087" s="56" t="s">
        <v>35</v>
      </c>
      <c r="G3087" s="348"/>
      <c r="H3087" s="349"/>
      <c r="I3087" s="58"/>
      <c r="J3087" s="47">
        <v>1.1200000000000001</v>
      </c>
      <c r="K3087" s="221">
        <f>+E3087*J3087</f>
        <v>198.24</v>
      </c>
      <c r="L3087" s="47" t="s">
        <v>35</v>
      </c>
      <c r="M3087" s="25"/>
      <c r="O3087" s="2"/>
      <c r="P3087" s="27"/>
      <c r="Q3087" s="26"/>
      <c r="R3087" s="28"/>
    </row>
    <row r="3088" spans="1:18" ht="30" customHeight="1" x14ac:dyDescent="0.45">
      <c r="A3088" s="642" t="s">
        <v>358</v>
      </c>
      <c r="B3088" s="1008" t="s">
        <v>1659</v>
      </c>
      <c r="C3088" s="1009"/>
      <c r="D3088" s="1010"/>
      <c r="E3088" s="221">
        <v>4.5599999999999996</v>
      </c>
      <c r="F3088" s="56" t="s">
        <v>35</v>
      </c>
      <c r="G3088" s="348"/>
      <c r="H3088" s="349"/>
      <c r="I3088" s="58"/>
      <c r="J3088" s="47">
        <v>1.1200000000000001</v>
      </c>
      <c r="K3088" s="221">
        <f>+E3088*J3088</f>
        <v>5.1071999999999997</v>
      </c>
      <c r="L3088" s="47" t="s">
        <v>35</v>
      </c>
      <c r="M3088" s="25"/>
      <c r="O3088" s="2"/>
      <c r="P3088" s="27"/>
      <c r="Q3088" s="26"/>
      <c r="R3088" s="28"/>
    </row>
    <row r="3089" spans="1:25" ht="30" customHeight="1" x14ac:dyDescent="0.45">
      <c r="A3089" s="642" t="s">
        <v>1121</v>
      </c>
      <c r="B3089" s="1018" t="s">
        <v>1709</v>
      </c>
      <c r="C3089" s="1019"/>
      <c r="D3089" s="1020"/>
      <c r="E3089" s="221">
        <v>30.5</v>
      </c>
      <c r="F3089" s="56" t="s">
        <v>35</v>
      </c>
      <c r="G3089" s="348">
        <v>200</v>
      </c>
      <c r="H3089" s="349" t="s">
        <v>1710</v>
      </c>
      <c r="I3089" s="686">
        <f>+E3089*G3089/H3085</f>
        <v>1.0261732841964935</v>
      </c>
      <c r="J3089" s="47">
        <v>1.1200000000000001</v>
      </c>
      <c r="K3089" s="221">
        <f>+I3089*J3089</f>
        <v>1.1493140783000728</v>
      </c>
      <c r="L3089" s="47" t="s">
        <v>35</v>
      </c>
      <c r="M3089" s="25"/>
      <c r="N3089" s="26"/>
      <c r="O3089" s="2"/>
      <c r="P3089" s="27"/>
      <c r="Q3089" s="26"/>
      <c r="R3089" s="28"/>
    </row>
    <row r="3090" spans="1:25" ht="30" customHeight="1" x14ac:dyDescent="0.45">
      <c r="A3090" s="47" t="s">
        <v>1050</v>
      </c>
      <c r="B3090" s="1018" t="s">
        <v>1325</v>
      </c>
      <c r="C3090" s="1019"/>
      <c r="D3090" s="1020"/>
      <c r="E3090" s="221">
        <f>(24+37.25)/2</f>
        <v>30.625</v>
      </c>
      <c r="F3090" s="222" t="s">
        <v>35</v>
      </c>
      <c r="G3090" s="42">
        <f>120*2</f>
        <v>240</v>
      </c>
      <c r="H3090" s="206" t="s">
        <v>479</v>
      </c>
      <c r="I3090" s="506">
        <f>+E3090*G3090/H3085</f>
        <v>1.2364546948924962</v>
      </c>
      <c r="J3090" s="47">
        <v>1.22</v>
      </c>
      <c r="K3090" s="378">
        <f>+I3090*J3090</f>
        <v>1.5084747277688453</v>
      </c>
      <c r="L3090" s="47" t="s">
        <v>35</v>
      </c>
      <c r="M3090" s="25"/>
      <c r="N3090" s="26"/>
      <c r="O3090" s="2"/>
      <c r="P3090" s="27"/>
      <c r="Q3090" s="26"/>
      <c r="R3090" s="28"/>
    </row>
    <row r="3091" spans="1:25" ht="30" customHeight="1" x14ac:dyDescent="0.45">
      <c r="A3091" s="47" t="s">
        <v>1050</v>
      </c>
      <c r="B3091" s="1018" t="s">
        <v>1326</v>
      </c>
      <c r="C3091" s="1019"/>
      <c r="D3091" s="1020"/>
      <c r="E3091" s="221">
        <f>(2020+2850)/2</f>
        <v>2435</v>
      </c>
      <c r="F3091" s="222" t="s">
        <v>88</v>
      </c>
      <c r="G3091" s="42"/>
      <c r="H3091" s="206"/>
      <c r="I3091" s="506">
        <f>2*E3091/H3085</f>
        <v>0.81925637607162671</v>
      </c>
      <c r="J3091" s="47">
        <v>1.22</v>
      </c>
      <c r="K3091" s="378">
        <f>+I3091*J3091</f>
        <v>0.99949277880738452</v>
      </c>
      <c r="L3091" s="47" t="s">
        <v>35</v>
      </c>
      <c r="M3091" s="25"/>
      <c r="N3091" s="26"/>
      <c r="O3091" s="2"/>
      <c r="P3091" s="27"/>
      <c r="Q3091" s="26"/>
      <c r="R3091" s="28"/>
    </row>
    <row r="3092" spans="1:25" ht="30" customHeight="1" x14ac:dyDescent="0.45">
      <c r="A3092" s="47"/>
      <c r="B3092" s="1030"/>
      <c r="C3092" s="1030"/>
      <c r="D3092" s="1030"/>
      <c r="E3092" s="221"/>
      <c r="F3092" s="47"/>
      <c r="G3092" s="47"/>
      <c r="H3092" s="47"/>
      <c r="I3092" s="47"/>
      <c r="J3092" s="47" t="s">
        <v>38</v>
      </c>
      <c r="K3092" s="221">
        <f>SUM(K3087:K3091)</f>
        <v>207.00448158487634</v>
      </c>
      <c r="L3092" s="47" t="s">
        <v>35</v>
      </c>
      <c r="M3092" s="25"/>
      <c r="N3092" s="26"/>
      <c r="O3092" s="2"/>
      <c r="P3092" s="27"/>
      <c r="Q3092" s="26"/>
      <c r="R3092" s="28"/>
    </row>
    <row r="3093" spans="1:25" ht="30" customHeight="1" x14ac:dyDescent="0.45">
      <c r="A3093" s="47"/>
      <c r="B3093" s="224"/>
      <c r="C3093" s="224"/>
      <c r="D3093" s="224"/>
      <c r="E3093" s="221"/>
      <c r="F3093" s="1011" t="s">
        <v>285</v>
      </c>
      <c r="G3093" s="1013" t="s">
        <v>286</v>
      </c>
      <c r="H3093" s="1013"/>
      <c r="I3093" s="1013"/>
      <c r="J3093" s="1013"/>
      <c r="K3093" s="278">
        <v>1.06</v>
      </c>
      <c r="L3093" s="47"/>
      <c r="M3093" s="25"/>
      <c r="N3093" s="3"/>
      <c r="O3093" s="2"/>
      <c r="P3093" s="27"/>
      <c r="Q3093" s="26"/>
      <c r="R3093" s="28"/>
    </row>
    <row r="3094" spans="1:25" ht="30" customHeight="1" x14ac:dyDescent="0.45">
      <c r="A3094" s="47"/>
      <c r="B3094" s="224"/>
      <c r="C3094" s="224"/>
      <c r="D3094" s="224"/>
      <c r="E3094" s="221"/>
      <c r="F3094" s="1012"/>
      <c r="G3094" s="1175" t="s">
        <v>287</v>
      </c>
      <c r="H3094" s="1086"/>
      <c r="I3094" s="1086"/>
      <c r="J3094" s="1087"/>
      <c r="K3094" s="278">
        <v>1.05</v>
      </c>
      <c r="L3094" s="47"/>
      <c r="N3094" s="3"/>
      <c r="O3094" s="2"/>
      <c r="P3094" s="27"/>
      <c r="Q3094" s="26"/>
      <c r="R3094" s="28"/>
    </row>
    <row r="3095" spans="1:25" ht="30" customHeight="1" x14ac:dyDescent="0.45">
      <c r="A3095" s="47"/>
      <c r="B3095" s="47"/>
      <c r="C3095" s="58"/>
      <c r="D3095" s="58"/>
      <c r="E3095" s="58"/>
      <c r="F3095" s="58"/>
      <c r="G3095" s="58"/>
      <c r="H3095" s="58"/>
      <c r="I3095" s="58"/>
      <c r="J3095" s="47" t="s">
        <v>39</v>
      </c>
      <c r="K3095" s="216">
        <f>+K3092*K3093/K3094</f>
        <v>208.97595283806564</v>
      </c>
      <c r="L3095" s="47" t="s">
        <v>35</v>
      </c>
      <c r="M3095" s="25"/>
      <c r="N3095" s="26"/>
      <c r="O3095" s="2"/>
      <c r="P3095" s="27"/>
      <c r="Q3095" s="26"/>
      <c r="R3095" s="28"/>
    </row>
    <row r="3096" spans="1:25" ht="30" customHeight="1" thickBot="1" x14ac:dyDescent="0.5">
      <c r="A3096" s="47"/>
      <c r="B3096" s="47"/>
      <c r="C3096" s="58"/>
      <c r="D3096" s="58"/>
      <c r="E3096" s="58"/>
      <c r="F3096" s="58"/>
      <c r="G3096" s="1226" t="s">
        <v>288</v>
      </c>
      <c r="H3096" s="1227"/>
      <c r="I3096" s="1228"/>
      <c r="J3096" s="213">
        <f>VLOOKUP(B3085,'[1]Mil Cost Premiums for PUCs'!$A$4:$R$278,18,FALSE)</f>
        <v>1.3319480854780448</v>
      </c>
      <c r="K3096" s="216">
        <f>+K3095*J3096</f>
        <v>278.34512029361173</v>
      </c>
      <c r="L3096" s="47" t="s">
        <v>35</v>
      </c>
      <c r="M3096" s="25"/>
      <c r="N3096" s="26"/>
      <c r="O3096" s="2"/>
      <c r="P3096" s="27"/>
      <c r="Q3096" s="26"/>
      <c r="R3096" s="28"/>
    </row>
    <row r="3097" spans="1:25" ht="30" customHeight="1" thickBot="1" x14ac:dyDescent="0.5">
      <c r="A3097" s="999"/>
      <c r="B3097" s="1000"/>
      <c r="C3097" s="1000"/>
      <c r="D3097" s="1000"/>
      <c r="E3097" s="1000"/>
      <c r="F3097" s="1000"/>
      <c r="G3097" s="1000"/>
      <c r="H3097" s="1000"/>
      <c r="I3097" s="1000"/>
      <c r="J3097" s="1000"/>
      <c r="K3097" s="1000"/>
      <c r="L3097" s="1001"/>
      <c r="M3097" s="25"/>
      <c r="N3097" s="26"/>
      <c r="O3097" s="2"/>
      <c r="P3097" s="27"/>
      <c r="Q3097" s="26"/>
      <c r="R3097" s="28"/>
      <c r="T3097" s="18"/>
    </row>
    <row r="3098" spans="1:25" ht="30" customHeight="1" x14ac:dyDescent="0.45">
      <c r="A3098" s="93" t="s">
        <v>4</v>
      </c>
      <c r="B3098" s="76">
        <v>7345</v>
      </c>
      <c r="C3098" s="1073" t="s">
        <v>1711</v>
      </c>
      <c r="D3098" s="1074"/>
      <c r="E3098" s="94" t="s">
        <v>7</v>
      </c>
      <c r="F3098" s="95" t="s">
        <v>35</v>
      </c>
      <c r="G3098" s="102" t="s">
        <v>6</v>
      </c>
      <c r="H3098" s="687">
        <v>4346</v>
      </c>
      <c r="I3098" s="94" t="s">
        <v>9</v>
      </c>
      <c r="J3098" s="1004" t="s">
        <v>575</v>
      </c>
      <c r="K3098" s="1004"/>
      <c r="L3098" s="1004"/>
      <c r="M3098" s="25"/>
      <c r="N3098" s="26"/>
      <c r="U3098" s="18"/>
      <c r="V3098" s="18"/>
      <c r="W3098" s="18"/>
      <c r="X3098" s="18"/>
    </row>
    <row r="3099" spans="1:25" ht="30" customHeight="1" x14ac:dyDescent="0.45">
      <c r="A3099" s="85" t="s">
        <v>277</v>
      </c>
      <c r="B3099" s="987" t="s">
        <v>293</v>
      </c>
      <c r="C3099" s="988"/>
      <c r="D3099" s="989"/>
      <c r="E3099" s="220" t="s">
        <v>13</v>
      </c>
      <c r="F3099" s="220" t="s">
        <v>14</v>
      </c>
      <c r="G3099" s="1006" t="s">
        <v>15</v>
      </c>
      <c r="H3099" s="1006"/>
      <c r="I3099" s="19" t="s">
        <v>278</v>
      </c>
      <c r="J3099" s="19"/>
      <c r="K3099" s="85" t="s">
        <v>17</v>
      </c>
      <c r="L3099" s="85"/>
      <c r="M3099" s="90"/>
      <c r="N3099" s="26"/>
      <c r="O3099" s="5"/>
      <c r="P3099" s="18"/>
      <c r="Q3099" s="18"/>
      <c r="R3099" s="18"/>
      <c r="S3099" s="18"/>
      <c r="T3099" s="90"/>
      <c r="Y3099" s="18"/>
    </row>
    <row r="3100" spans="1:25" ht="30" customHeight="1" x14ac:dyDescent="0.45">
      <c r="A3100" s="426" t="s">
        <v>1712</v>
      </c>
      <c r="B3100" s="1008" t="s">
        <v>1713</v>
      </c>
      <c r="C3100" s="1009"/>
      <c r="D3100" s="1010"/>
      <c r="E3100" s="221">
        <v>133</v>
      </c>
      <c r="F3100" s="56" t="s">
        <v>35</v>
      </c>
      <c r="G3100" s="47"/>
      <c r="H3100" s="47"/>
      <c r="I3100" s="47">
        <v>1.05</v>
      </c>
      <c r="J3100" s="47"/>
      <c r="K3100" s="221">
        <f>+E3100*I3100</f>
        <v>139.65</v>
      </c>
      <c r="L3100" s="47" t="s">
        <v>35</v>
      </c>
      <c r="M3100" s="90"/>
      <c r="N3100" s="26"/>
      <c r="T3100" s="41"/>
    </row>
    <row r="3101" spans="1:25" ht="30" customHeight="1" x14ac:dyDescent="0.45">
      <c r="A3101" s="642" t="s">
        <v>358</v>
      </c>
      <c r="B3101" s="1008" t="s">
        <v>1659</v>
      </c>
      <c r="C3101" s="1009"/>
      <c r="D3101" s="1010"/>
      <c r="E3101" s="221">
        <v>3.71</v>
      </c>
      <c r="F3101" s="56" t="s">
        <v>35</v>
      </c>
      <c r="G3101" s="47"/>
      <c r="H3101" s="47"/>
      <c r="I3101" s="47">
        <v>1.05</v>
      </c>
      <c r="J3101" s="47"/>
      <c r="K3101" s="221">
        <f>+E3101*I3101</f>
        <v>3.8955000000000002</v>
      </c>
      <c r="L3101" s="47" t="s">
        <v>35</v>
      </c>
      <c r="M3101" s="90"/>
      <c r="N3101" s="26"/>
    </row>
    <row r="3102" spans="1:25" s="18" customFormat="1" ht="30" customHeight="1" x14ac:dyDescent="0.45">
      <c r="A3102" s="47"/>
      <c r="B3102" s="1030"/>
      <c r="C3102" s="1030"/>
      <c r="D3102" s="1030"/>
      <c r="E3102" s="221"/>
      <c r="F3102" s="47"/>
      <c r="G3102" s="47"/>
      <c r="H3102" s="47"/>
      <c r="I3102" s="47"/>
      <c r="J3102" s="47" t="s">
        <v>38</v>
      </c>
      <c r="K3102" s="221">
        <f>SUM(K3100:K3101)</f>
        <v>143.5455</v>
      </c>
      <c r="L3102" s="47" t="s">
        <v>35</v>
      </c>
      <c r="M3102" s="90"/>
      <c r="N3102" s="26"/>
      <c r="O3102" s="3"/>
      <c r="P3102" s="2"/>
      <c r="Q3102" s="2"/>
      <c r="R3102" s="2"/>
      <c r="S3102" s="90"/>
      <c r="T3102" s="2"/>
      <c r="U3102" s="2"/>
      <c r="V3102" s="2"/>
      <c r="W3102" s="2"/>
      <c r="X3102" s="2"/>
      <c r="Y3102" s="2"/>
    </row>
    <row r="3103" spans="1:25" ht="30" customHeight="1" x14ac:dyDescent="0.45">
      <c r="A3103" s="47"/>
      <c r="B3103" s="224"/>
      <c r="C3103" s="224"/>
      <c r="D3103" s="224"/>
      <c r="E3103" s="221"/>
      <c r="F3103" s="1011" t="s">
        <v>285</v>
      </c>
      <c r="G3103" s="1013" t="s">
        <v>286</v>
      </c>
      <c r="H3103" s="1013"/>
      <c r="I3103" s="1013"/>
      <c r="J3103" s="1013"/>
      <c r="K3103" s="278">
        <v>1.07</v>
      </c>
      <c r="L3103" s="47"/>
      <c r="M3103" s="90"/>
      <c r="N3103" s="26"/>
      <c r="S3103" s="41"/>
    </row>
    <row r="3104" spans="1:25" ht="30" customHeight="1" x14ac:dyDescent="0.45">
      <c r="A3104" s="47"/>
      <c r="B3104" s="224"/>
      <c r="C3104" s="224"/>
      <c r="D3104" s="224"/>
      <c r="E3104" s="221"/>
      <c r="F3104" s="1012"/>
      <c r="G3104" s="1175" t="s">
        <v>580</v>
      </c>
      <c r="H3104" s="1086"/>
      <c r="I3104" s="1086"/>
      <c r="J3104" s="1087"/>
      <c r="K3104" s="278">
        <v>1.08</v>
      </c>
      <c r="L3104" s="47"/>
      <c r="M3104" s="25"/>
      <c r="O3104" s="2"/>
      <c r="P3104" s="27"/>
      <c r="Q3104" s="26"/>
      <c r="R3104" s="28"/>
    </row>
    <row r="3105" spans="1:24" ht="30" customHeight="1" x14ac:dyDescent="0.45">
      <c r="A3105" s="47"/>
      <c r="B3105" s="47"/>
      <c r="C3105" s="58"/>
      <c r="D3105" s="58"/>
      <c r="E3105" s="58"/>
      <c r="F3105" s="58"/>
      <c r="G3105" s="58"/>
      <c r="H3105" s="58"/>
      <c r="I3105" s="58"/>
      <c r="J3105" s="47" t="s">
        <v>39</v>
      </c>
      <c r="K3105" s="216">
        <f>+K3102*K3103/K3104</f>
        <v>142.216375</v>
      </c>
      <c r="L3105" s="47" t="s">
        <v>35</v>
      </c>
      <c r="M3105" s="25"/>
      <c r="O3105" s="2"/>
      <c r="P3105" s="27"/>
      <c r="Q3105" s="26"/>
      <c r="R3105" s="28"/>
    </row>
    <row r="3106" spans="1:24" ht="30" customHeight="1" x14ac:dyDescent="0.45">
      <c r="A3106" s="47"/>
      <c r="B3106" s="47"/>
      <c r="C3106" s="58"/>
      <c r="D3106" s="58"/>
      <c r="E3106" s="58"/>
      <c r="F3106" s="58"/>
      <c r="G3106" s="1021" t="s">
        <v>288</v>
      </c>
      <c r="H3106" s="1022"/>
      <c r="I3106" s="1023"/>
      <c r="J3106" s="213">
        <f>VLOOKUP(B3098,'[1]Mil Cost Premiums for PUCs'!$A$4:$R$278,18,FALSE)</f>
        <v>1.1651974763252515</v>
      </c>
      <c r="K3106" s="216">
        <f>+K3105*J3106</f>
        <v>165.71016124212559</v>
      </c>
      <c r="L3106" s="47" t="s">
        <v>35</v>
      </c>
      <c r="M3106" s="25"/>
      <c r="N3106" s="229"/>
      <c r="O3106" s="2"/>
      <c r="P3106" s="27"/>
      <c r="Q3106" s="26"/>
      <c r="R3106" s="28"/>
    </row>
    <row r="3107" spans="1:24" ht="30" customHeight="1" x14ac:dyDescent="0.45">
      <c r="A3107" s="541"/>
      <c r="B3107" s="541"/>
      <c r="C3107" s="542"/>
      <c r="D3107" s="542"/>
      <c r="E3107" s="552"/>
      <c r="G3107" s="1239" t="s">
        <v>581</v>
      </c>
      <c r="H3107" s="1086"/>
      <c r="I3107" s="1240"/>
      <c r="J3107" s="543">
        <v>1.0833999999999999</v>
      </c>
      <c r="K3107" s="363">
        <f>K3106*J3107</f>
        <v>179.53038868971885</v>
      </c>
      <c r="L3107" s="225" t="s">
        <v>35</v>
      </c>
      <c r="M3107" s="25"/>
      <c r="N3107" s="229"/>
      <c r="O3107" s="2"/>
      <c r="P3107" s="27"/>
      <c r="Q3107" s="26"/>
      <c r="R3107" s="28"/>
    </row>
    <row r="3108" spans="1:24" ht="30" customHeight="1" thickBot="1" x14ac:dyDescent="0.5">
      <c r="A3108" s="225"/>
      <c r="B3108" s="225"/>
      <c r="C3108" s="150"/>
      <c r="D3108" s="150"/>
      <c r="E3108" s="150"/>
      <c r="F3108" s="150"/>
      <c r="G3108" s="1025" t="s">
        <v>299</v>
      </c>
      <c r="H3108" s="1026"/>
      <c r="I3108" s="1027"/>
      <c r="J3108" s="226">
        <v>1.1214</v>
      </c>
      <c r="K3108" s="227">
        <f>+K3107*J3108</f>
        <v>201.32537787665072</v>
      </c>
      <c r="L3108" s="225" t="s">
        <v>35</v>
      </c>
      <c r="M3108" s="25"/>
    </row>
    <row r="3109" spans="1:24" ht="30" customHeight="1" thickBot="1" x14ac:dyDescent="0.5">
      <c r="A3109" s="999"/>
      <c r="B3109" s="1000"/>
      <c r="C3109" s="1000"/>
      <c r="D3109" s="1000"/>
      <c r="E3109" s="1000"/>
      <c r="F3109" s="1000"/>
      <c r="G3109" s="1000"/>
      <c r="H3109" s="1000"/>
      <c r="I3109" s="1000"/>
      <c r="J3109" s="1000"/>
      <c r="K3109" s="1000"/>
      <c r="L3109" s="1001"/>
      <c r="M3109" s="25"/>
      <c r="O3109" s="2"/>
      <c r="P3109" s="27"/>
      <c r="Q3109" s="26"/>
      <c r="R3109" s="28"/>
    </row>
    <row r="3110" spans="1:24" ht="30" customHeight="1" x14ac:dyDescent="0.45">
      <c r="A3110" s="9" t="s">
        <v>4</v>
      </c>
      <c r="B3110" s="10">
        <v>7346</v>
      </c>
      <c r="C3110" s="1002" t="s">
        <v>1714</v>
      </c>
      <c r="D3110" s="1003"/>
      <c r="E3110" s="13" t="s">
        <v>7</v>
      </c>
      <c r="F3110" s="14" t="s">
        <v>35</v>
      </c>
      <c r="G3110" s="11" t="s">
        <v>6</v>
      </c>
      <c r="H3110" s="163">
        <v>17135.617136528301</v>
      </c>
      <c r="I3110" s="13" t="s">
        <v>9</v>
      </c>
      <c r="J3110" s="985" t="s">
        <v>276</v>
      </c>
      <c r="K3110" s="985"/>
      <c r="L3110" s="986"/>
      <c r="M3110" s="25"/>
      <c r="O3110" s="2"/>
      <c r="P3110" s="27"/>
      <c r="Q3110" s="26"/>
      <c r="R3110" s="28"/>
    </row>
    <row r="3111" spans="1:24" ht="30" customHeight="1" x14ac:dyDescent="0.45">
      <c r="A3111" s="85" t="s">
        <v>277</v>
      </c>
      <c r="B3111" s="987" t="s">
        <v>293</v>
      </c>
      <c r="C3111" s="988"/>
      <c r="D3111" s="989"/>
      <c r="E3111" s="220" t="s">
        <v>13</v>
      </c>
      <c r="F3111" s="220" t="s">
        <v>14</v>
      </c>
      <c r="G3111" s="990" t="s">
        <v>15</v>
      </c>
      <c r="H3111" s="991"/>
      <c r="I3111" s="19" t="s">
        <v>1316</v>
      </c>
      <c r="J3111" s="19" t="s">
        <v>278</v>
      </c>
      <c r="K3111" s="992" t="s">
        <v>17</v>
      </c>
      <c r="L3111" s="993"/>
      <c r="N3111" s="229"/>
      <c r="O3111" s="2"/>
      <c r="P3111" s="27"/>
      <c r="Q3111" s="26"/>
      <c r="R3111" s="28"/>
    </row>
    <row r="3112" spans="1:24" ht="30" customHeight="1" x14ac:dyDescent="0.45">
      <c r="A3112" s="426" t="s">
        <v>1694</v>
      </c>
      <c r="B3112" s="1008" t="s">
        <v>1715</v>
      </c>
      <c r="C3112" s="1009"/>
      <c r="D3112" s="1010"/>
      <c r="E3112" s="221">
        <v>111</v>
      </c>
      <c r="F3112" s="56" t="s">
        <v>35</v>
      </c>
      <c r="G3112" s="348"/>
      <c r="H3112" s="349"/>
      <c r="I3112" s="58"/>
      <c r="J3112" s="365">
        <v>1.1000000000000001</v>
      </c>
      <c r="K3112" s="221">
        <f>+E3112*J3112</f>
        <v>122.10000000000001</v>
      </c>
      <c r="L3112" s="47" t="s">
        <v>35</v>
      </c>
      <c r="M3112" s="25"/>
      <c r="N3112" s="26"/>
      <c r="O3112" s="2"/>
      <c r="P3112" s="27"/>
      <c r="Q3112" s="26"/>
      <c r="R3112" s="28"/>
    </row>
    <row r="3113" spans="1:24" ht="30" customHeight="1" x14ac:dyDescent="0.45">
      <c r="A3113" s="676" t="s">
        <v>1466</v>
      </c>
      <c r="B3113" s="1008" t="s">
        <v>398</v>
      </c>
      <c r="C3113" s="1009"/>
      <c r="D3113" s="1009"/>
      <c r="E3113" s="221">
        <v>4.38</v>
      </c>
      <c r="F3113" s="56" t="s">
        <v>35</v>
      </c>
      <c r="G3113" s="348"/>
      <c r="H3113" s="349"/>
      <c r="I3113" s="58"/>
      <c r="J3113" s="365">
        <v>1.1000000000000001</v>
      </c>
      <c r="K3113" s="221">
        <f>+E3113*J3113</f>
        <v>4.8180000000000005</v>
      </c>
      <c r="L3113" s="47" t="s">
        <v>35</v>
      </c>
      <c r="M3113" s="25"/>
      <c r="N3113" s="144"/>
      <c r="O3113" s="2"/>
      <c r="P3113" s="27"/>
      <c r="Q3113" s="26"/>
      <c r="R3113" s="28"/>
    </row>
    <row r="3114" spans="1:24" ht="30" customHeight="1" x14ac:dyDescent="0.45">
      <c r="A3114" s="47" t="s">
        <v>1050</v>
      </c>
      <c r="B3114" s="1018" t="s">
        <v>1210</v>
      </c>
      <c r="C3114" s="1019"/>
      <c r="D3114" s="1020"/>
      <c r="E3114" s="221">
        <f>(24+37.25)/2</f>
        <v>30.625</v>
      </c>
      <c r="F3114" s="222" t="s">
        <v>35</v>
      </c>
      <c r="G3114" s="42">
        <f>120*4</f>
        <v>480</v>
      </c>
      <c r="H3114" s="206" t="s">
        <v>479</v>
      </c>
      <c r="I3114" s="506">
        <f>+E3114*G3114/H3110</f>
        <v>0.857862304163166</v>
      </c>
      <c r="J3114" s="47">
        <v>1.22</v>
      </c>
      <c r="K3114" s="378">
        <f>+I3114*J3114</f>
        <v>1.0465920110790625</v>
      </c>
      <c r="L3114" s="47" t="s">
        <v>35</v>
      </c>
      <c r="M3114" s="25"/>
      <c r="O3114" s="2"/>
      <c r="P3114" s="27"/>
      <c r="Q3114" s="26"/>
      <c r="R3114" s="28"/>
    </row>
    <row r="3115" spans="1:24" ht="30" customHeight="1" x14ac:dyDescent="0.45">
      <c r="A3115" s="47" t="s">
        <v>1050</v>
      </c>
      <c r="B3115" s="1018" t="s">
        <v>1211</v>
      </c>
      <c r="C3115" s="1019"/>
      <c r="D3115" s="1020"/>
      <c r="E3115" s="221">
        <f>(2020+2850)/2</f>
        <v>2435</v>
      </c>
      <c r="F3115" s="222" t="s">
        <v>88</v>
      </c>
      <c r="G3115" s="42"/>
      <c r="H3115" s="206"/>
      <c r="I3115" s="506">
        <f>4*E3115/H3110</f>
        <v>0.56840672398294123</v>
      </c>
      <c r="J3115" s="47">
        <v>1.22</v>
      </c>
      <c r="K3115" s="378">
        <f>+I3115*J3115</f>
        <v>0.69345620325918833</v>
      </c>
      <c r="L3115" s="47" t="s">
        <v>35</v>
      </c>
      <c r="M3115" s="25"/>
      <c r="O3115" s="2"/>
      <c r="P3115" s="27"/>
      <c r="Q3115" s="26"/>
      <c r="R3115" s="28"/>
    </row>
    <row r="3116" spans="1:24" ht="30" customHeight="1" x14ac:dyDescent="0.45">
      <c r="A3116" s="47" t="s">
        <v>1055</v>
      </c>
      <c r="B3116" s="1018" t="s">
        <v>1203</v>
      </c>
      <c r="C3116" s="1019"/>
      <c r="D3116" s="1020"/>
      <c r="E3116" s="221">
        <v>72.38</v>
      </c>
      <c r="F3116" s="222" t="s">
        <v>113</v>
      </c>
      <c r="G3116" s="42">
        <f>4*10</f>
        <v>40</v>
      </c>
      <c r="H3116" s="206" t="s">
        <v>1204</v>
      </c>
      <c r="I3116" s="506">
        <f>+E3116*G3116/H3110</f>
        <v>0.16895802333423116</v>
      </c>
      <c r="J3116" s="47">
        <v>1.1200000000000001</v>
      </c>
      <c r="K3116" s="378">
        <f>+I3116*J3116</f>
        <v>0.18923298613433892</v>
      </c>
      <c r="L3116" s="47" t="s">
        <v>35</v>
      </c>
      <c r="M3116" s="121"/>
      <c r="O3116" s="2"/>
      <c r="P3116" s="27"/>
      <c r="Q3116" s="26"/>
      <c r="R3116" s="28"/>
    </row>
    <row r="3117" spans="1:24" ht="30" customHeight="1" x14ac:dyDescent="0.45">
      <c r="A3117" s="642"/>
      <c r="B3117" s="1030"/>
      <c r="C3117" s="1030"/>
      <c r="D3117" s="1030"/>
      <c r="E3117" s="221"/>
      <c r="F3117" s="47"/>
      <c r="G3117" s="47"/>
      <c r="H3117" s="47"/>
      <c r="I3117" s="47"/>
      <c r="J3117" s="47" t="s">
        <v>38</v>
      </c>
      <c r="K3117" s="221">
        <f>SUM(K3112:K3116)</f>
        <v>128.84728120047257</v>
      </c>
      <c r="L3117" s="47" t="s">
        <v>35</v>
      </c>
      <c r="M3117" s="25"/>
      <c r="N3117" s="186"/>
      <c r="O3117" s="2"/>
      <c r="P3117" s="27"/>
      <c r="Q3117" s="26"/>
      <c r="R3117" s="28"/>
    </row>
    <row r="3118" spans="1:24" ht="30" customHeight="1" x14ac:dyDescent="0.45">
      <c r="A3118" s="47"/>
      <c r="B3118" s="224"/>
      <c r="C3118" s="224"/>
      <c r="D3118" s="224"/>
      <c r="E3118" s="221"/>
      <c r="F3118" s="1011" t="s">
        <v>285</v>
      </c>
      <c r="G3118" s="1013" t="s">
        <v>286</v>
      </c>
      <c r="H3118" s="1013"/>
      <c r="I3118" s="1013"/>
      <c r="J3118" s="1013"/>
      <c r="K3118" s="278">
        <v>1.06</v>
      </c>
      <c r="L3118" s="47"/>
      <c r="M3118" s="688"/>
      <c r="N3118" s="26"/>
      <c r="O3118" s="2"/>
      <c r="P3118" s="27"/>
      <c r="Q3118" s="26"/>
      <c r="R3118" s="28"/>
    </row>
    <row r="3119" spans="1:24" ht="30" customHeight="1" x14ac:dyDescent="0.45">
      <c r="A3119" s="47"/>
      <c r="B3119" s="224"/>
      <c r="C3119" s="224"/>
      <c r="D3119" s="224"/>
      <c r="E3119" s="221"/>
      <c r="F3119" s="1012"/>
      <c r="G3119" s="1175" t="s">
        <v>287</v>
      </c>
      <c r="H3119" s="1086"/>
      <c r="I3119" s="1086"/>
      <c r="J3119" s="1087"/>
      <c r="K3119" s="278">
        <v>1.05</v>
      </c>
      <c r="L3119" s="47"/>
      <c r="M3119" s="25"/>
      <c r="N3119" s="101"/>
      <c r="O3119" s="2"/>
      <c r="P3119" s="27"/>
      <c r="Q3119" s="26"/>
      <c r="R3119" s="28"/>
      <c r="U3119" s="18"/>
      <c r="V3119" s="18"/>
      <c r="W3119" s="18"/>
      <c r="X3119" s="18"/>
    </row>
    <row r="3120" spans="1:24" ht="30" customHeight="1" x14ac:dyDescent="0.45">
      <c r="A3120" s="47"/>
      <c r="B3120" s="47"/>
      <c r="C3120" s="58"/>
      <c r="D3120" s="58"/>
      <c r="E3120" s="58"/>
      <c r="F3120" s="58"/>
      <c r="G3120" s="58"/>
      <c r="H3120" s="58"/>
      <c r="I3120" s="58"/>
      <c r="J3120" s="47" t="s">
        <v>39</v>
      </c>
      <c r="K3120" s="216">
        <f>+K3117*K3118/K3119</f>
        <v>130.07439816428661</v>
      </c>
      <c r="L3120" s="47" t="s">
        <v>35</v>
      </c>
      <c r="M3120" s="25"/>
      <c r="N3120" s="26"/>
      <c r="O3120" s="5"/>
      <c r="P3120" s="18"/>
      <c r="Q3120" s="18"/>
      <c r="R3120" s="18"/>
      <c r="S3120" s="18"/>
      <c r="U3120" s="18"/>
      <c r="V3120" s="18"/>
      <c r="W3120" s="18"/>
      <c r="X3120" s="18"/>
    </row>
    <row r="3121" spans="1:25" ht="30" customHeight="1" thickBot="1" x14ac:dyDescent="0.5">
      <c r="A3121" s="47"/>
      <c r="B3121" s="47"/>
      <c r="C3121" s="58"/>
      <c r="D3121" s="58"/>
      <c r="E3121" s="58"/>
      <c r="F3121" s="58"/>
      <c r="G3121" s="1236" t="s">
        <v>288</v>
      </c>
      <c r="H3121" s="1237"/>
      <c r="I3121" s="1238"/>
      <c r="J3121" s="213">
        <f>VLOOKUP(B3110,'[1]Mil Cost Premiums for PUCs'!$A$4:$R$278,18,FALSE)</f>
        <v>1.2146671166928804</v>
      </c>
      <c r="K3121" s="216">
        <f>+K3120*J3121</f>
        <v>157.99709417377571</v>
      </c>
      <c r="L3121" s="47" t="s">
        <v>35</v>
      </c>
      <c r="M3121" s="25"/>
      <c r="N3121" s="112"/>
      <c r="T3121" s="90"/>
      <c r="Y3121" s="18"/>
    </row>
    <row r="3122" spans="1:25" ht="30" customHeight="1" thickBot="1" x14ac:dyDescent="0.5">
      <c r="A3122" s="999"/>
      <c r="B3122" s="1000"/>
      <c r="C3122" s="1000"/>
      <c r="D3122" s="1000"/>
      <c r="E3122" s="1000"/>
      <c r="F3122" s="1000"/>
      <c r="G3122" s="1000"/>
      <c r="H3122" s="1000"/>
      <c r="I3122" s="1000"/>
      <c r="J3122" s="1000"/>
      <c r="K3122" s="1000"/>
      <c r="L3122" s="1001"/>
      <c r="M3122" s="25"/>
      <c r="N3122" s="689"/>
      <c r="T3122" s="41"/>
    </row>
    <row r="3123" spans="1:25" ht="30" customHeight="1" x14ac:dyDescent="0.45">
      <c r="A3123" s="9" t="s">
        <v>4</v>
      </c>
      <c r="B3123" s="10">
        <v>7347</v>
      </c>
      <c r="C3123" s="983" t="s">
        <v>1716</v>
      </c>
      <c r="D3123" s="984"/>
      <c r="E3123" s="13" t="s">
        <v>7</v>
      </c>
      <c r="F3123" s="14" t="s">
        <v>35</v>
      </c>
      <c r="G3123" s="11" t="s">
        <v>6</v>
      </c>
      <c r="H3123" s="163">
        <v>4975.4204724409401</v>
      </c>
      <c r="I3123" s="13" t="s">
        <v>9</v>
      </c>
      <c r="J3123" s="985" t="s">
        <v>276</v>
      </c>
      <c r="K3123" s="985"/>
      <c r="L3123" s="986"/>
      <c r="M3123" s="25"/>
      <c r="O3123" s="2"/>
      <c r="P3123" s="27"/>
      <c r="Q3123" s="26"/>
      <c r="R3123" s="28"/>
    </row>
    <row r="3124" spans="1:25" ht="30" customHeight="1" x14ac:dyDescent="0.45">
      <c r="A3124" s="85" t="s">
        <v>277</v>
      </c>
      <c r="B3124" s="987" t="s">
        <v>293</v>
      </c>
      <c r="C3124" s="988"/>
      <c r="D3124" s="989"/>
      <c r="E3124" s="220" t="s">
        <v>13</v>
      </c>
      <c r="F3124" s="220" t="s">
        <v>14</v>
      </c>
      <c r="G3124" s="990" t="s">
        <v>15</v>
      </c>
      <c r="H3124" s="991"/>
      <c r="I3124" s="19" t="s">
        <v>1316</v>
      </c>
      <c r="J3124" s="19" t="s">
        <v>278</v>
      </c>
      <c r="K3124" s="992" t="s">
        <v>17</v>
      </c>
      <c r="L3124" s="993"/>
      <c r="M3124" s="25"/>
      <c r="O3124" s="2"/>
      <c r="P3124" s="27"/>
      <c r="Q3124" s="26"/>
      <c r="R3124" s="28"/>
    </row>
    <row r="3125" spans="1:25" ht="30" customHeight="1" x14ac:dyDescent="0.45">
      <c r="A3125" s="426" t="s">
        <v>1717</v>
      </c>
      <c r="B3125" s="1018" t="s">
        <v>1718</v>
      </c>
      <c r="C3125" s="1019"/>
      <c r="D3125" s="1020"/>
      <c r="E3125" s="221">
        <f>217-3.21</f>
        <v>213.79</v>
      </c>
      <c r="F3125" s="56" t="s">
        <v>35</v>
      </c>
      <c r="G3125" s="348"/>
      <c r="H3125" s="349"/>
      <c r="I3125" s="58"/>
      <c r="J3125" s="47">
        <v>1.1200000000000001</v>
      </c>
      <c r="K3125" s="221">
        <f>+E3125*J3125</f>
        <v>239.44480000000001</v>
      </c>
      <c r="L3125" s="47" t="s">
        <v>35</v>
      </c>
      <c r="M3125" s="25"/>
      <c r="O3125" s="2"/>
      <c r="P3125" s="27"/>
      <c r="Q3125" s="26"/>
      <c r="R3125" s="28"/>
    </row>
    <row r="3126" spans="1:25" ht="30" customHeight="1" x14ac:dyDescent="0.45">
      <c r="A3126" s="642" t="s">
        <v>397</v>
      </c>
      <c r="B3126" s="1008" t="s">
        <v>1719</v>
      </c>
      <c r="C3126" s="1009"/>
      <c r="D3126" s="1010"/>
      <c r="E3126" s="221">
        <v>5.47</v>
      </c>
      <c r="F3126" s="56" t="s">
        <v>35</v>
      </c>
      <c r="G3126" s="348"/>
      <c r="H3126" s="349"/>
      <c r="I3126" s="58"/>
      <c r="J3126" s="47">
        <v>1.1200000000000001</v>
      </c>
      <c r="K3126" s="221">
        <f>+E3126*J3126</f>
        <v>6.1264000000000003</v>
      </c>
      <c r="L3126" s="47" t="s">
        <v>35</v>
      </c>
      <c r="M3126" s="25"/>
      <c r="O3126" s="2"/>
      <c r="P3126" s="27"/>
      <c r="Q3126" s="26"/>
      <c r="R3126" s="28"/>
    </row>
    <row r="3127" spans="1:25" ht="30" customHeight="1" x14ac:dyDescent="0.45">
      <c r="A3127" s="47"/>
      <c r="B3127" s="1030"/>
      <c r="C3127" s="1030"/>
      <c r="D3127" s="1030"/>
      <c r="E3127" s="221"/>
      <c r="F3127" s="47"/>
      <c r="G3127" s="47"/>
      <c r="H3127" s="47"/>
      <c r="I3127" s="47"/>
      <c r="J3127" s="47" t="s">
        <v>38</v>
      </c>
      <c r="K3127" s="221">
        <f>SUM(K3125:K3126)</f>
        <v>245.5712</v>
      </c>
      <c r="L3127" s="47" t="s">
        <v>35</v>
      </c>
      <c r="N3127" s="26"/>
      <c r="O3127" s="2"/>
      <c r="P3127" s="27"/>
      <c r="Q3127" s="26"/>
      <c r="R3127" s="28"/>
    </row>
    <row r="3128" spans="1:25" ht="30" customHeight="1" x14ac:dyDescent="0.45">
      <c r="A3128" s="47"/>
      <c r="B3128" s="224"/>
      <c r="C3128" s="224"/>
      <c r="D3128" s="224"/>
      <c r="E3128" s="221"/>
      <c r="F3128" s="1011" t="s">
        <v>285</v>
      </c>
      <c r="G3128" s="1013" t="s">
        <v>286</v>
      </c>
      <c r="H3128" s="1013"/>
      <c r="I3128" s="1013"/>
      <c r="J3128" s="1013"/>
      <c r="K3128" s="278">
        <v>1.06</v>
      </c>
      <c r="L3128" s="47"/>
      <c r="M3128" s="25"/>
      <c r="N3128" s="26"/>
      <c r="O3128" s="2"/>
      <c r="P3128" s="27"/>
      <c r="Q3128" s="26"/>
      <c r="R3128" s="28"/>
    </row>
    <row r="3129" spans="1:25" ht="30" customHeight="1" x14ac:dyDescent="0.45">
      <c r="A3129" s="47"/>
      <c r="B3129" s="224"/>
      <c r="C3129" s="224"/>
      <c r="D3129" s="224"/>
      <c r="E3129" s="221"/>
      <c r="F3129" s="1012"/>
      <c r="G3129" s="1175" t="s">
        <v>287</v>
      </c>
      <c r="H3129" s="1086"/>
      <c r="I3129" s="1086"/>
      <c r="J3129" s="1087"/>
      <c r="K3129" s="278">
        <v>1.05</v>
      </c>
      <c r="L3129" s="47"/>
      <c r="M3129" s="25"/>
      <c r="N3129" s="63"/>
      <c r="O3129" s="2"/>
      <c r="P3129" s="27"/>
      <c r="Q3129" s="26"/>
      <c r="R3129" s="28"/>
    </row>
    <row r="3130" spans="1:25" ht="30" customHeight="1" x14ac:dyDescent="0.45">
      <c r="A3130" s="47"/>
      <c r="B3130" s="47"/>
      <c r="C3130" s="58"/>
      <c r="D3130" s="58"/>
      <c r="E3130" s="58"/>
      <c r="F3130" s="58"/>
      <c r="G3130" s="58"/>
      <c r="H3130" s="58"/>
      <c r="I3130" s="58"/>
      <c r="J3130" s="47" t="s">
        <v>39</v>
      </c>
      <c r="K3130" s="216">
        <f>+K3127*K3128/K3129</f>
        <v>247.90997333333334</v>
      </c>
      <c r="L3130" s="47" t="s">
        <v>35</v>
      </c>
      <c r="M3130" s="25"/>
      <c r="N3130" s="3"/>
      <c r="O3130" s="2"/>
      <c r="P3130" s="27"/>
      <c r="Q3130" s="26"/>
      <c r="R3130" s="28"/>
    </row>
    <row r="3131" spans="1:25" ht="30" customHeight="1" thickBot="1" x14ac:dyDescent="0.5">
      <c r="A3131" s="47"/>
      <c r="B3131" s="47"/>
      <c r="C3131" s="58"/>
      <c r="D3131" s="58"/>
      <c r="E3131" s="58"/>
      <c r="F3131" s="58"/>
      <c r="G3131" s="1226" t="s">
        <v>288</v>
      </c>
      <c r="H3131" s="1227"/>
      <c r="I3131" s="1228"/>
      <c r="J3131" s="213">
        <f>VLOOKUP(B3123,'[1]Mil Cost Premiums for PUCs'!$A$4:$R$278,18,FALSE)</f>
        <v>1.3148549708569053</v>
      </c>
      <c r="K3131" s="216">
        <f>+K3130*J3131</f>
        <v>325.9656607623362</v>
      </c>
      <c r="L3131" s="47" t="s">
        <v>35</v>
      </c>
      <c r="M3131" s="25"/>
      <c r="N3131" s="3"/>
      <c r="O3131" s="2"/>
      <c r="P3131" s="27"/>
      <c r="Q3131" s="26"/>
      <c r="R3131" s="28"/>
    </row>
    <row r="3132" spans="1:25" ht="30" customHeight="1" thickBot="1" x14ac:dyDescent="0.5">
      <c r="A3132" s="999"/>
      <c r="B3132" s="1000"/>
      <c r="C3132" s="1000"/>
      <c r="D3132" s="1000"/>
      <c r="E3132" s="1000"/>
      <c r="F3132" s="1000"/>
      <c r="G3132" s="1000"/>
      <c r="H3132" s="1000"/>
      <c r="I3132" s="1000"/>
      <c r="J3132" s="1000"/>
      <c r="K3132" s="1000"/>
      <c r="L3132" s="1001"/>
      <c r="M3132" s="25"/>
      <c r="N3132" s="26"/>
      <c r="O3132" s="2"/>
      <c r="P3132" s="27"/>
      <c r="Q3132" s="26"/>
      <c r="R3132" s="28"/>
    </row>
    <row r="3133" spans="1:25" ht="30" customHeight="1" x14ac:dyDescent="0.45">
      <c r="A3133" s="9" t="s">
        <v>4</v>
      </c>
      <c r="B3133" s="10">
        <v>7348</v>
      </c>
      <c r="C3133" s="983" t="s">
        <v>1720</v>
      </c>
      <c r="D3133" s="984"/>
      <c r="E3133" s="13" t="s">
        <v>7</v>
      </c>
      <c r="F3133" s="167" t="s">
        <v>35</v>
      </c>
      <c r="G3133" s="173" t="s">
        <v>1721</v>
      </c>
      <c r="H3133" s="163">
        <v>1803</v>
      </c>
      <c r="I3133" s="13" t="s">
        <v>9</v>
      </c>
      <c r="J3133" s="985" t="s">
        <v>575</v>
      </c>
      <c r="K3133" s="985"/>
      <c r="L3133" s="986"/>
      <c r="M3133" s="121"/>
      <c r="N3133" s="26"/>
      <c r="O3133" s="2"/>
      <c r="P3133" s="27"/>
      <c r="Q3133" s="26"/>
      <c r="R3133" s="28"/>
      <c r="T3133" s="18"/>
    </row>
    <row r="3134" spans="1:25" ht="30" customHeight="1" x14ac:dyDescent="0.45">
      <c r="A3134" s="85" t="s">
        <v>277</v>
      </c>
      <c r="B3134" s="987" t="s">
        <v>293</v>
      </c>
      <c r="C3134" s="988"/>
      <c r="D3134" s="989"/>
      <c r="E3134" s="220" t="s">
        <v>13</v>
      </c>
      <c r="F3134" s="220" t="s">
        <v>14</v>
      </c>
      <c r="G3134" s="990" t="s">
        <v>15</v>
      </c>
      <c r="H3134" s="991"/>
      <c r="I3134" s="19" t="s">
        <v>278</v>
      </c>
      <c r="J3134" s="19"/>
      <c r="K3134" s="992" t="s">
        <v>17</v>
      </c>
      <c r="L3134" s="993"/>
      <c r="M3134" s="25"/>
      <c r="N3134" s="26"/>
      <c r="O3134" s="2"/>
      <c r="P3134" s="27"/>
      <c r="Q3134" s="26"/>
      <c r="R3134" s="28"/>
    </row>
    <row r="3135" spans="1:25" ht="30" customHeight="1" x14ac:dyDescent="0.45">
      <c r="A3135" s="426" t="s">
        <v>1722</v>
      </c>
      <c r="B3135" s="1008" t="s">
        <v>1723</v>
      </c>
      <c r="C3135" s="1009"/>
      <c r="D3135" s="1010"/>
      <c r="E3135" s="221">
        <v>78</v>
      </c>
      <c r="F3135" s="56" t="s">
        <v>35</v>
      </c>
      <c r="G3135" s="348"/>
      <c r="H3135" s="349"/>
      <c r="I3135" s="47">
        <v>1.05</v>
      </c>
      <c r="J3135" s="47"/>
      <c r="K3135" s="221">
        <f>+E3135*I3135</f>
        <v>81.900000000000006</v>
      </c>
      <c r="L3135" s="47" t="s">
        <v>35</v>
      </c>
      <c r="M3135" s="25"/>
      <c r="N3135" s="26"/>
      <c r="O3135" s="2"/>
      <c r="P3135" s="27"/>
      <c r="Q3135" s="26"/>
      <c r="R3135" s="28"/>
      <c r="U3135" s="18"/>
      <c r="V3135" s="18"/>
      <c r="W3135" s="18"/>
      <c r="X3135" s="18"/>
    </row>
    <row r="3136" spans="1:25" ht="30" customHeight="1" x14ac:dyDescent="0.45">
      <c r="A3136" s="47"/>
      <c r="B3136" s="224"/>
      <c r="C3136" s="224"/>
      <c r="D3136" s="224"/>
      <c r="E3136" s="221"/>
      <c r="F3136" s="1011" t="s">
        <v>285</v>
      </c>
      <c r="G3136" s="1013" t="s">
        <v>286</v>
      </c>
      <c r="H3136" s="1013"/>
      <c r="I3136" s="1013"/>
      <c r="J3136" s="1013"/>
      <c r="K3136" s="278">
        <v>1.07</v>
      </c>
      <c r="L3136" s="47"/>
      <c r="M3136" s="25"/>
      <c r="N3136" s="26"/>
      <c r="O3136" s="5"/>
      <c r="P3136" s="18"/>
      <c r="Q3136" s="18"/>
      <c r="R3136" s="18"/>
      <c r="S3136" s="18"/>
      <c r="T3136" s="90"/>
      <c r="Y3136" s="18"/>
    </row>
    <row r="3137" spans="1:25" ht="30" customHeight="1" x14ac:dyDescent="0.45">
      <c r="A3137" s="47"/>
      <c r="B3137" s="224"/>
      <c r="C3137" s="224"/>
      <c r="D3137" s="224"/>
      <c r="E3137" s="221"/>
      <c r="F3137" s="1012"/>
      <c r="G3137" s="1014" t="s">
        <v>580</v>
      </c>
      <c r="H3137" s="1014"/>
      <c r="I3137" s="1014"/>
      <c r="J3137" s="1014"/>
      <c r="K3137" s="278">
        <v>1.08</v>
      </c>
      <c r="L3137" s="47"/>
      <c r="M3137" s="25"/>
      <c r="N3137" s="26"/>
      <c r="T3137" s="41"/>
    </row>
    <row r="3138" spans="1:25" ht="30" customHeight="1" x14ac:dyDescent="0.45">
      <c r="A3138" s="47"/>
      <c r="B3138" s="47"/>
      <c r="C3138" s="58"/>
      <c r="D3138" s="58"/>
      <c r="E3138" s="58"/>
      <c r="F3138" s="58"/>
      <c r="G3138" s="58"/>
      <c r="H3138" s="58"/>
      <c r="I3138" s="58"/>
      <c r="J3138" s="47" t="s">
        <v>39</v>
      </c>
      <c r="K3138" s="216">
        <f>+K3135*K3136/K3137</f>
        <v>81.141666666666666</v>
      </c>
      <c r="L3138" s="47" t="s">
        <v>35</v>
      </c>
      <c r="M3138" s="25"/>
      <c r="N3138" s="26"/>
    </row>
    <row r="3139" spans="1:25" s="18" customFormat="1" ht="30" customHeight="1" x14ac:dyDescent="0.45">
      <c r="A3139" s="47"/>
      <c r="B3139" s="47"/>
      <c r="C3139" s="58"/>
      <c r="D3139" s="58"/>
      <c r="E3139" s="58"/>
      <c r="F3139" s="58"/>
      <c r="G3139" s="1021" t="s">
        <v>288</v>
      </c>
      <c r="H3139" s="1022"/>
      <c r="I3139" s="1023"/>
      <c r="J3139" s="213">
        <f>VLOOKUP(B3133,'[1]Mil Cost Premiums for PUCs'!$A$4:$R$278,18,FALSE)</f>
        <v>1.1080418597902797</v>
      </c>
      <c r="K3139" s="216">
        <f>+K3138*J3139</f>
        <v>89.908363239816282</v>
      </c>
      <c r="L3139" s="47" t="s">
        <v>35</v>
      </c>
      <c r="M3139" s="25"/>
      <c r="N3139" s="26"/>
      <c r="O3139" s="3"/>
      <c r="P3139" s="2"/>
      <c r="Q3139" s="2"/>
      <c r="R3139" s="2"/>
      <c r="S3139" s="90"/>
      <c r="T3139" s="2"/>
      <c r="U3139" s="2"/>
      <c r="V3139" s="2"/>
      <c r="W3139" s="2"/>
      <c r="X3139" s="2"/>
      <c r="Y3139" s="2"/>
    </row>
    <row r="3140" spans="1:25" ht="30" customHeight="1" x14ac:dyDescent="0.45">
      <c r="A3140" s="541"/>
      <c r="B3140" s="541"/>
      <c r="C3140" s="542"/>
      <c r="D3140" s="542"/>
      <c r="E3140" s="552"/>
      <c r="F3140" s="1024" t="s">
        <v>581</v>
      </c>
      <c r="G3140" s="1024"/>
      <c r="H3140" s="1024"/>
      <c r="I3140" s="1024"/>
      <c r="J3140" s="543">
        <v>1.0833999999999999</v>
      </c>
      <c r="K3140" s="363">
        <f>K3139*J3140</f>
        <v>97.406720734016957</v>
      </c>
      <c r="L3140" s="225" t="s">
        <v>35</v>
      </c>
      <c r="M3140" s="25"/>
      <c r="N3140" s="26"/>
      <c r="S3140" s="41"/>
    </row>
    <row r="3141" spans="1:25" ht="30" customHeight="1" thickBot="1" x14ac:dyDescent="0.5">
      <c r="A3141" s="225"/>
      <c r="B3141" s="225"/>
      <c r="C3141" s="150"/>
      <c r="D3141" s="150"/>
      <c r="E3141" s="150"/>
      <c r="F3141" s="150"/>
      <c r="G3141" s="1025" t="s">
        <v>299</v>
      </c>
      <c r="H3141" s="1026"/>
      <c r="I3141" s="1027"/>
      <c r="J3141" s="226">
        <v>1.1214</v>
      </c>
      <c r="K3141" s="227">
        <f>+K3140*J3141</f>
        <v>109.23189663112662</v>
      </c>
      <c r="L3141" s="225" t="s">
        <v>35</v>
      </c>
      <c r="M3141" s="25"/>
    </row>
    <row r="3142" spans="1:25" ht="30" customHeight="1" thickBot="1" x14ac:dyDescent="0.5">
      <c r="A3142" s="999"/>
      <c r="B3142" s="1000"/>
      <c r="C3142" s="1000"/>
      <c r="D3142" s="1000"/>
      <c r="E3142" s="1000"/>
      <c r="F3142" s="1000"/>
      <c r="G3142" s="1000"/>
      <c r="H3142" s="1000"/>
      <c r="I3142" s="1000"/>
      <c r="J3142" s="1000"/>
      <c r="K3142" s="1000"/>
      <c r="L3142" s="1001"/>
      <c r="M3142" s="25"/>
      <c r="N3142" s="26"/>
      <c r="O3142" s="2"/>
      <c r="P3142" s="27"/>
      <c r="Q3142" s="26"/>
      <c r="R3142" s="28"/>
    </row>
    <row r="3143" spans="1:25" ht="30" customHeight="1" x14ac:dyDescent="0.45">
      <c r="A3143" s="9" t="s">
        <v>4</v>
      </c>
      <c r="B3143" s="10">
        <v>7349</v>
      </c>
      <c r="C3143" s="1028" t="s">
        <v>1724</v>
      </c>
      <c r="D3143" s="1029"/>
      <c r="E3143" s="13" t="s">
        <v>7</v>
      </c>
      <c r="F3143" s="14" t="s">
        <v>35</v>
      </c>
      <c r="G3143" s="11" t="s">
        <v>6</v>
      </c>
      <c r="H3143" s="163">
        <v>43566.878571428497</v>
      </c>
      <c r="I3143" s="13" t="s">
        <v>9</v>
      </c>
      <c r="J3143" s="985" t="s">
        <v>276</v>
      </c>
      <c r="K3143" s="985"/>
      <c r="L3143" s="986"/>
      <c r="M3143" s="25"/>
      <c r="N3143" s="26"/>
      <c r="O3143" s="2"/>
      <c r="P3143" s="27"/>
      <c r="Q3143" s="26"/>
      <c r="R3143" s="28"/>
    </row>
    <row r="3144" spans="1:25" ht="30" customHeight="1" x14ac:dyDescent="0.45">
      <c r="A3144" s="85" t="s">
        <v>277</v>
      </c>
      <c r="B3144" s="987" t="s">
        <v>293</v>
      </c>
      <c r="C3144" s="988"/>
      <c r="D3144" s="989"/>
      <c r="E3144" s="220" t="s">
        <v>13</v>
      </c>
      <c r="F3144" s="220" t="s">
        <v>14</v>
      </c>
      <c r="G3144" s="990" t="s">
        <v>15</v>
      </c>
      <c r="H3144" s="991"/>
      <c r="I3144" s="19" t="s">
        <v>1316</v>
      </c>
      <c r="J3144" s="19" t="s">
        <v>278</v>
      </c>
      <c r="K3144" s="992" t="s">
        <v>17</v>
      </c>
      <c r="L3144" s="993"/>
      <c r="M3144" s="25"/>
      <c r="N3144" s="26"/>
      <c r="O3144" s="2"/>
      <c r="P3144" s="27"/>
      <c r="Q3144" s="26"/>
      <c r="R3144" s="28"/>
    </row>
    <row r="3145" spans="1:25" ht="30" customHeight="1" x14ac:dyDescent="0.45">
      <c r="A3145" s="426" t="s">
        <v>1725</v>
      </c>
      <c r="B3145" s="1008" t="s">
        <v>1726</v>
      </c>
      <c r="C3145" s="1009"/>
      <c r="D3145" s="1010"/>
      <c r="E3145" s="221">
        <v>116</v>
      </c>
      <c r="F3145" s="56" t="s">
        <v>35</v>
      </c>
      <c r="G3145" s="684"/>
      <c r="H3145" s="349"/>
      <c r="I3145" s="58"/>
      <c r="J3145" s="365">
        <v>1.1000000000000001</v>
      </c>
      <c r="K3145" s="221">
        <f>+E3145*J3145</f>
        <v>127.60000000000001</v>
      </c>
      <c r="L3145" s="47" t="s">
        <v>35</v>
      </c>
      <c r="N3145" s="26"/>
      <c r="O3145" s="2"/>
      <c r="P3145" s="27"/>
      <c r="Q3145" s="26"/>
      <c r="R3145" s="28"/>
    </row>
    <row r="3146" spans="1:25" ht="30" customHeight="1" x14ac:dyDescent="0.45">
      <c r="A3146" s="426" t="s">
        <v>1466</v>
      </c>
      <c r="B3146" s="1008" t="s">
        <v>1727</v>
      </c>
      <c r="C3146" s="1009"/>
      <c r="D3146" s="1010"/>
      <c r="E3146" s="221">
        <v>3.64</v>
      </c>
      <c r="F3146" s="56" t="s">
        <v>35</v>
      </c>
      <c r="G3146" s="683"/>
      <c r="H3146" s="349"/>
      <c r="I3146" s="58"/>
      <c r="J3146" s="365">
        <v>1.1000000000000001</v>
      </c>
      <c r="K3146" s="221">
        <f>+E3146*J3146</f>
        <v>4.0040000000000004</v>
      </c>
      <c r="L3146" s="47" t="s">
        <v>35</v>
      </c>
      <c r="M3146" s="25"/>
      <c r="N3146" s="26"/>
      <c r="O3146" s="2"/>
      <c r="P3146" s="27"/>
      <c r="Q3146" s="26"/>
      <c r="R3146" s="28"/>
    </row>
    <row r="3147" spans="1:25" ht="30" customHeight="1" x14ac:dyDescent="0.45">
      <c r="A3147" s="47" t="s">
        <v>1050</v>
      </c>
      <c r="B3147" s="1018" t="s">
        <v>1219</v>
      </c>
      <c r="C3147" s="1019"/>
      <c r="D3147" s="1020"/>
      <c r="E3147" s="221">
        <f>(24+37.25)/2</f>
        <v>30.625</v>
      </c>
      <c r="F3147" s="222" t="s">
        <v>35</v>
      </c>
      <c r="G3147" s="42">
        <f>120*8</f>
        <v>960</v>
      </c>
      <c r="H3147" s="206" t="s">
        <v>479</v>
      </c>
      <c r="I3147" s="506">
        <f>+E3147*G3147/H3143</f>
        <v>0.67482456774584609</v>
      </c>
      <c r="J3147" s="47">
        <v>1.22</v>
      </c>
      <c r="K3147" s="378">
        <f>+I3147*J3147</f>
        <v>0.8232859726499322</v>
      </c>
      <c r="L3147" s="47" t="s">
        <v>35</v>
      </c>
      <c r="M3147" s="25"/>
      <c r="N3147" s="26"/>
      <c r="O3147" s="2"/>
      <c r="P3147" s="27"/>
      <c r="Q3147" s="26"/>
      <c r="R3147" s="28"/>
    </row>
    <row r="3148" spans="1:25" ht="30" customHeight="1" x14ac:dyDescent="0.45">
      <c r="A3148" s="47" t="s">
        <v>1050</v>
      </c>
      <c r="B3148" s="1018" t="s">
        <v>1220</v>
      </c>
      <c r="C3148" s="1019"/>
      <c r="D3148" s="1020"/>
      <c r="E3148" s="221">
        <f>(2020+2850)/2</f>
        <v>2435</v>
      </c>
      <c r="F3148" s="222" t="s">
        <v>88</v>
      </c>
      <c r="G3148" s="42"/>
      <c r="H3148" s="206"/>
      <c r="I3148" s="506">
        <f>8*E3148/H3143</f>
        <v>0.44712865917309802</v>
      </c>
      <c r="J3148" s="47">
        <v>1.22</v>
      </c>
      <c r="K3148" s="378">
        <f>+I3148*J3148</f>
        <v>0.54549696419117955</v>
      </c>
      <c r="L3148" s="47" t="s">
        <v>35</v>
      </c>
      <c r="M3148" s="25"/>
      <c r="N3148" s="26"/>
      <c r="O3148" s="2"/>
      <c r="P3148" s="27"/>
      <c r="Q3148" s="26"/>
      <c r="R3148" s="28"/>
    </row>
    <row r="3149" spans="1:25" ht="30" customHeight="1" x14ac:dyDescent="0.45">
      <c r="A3149" s="47" t="s">
        <v>1055</v>
      </c>
      <c r="B3149" s="1018" t="s">
        <v>1203</v>
      </c>
      <c r="C3149" s="1019"/>
      <c r="D3149" s="1020"/>
      <c r="E3149" s="221">
        <v>72.38</v>
      </c>
      <c r="F3149" s="222" t="s">
        <v>113</v>
      </c>
      <c r="G3149" s="42">
        <v>80</v>
      </c>
      <c r="H3149" s="206" t="s">
        <v>1204</v>
      </c>
      <c r="I3149" s="506">
        <f>+E3149*G3149/H3143</f>
        <v>0.13290830534270567</v>
      </c>
      <c r="J3149" s="47">
        <v>1.1200000000000001</v>
      </c>
      <c r="K3149" s="378">
        <f>+I3149*J3149</f>
        <v>0.14885730198383038</v>
      </c>
      <c r="L3149" s="47" t="s">
        <v>35</v>
      </c>
      <c r="M3149" s="25"/>
      <c r="N3149" s="229"/>
      <c r="O3149" s="2"/>
      <c r="P3149" s="27"/>
      <c r="Q3149" s="26"/>
      <c r="R3149" s="28"/>
    </row>
    <row r="3150" spans="1:25" ht="30" customHeight="1" x14ac:dyDescent="0.45">
      <c r="A3150" s="426" t="s">
        <v>1055</v>
      </c>
      <c r="B3150" s="1008" t="s">
        <v>1728</v>
      </c>
      <c r="C3150" s="1009"/>
      <c r="D3150" s="1010"/>
      <c r="E3150" s="221">
        <f>+(8000+15300)/2</f>
        <v>11650</v>
      </c>
      <c r="F3150" s="56" t="s">
        <v>88</v>
      </c>
      <c r="G3150" s="683">
        <f>+E3150*8/H3143</f>
        <v>2.1392397861875123</v>
      </c>
      <c r="H3150" s="349" t="s">
        <v>1729</v>
      </c>
      <c r="I3150" s="58"/>
      <c r="J3150" s="47">
        <v>1.1200000000000001</v>
      </c>
      <c r="K3150" s="221">
        <f>+G3150*J3150</f>
        <v>2.3959485605300141</v>
      </c>
      <c r="L3150" s="47" t="s">
        <v>35</v>
      </c>
      <c r="M3150" s="25"/>
      <c r="O3150" s="2"/>
      <c r="P3150" s="27"/>
      <c r="Q3150" s="26"/>
      <c r="R3150" s="28"/>
    </row>
    <row r="3151" spans="1:25" ht="30" customHeight="1" x14ac:dyDescent="0.45">
      <c r="A3151" s="426"/>
      <c r="B3151" s="1008"/>
      <c r="C3151" s="1009"/>
      <c r="D3151" s="1010"/>
      <c r="E3151" s="221"/>
      <c r="F3151" s="56"/>
      <c r="G3151" s="348"/>
      <c r="H3151" s="349"/>
      <c r="I3151" s="47"/>
      <c r="J3151" s="47" t="s">
        <v>38</v>
      </c>
      <c r="K3151" s="221">
        <f>SUM(K3145:K3150)</f>
        <v>135.51758879935497</v>
      </c>
      <c r="L3151" s="47"/>
      <c r="M3151" s="25"/>
      <c r="N3151" s="111"/>
      <c r="O3151" s="2"/>
      <c r="P3151" s="27"/>
      <c r="Q3151" s="26"/>
      <c r="R3151" s="28"/>
    </row>
    <row r="3152" spans="1:25" ht="30" customHeight="1" x14ac:dyDescent="0.45">
      <c r="A3152" s="47"/>
      <c r="B3152" s="224"/>
      <c r="C3152" s="224"/>
      <c r="D3152" s="224"/>
      <c r="E3152" s="221"/>
      <c r="F3152" s="1011" t="s">
        <v>285</v>
      </c>
      <c r="G3152" s="1013" t="s">
        <v>286</v>
      </c>
      <c r="H3152" s="1013"/>
      <c r="I3152" s="1013"/>
      <c r="J3152" s="1013"/>
      <c r="K3152" s="278">
        <v>1.06</v>
      </c>
      <c r="L3152" s="47"/>
      <c r="M3152" s="25"/>
      <c r="N3152" s="26"/>
      <c r="O3152" s="2"/>
      <c r="P3152" s="27"/>
      <c r="Q3152" s="26"/>
      <c r="R3152" s="28"/>
    </row>
    <row r="3153" spans="1:25" ht="30" customHeight="1" x14ac:dyDescent="0.45">
      <c r="A3153" s="47"/>
      <c r="B3153" s="224"/>
      <c r="C3153" s="224"/>
      <c r="D3153" s="224"/>
      <c r="E3153" s="221"/>
      <c r="F3153" s="1012"/>
      <c r="G3153" s="1175" t="s">
        <v>287</v>
      </c>
      <c r="H3153" s="1086"/>
      <c r="I3153" s="1086"/>
      <c r="J3153" s="1087"/>
      <c r="K3153" s="278">
        <v>1.05</v>
      </c>
      <c r="L3153" s="47"/>
      <c r="M3153" s="25"/>
      <c r="N3153" s="26"/>
      <c r="O3153" s="2"/>
      <c r="P3153" s="27"/>
      <c r="Q3153" s="26"/>
      <c r="R3153" s="28"/>
    </row>
    <row r="3154" spans="1:25" ht="30" customHeight="1" x14ac:dyDescent="0.45">
      <c r="A3154" s="47"/>
      <c r="B3154" s="47"/>
      <c r="C3154" s="58"/>
      <c r="D3154" s="58"/>
      <c r="E3154" s="58"/>
      <c r="F3154" s="58"/>
      <c r="G3154" s="58"/>
      <c r="H3154" s="58"/>
      <c r="I3154" s="58"/>
      <c r="J3154" s="47" t="s">
        <v>39</v>
      </c>
      <c r="K3154" s="216">
        <f>+K3151*K3152/K3153</f>
        <v>136.80823250220595</v>
      </c>
      <c r="L3154" s="47" t="s">
        <v>35</v>
      </c>
      <c r="M3154" s="25"/>
      <c r="N3154" s="26"/>
      <c r="O3154" s="2"/>
      <c r="P3154" s="27"/>
      <c r="Q3154" s="26"/>
      <c r="R3154" s="28"/>
    </row>
    <row r="3155" spans="1:25" ht="30" customHeight="1" thickBot="1" x14ac:dyDescent="0.5">
      <c r="A3155" s="58"/>
      <c r="B3155" s="58"/>
      <c r="C3155" s="58"/>
      <c r="D3155" s="58"/>
      <c r="E3155" s="58"/>
      <c r="F3155" s="58"/>
      <c r="G3155" s="1226" t="s">
        <v>288</v>
      </c>
      <c r="H3155" s="1227"/>
      <c r="I3155" s="1228"/>
      <c r="J3155" s="213">
        <f>VLOOKUP(B3143,'[1]Mil Cost Premiums for PUCs'!$A$4:$R$278,18,FALSE)</f>
        <v>1.2981950150858137</v>
      </c>
      <c r="K3155" s="216">
        <f>+K3154*J3155</f>
        <v>177.60376545706475</v>
      </c>
      <c r="L3155" s="47" t="s">
        <v>35</v>
      </c>
      <c r="M3155" s="25"/>
      <c r="N3155" s="26"/>
      <c r="O3155" s="2"/>
      <c r="P3155" s="27"/>
      <c r="Q3155" s="26"/>
      <c r="R3155" s="28"/>
    </row>
    <row r="3156" spans="1:25" ht="30" customHeight="1" thickBot="1" x14ac:dyDescent="0.5">
      <c r="A3156" s="999"/>
      <c r="B3156" s="1000"/>
      <c r="C3156" s="1000"/>
      <c r="D3156" s="1000"/>
      <c r="E3156" s="1000"/>
      <c r="F3156" s="1000"/>
      <c r="G3156" s="1000"/>
      <c r="H3156" s="1000"/>
      <c r="I3156" s="1000"/>
      <c r="J3156" s="1000"/>
      <c r="K3156" s="1000"/>
      <c r="L3156" s="1001"/>
      <c r="M3156" s="121"/>
      <c r="N3156" s="26"/>
      <c r="O3156" s="2"/>
      <c r="P3156" s="27"/>
      <c r="Q3156" s="26"/>
      <c r="R3156" s="28"/>
    </row>
    <row r="3157" spans="1:25" ht="30" customHeight="1" x14ac:dyDescent="0.45">
      <c r="A3157" s="9" t="s">
        <v>4</v>
      </c>
      <c r="B3157" s="10">
        <v>7350</v>
      </c>
      <c r="C3157" s="983" t="s">
        <v>1730</v>
      </c>
      <c r="D3157" s="984"/>
      <c r="E3157" s="13" t="s">
        <v>7</v>
      </c>
      <c r="F3157" s="14" t="s">
        <v>35</v>
      </c>
      <c r="G3157" s="173" t="s">
        <v>1721</v>
      </c>
      <c r="H3157" s="163">
        <v>1472</v>
      </c>
      <c r="I3157" s="13" t="s">
        <v>9</v>
      </c>
      <c r="J3157" s="985" t="s">
        <v>575</v>
      </c>
      <c r="K3157" s="985"/>
      <c r="L3157" s="986"/>
      <c r="M3157" s="25"/>
      <c r="N3157" s="26"/>
      <c r="O3157" s="2"/>
      <c r="P3157" s="27"/>
      <c r="Q3157" s="26"/>
      <c r="R3157" s="28"/>
    </row>
    <row r="3158" spans="1:25" ht="30" customHeight="1" x14ac:dyDescent="0.45">
      <c r="A3158" s="85" t="s">
        <v>277</v>
      </c>
      <c r="B3158" s="987" t="s">
        <v>293</v>
      </c>
      <c r="C3158" s="988"/>
      <c r="D3158" s="989"/>
      <c r="E3158" s="220" t="s">
        <v>13</v>
      </c>
      <c r="F3158" s="220" t="s">
        <v>14</v>
      </c>
      <c r="G3158" s="990" t="s">
        <v>15</v>
      </c>
      <c r="H3158" s="991"/>
      <c r="I3158" s="19" t="s">
        <v>278</v>
      </c>
      <c r="J3158" s="19"/>
      <c r="K3158" s="992" t="s">
        <v>17</v>
      </c>
      <c r="L3158" s="993"/>
      <c r="M3158" s="25"/>
      <c r="N3158" s="26"/>
      <c r="O3158" s="2"/>
      <c r="P3158" s="27"/>
      <c r="Q3158" s="26"/>
      <c r="R3158" s="28"/>
      <c r="U3158" s="18"/>
      <c r="V3158" s="18"/>
      <c r="W3158" s="18"/>
      <c r="X3158" s="18"/>
    </row>
    <row r="3159" spans="1:25" ht="30" customHeight="1" x14ac:dyDescent="0.45">
      <c r="A3159" s="426" t="s">
        <v>1722</v>
      </c>
      <c r="B3159" s="1008" t="s">
        <v>1723</v>
      </c>
      <c r="C3159" s="1009"/>
      <c r="D3159" s="1010"/>
      <c r="E3159" s="221">
        <v>78</v>
      </c>
      <c r="F3159" s="56" t="s">
        <v>35</v>
      </c>
      <c r="G3159" s="348"/>
      <c r="H3159" s="349"/>
      <c r="I3159" s="47">
        <v>1.05</v>
      </c>
      <c r="J3159" s="47"/>
      <c r="K3159" s="221">
        <f>+E3159*I3159</f>
        <v>81.900000000000006</v>
      </c>
      <c r="L3159" s="47" t="s">
        <v>35</v>
      </c>
      <c r="M3159" s="25"/>
      <c r="N3159" s="26"/>
      <c r="O3159" s="2"/>
      <c r="P3159" s="27"/>
      <c r="Q3159" s="26"/>
      <c r="R3159" s="28"/>
      <c r="T3159" s="90"/>
      <c r="Y3159" s="18"/>
    </row>
    <row r="3160" spans="1:25" ht="30" customHeight="1" x14ac:dyDescent="0.45">
      <c r="A3160" s="47"/>
      <c r="B3160" s="224"/>
      <c r="C3160" s="224"/>
      <c r="D3160" s="224"/>
      <c r="E3160" s="221"/>
      <c r="F3160" s="1011" t="s">
        <v>285</v>
      </c>
      <c r="G3160" s="1013" t="s">
        <v>286</v>
      </c>
      <c r="H3160" s="1013"/>
      <c r="I3160" s="1013"/>
      <c r="J3160" s="1013"/>
      <c r="K3160" s="278">
        <v>1.07</v>
      </c>
      <c r="L3160" s="47"/>
      <c r="M3160" s="462"/>
      <c r="N3160" s="26"/>
      <c r="O3160" s="2"/>
      <c r="P3160" s="27"/>
      <c r="Q3160" s="26"/>
      <c r="R3160" s="28"/>
      <c r="T3160" s="41"/>
    </row>
    <row r="3161" spans="1:25" ht="30" customHeight="1" x14ac:dyDescent="0.45">
      <c r="A3161" s="47"/>
      <c r="B3161" s="224"/>
      <c r="C3161" s="224"/>
      <c r="D3161" s="224"/>
      <c r="E3161" s="221"/>
      <c r="F3161" s="1012"/>
      <c r="G3161" s="1014" t="s">
        <v>580</v>
      </c>
      <c r="H3161" s="1014"/>
      <c r="I3161" s="1014"/>
      <c r="J3161" s="1014"/>
      <c r="K3161" s="278">
        <v>1.08</v>
      </c>
      <c r="L3161" s="47"/>
      <c r="M3161" s="25"/>
      <c r="N3161" s="26"/>
      <c r="T3161" s="41"/>
    </row>
    <row r="3162" spans="1:25" ht="30" customHeight="1" x14ac:dyDescent="0.45">
      <c r="A3162" s="47"/>
      <c r="B3162" s="47"/>
      <c r="C3162" s="58"/>
      <c r="D3162" s="58"/>
      <c r="E3162" s="58"/>
      <c r="F3162" s="58"/>
      <c r="G3162" s="58"/>
      <c r="H3162" s="58"/>
      <c r="I3162" s="58"/>
      <c r="J3162" s="47" t="s">
        <v>39</v>
      </c>
      <c r="K3162" s="216">
        <f>+K3159*K3160/K3161</f>
        <v>81.141666666666666</v>
      </c>
      <c r="L3162" s="47" t="s">
        <v>35</v>
      </c>
      <c r="N3162" s="26"/>
      <c r="S3162" s="90"/>
    </row>
    <row r="3163" spans="1:25" s="18" customFormat="1" ht="30" customHeight="1" x14ac:dyDescent="0.45">
      <c r="A3163" s="47"/>
      <c r="B3163" s="47"/>
      <c r="C3163" s="58"/>
      <c r="D3163" s="58"/>
      <c r="E3163" s="58"/>
      <c r="F3163" s="58"/>
      <c r="G3163" s="1021" t="s">
        <v>288</v>
      </c>
      <c r="H3163" s="1022"/>
      <c r="I3163" s="1023"/>
      <c r="J3163" s="213">
        <f>VLOOKUP(B3157,'[1]Mil Cost Premiums for PUCs'!$A$4:$R$278,18,FALSE)</f>
        <v>1.1080418597902797</v>
      </c>
      <c r="K3163" s="216">
        <f>+K3162*J3163</f>
        <v>89.908363239816282</v>
      </c>
      <c r="L3163" s="47" t="s">
        <v>35</v>
      </c>
      <c r="M3163" s="25"/>
      <c r="N3163" s="26"/>
      <c r="O3163" s="2"/>
      <c r="P3163" s="27"/>
      <c r="Q3163" s="26"/>
      <c r="R3163" s="28"/>
      <c r="S3163" s="2"/>
      <c r="U3163" s="2"/>
      <c r="V3163" s="2"/>
      <c r="W3163" s="2"/>
      <c r="X3163" s="2"/>
      <c r="Y3163" s="2"/>
    </row>
    <row r="3164" spans="1:25" ht="30" customHeight="1" x14ac:dyDescent="0.45">
      <c r="A3164" s="541"/>
      <c r="B3164" s="541"/>
      <c r="C3164" s="542"/>
      <c r="D3164" s="542"/>
      <c r="E3164" s="552"/>
      <c r="F3164" s="1024" t="s">
        <v>581</v>
      </c>
      <c r="G3164" s="1024"/>
      <c r="H3164" s="1024"/>
      <c r="I3164" s="1024"/>
      <c r="J3164" s="543">
        <v>1.0833999999999999</v>
      </c>
      <c r="K3164" s="363">
        <f>K3163*J3164</f>
        <v>97.406720734016957</v>
      </c>
      <c r="L3164" s="225" t="s">
        <v>35</v>
      </c>
      <c r="M3164" s="25"/>
      <c r="N3164" s="26"/>
      <c r="S3164" s="41"/>
    </row>
    <row r="3165" spans="1:25" ht="30" customHeight="1" thickBot="1" x14ac:dyDescent="0.5">
      <c r="A3165" s="225"/>
      <c r="B3165" s="225"/>
      <c r="C3165" s="150"/>
      <c r="D3165" s="150"/>
      <c r="E3165" s="150"/>
      <c r="F3165" s="150"/>
      <c r="G3165" s="1025" t="s">
        <v>299</v>
      </c>
      <c r="H3165" s="1026"/>
      <c r="I3165" s="1027"/>
      <c r="J3165" s="226">
        <v>1.1214</v>
      </c>
      <c r="K3165" s="227">
        <f>+K3164*J3165</f>
        <v>109.23189663112662</v>
      </c>
      <c r="L3165" s="225" t="s">
        <v>35</v>
      </c>
      <c r="M3165" s="25"/>
    </row>
    <row r="3166" spans="1:25" ht="30" customHeight="1" thickBot="1" x14ac:dyDescent="0.5">
      <c r="A3166" s="999"/>
      <c r="B3166" s="1000"/>
      <c r="C3166" s="1000"/>
      <c r="D3166" s="1000"/>
      <c r="E3166" s="1000"/>
      <c r="F3166" s="1000"/>
      <c r="G3166" s="1000"/>
      <c r="H3166" s="1000"/>
      <c r="I3166" s="1000"/>
      <c r="J3166" s="1000"/>
      <c r="K3166" s="1000"/>
      <c r="L3166" s="1001"/>
      <c r="M3166" s="25"/>
      <c r="N3166" s="26"/>
      <c r="S3166" s="41"/>
    </row>
    <row r="3167" spans="1:25" ht="30" customHeight="1" x14ac:dyDescent="0.45">
      <c r="A3167" s="690" t="s">
        <v>4</v>
      </c>
      <c r="B3167" s="691">
        <v>7351</v>
      </c>
      <c r="C3167" s="1221" t="s">
        <v>1731</v>
      </c>
      <c r="D3167" s="1222"/>
      <c r="E3167" s="692" t="s">
        <v>7</v>
      </c>
      <c r="F3167" s="693" t="s">
        <v>35</v>
      </c>
      <c r="G3167" s="11" t="s">
        <v>6</v>
      </c>
      <c r="H3167" s="694">
        <v>10991.0430365296</v>
      </c>
      <c r="I3167" s="13" t="s">
        <v>9</v>
      </c>
      <c r="J3167" s="985" t="s">
        <v>276</v>
      </c>
      <c r="K3167" s="985"/>
      <c r="L3167" s="986"/>
      <c r="M3167" s="25"/>
      <c r="N3167" s="144"/>
      <c r="O3167" s="5"/>
      <c r="P3167" s="18"/>
      <c r="Q3167" s="18"/>
      <c r="R3167" s="18"/>
      <c r="S3167" s="18"/>
    </row>
    <row r="3168" spans="1:25" ht="30" customHeight="1" x14ac:dyDescent="0.45">
      <c r="A3168" s="695" t="s">
        <v>277</v>
      </c>
      <c r="B3168" s="1055" t="s">
        <v>293</v>
      </c>
      <c r="C3168" s="1056"/>
      <c r="D3168" s="1057"/>
      <c r="E3168" s="696" t="s">
        <v>13</v>
      </c>
      <c r="F3168" s="696" t="s">
        <v>14</v>
      </c>
      <c r="G3168" s="1058" t="s">
        <v>15</v>
      </c>
      <c r="H3168" s="1059"/>
      <c r="I3168" s="19" t="s">
        <v>1316</v>
      </c>
      <c r="J3168" s="19" t="s">
        <v>278</v>
      </c>
      <c r="K3168" s="992" t="s">
        <v>17</v>
      </c>
      <c r="L3168" s="993"/>
      <c r="M3168" s="25"/>
      <c r="N3168" s="26"/>
      <c r="O3168" s="2"/>
      <c r="P3168" s="27"/>
      <c r="Q3168" s="26"/>
      <c r="R3168" s="28"/>
      <c r="T3168" s="306"/>
      <c r="U3168" s="306"/>
      <c r="V3168" s="306"/>
      <c r="W3168" s="306"/>
      <c r="X3168" s="306"/>
      <c r="Y3168" s="306"/>
    </row>
    <row r="3169" spans="1:25" ht="30" customHeight="1" x14ac:dyDescent="0.45">
      <c r="A3169" s="697" t="s">
        <v>1732</v>
      </c>
      <c r="B3169" s="1213" t="s">
        <v>1733</v>
      </c>
      <c r="C3169" s="1214"/>
      <c r="D3169" s="1215"/>
      <c r="E3169" s="698">
        <v>136</v>
      </c>
      <c r="F3169" s="699" t="s">
        <v>35</v>
      </c>
      <c r="G3169" s="700"/>
      <c r="H3169" s="701"/>
      <c r="I3169" s="58"/>
      <c r="J3169" s="702">
        <v>1.28</v>
      </c>
      <c r="K3169" s="698">
        <f>+E3169*J3169</f>
        <v>174.08</v>
      </c>
      <c r="L3169" s="702" t="s">
        <v>35</v>
      </c>
      <c r="M3169" s="25"/>
      <c r="N3169" s="306"/>
      <c r="O3169" s="306"/>
      <c r="P3169" s="479"/>
      <c r="Q3169" s="306"/>
      <c r="R3169" s="306"/>
      <c r="S3169" s="306"/>
    </row>
    <row r="3170" spans="1:25" ht="30" customHeight="1" x14ac:dyDescent="0.45">
      <c r="A3170" s="703" t="s">
        <v>1631</v>
      </c>
      <c r="B3170" s="1213" t="s">
        <v>1734</v>
      </c>
      <c r="C3170" s="1214"/>
      <c r="D3170" s="1215"/>
      <c r="E3170" s="698">
        <v>4.26</v>
      </c>
      <c r="F3170" s="702" t="s">
        <v>35</v>
      </c>
      <c r="G3170" s="704"/>
      <c r="H3170" s="702"/>
      <c r="I3170" s="224"/>
      <c r="J3170" s="702">
        <v>1.28</v>
      </c>
      <c r="K3170" s="698">
        <f>+E3170*J3170</f>
        <v>5.4527999999999999</v>
      </c>
      <c r="L3170" s="702" t="s">
        <v>35</v>
      </c>
      <c r="M3170" s="25"/>
      <c r="N3170" s="26"/>
      <c r="O3170" s="2"/>
      <c r="P3170" s="27"/>
      <c r="Q3170" s="26"/>
      <c r="R3170" s="28"/>
    </row>
    <row r="3171" spans="1:25" s="306" customFormat="1" ht="30" customHeight="1" x14ac:dyDescent="0.45">
      <c r="A3171" s="703" t="s">
        <v>1735</v>
      </c>
      <c r="B3171" s="1060" t="s">
        <v>1736</v>
      </c>
      <c r="C3171" s="1061"/>
      <c r="D3171" s="1062"/>
      <c r="E3171" s="698">
        <v>60500</v>
      </c>
      <c r="F3171" s="702" t="s">
        <v>88</v>
      </c>
      <c r="G3171" s="698">
        <f>+E3171/H3167</f>
        <v>5.5044821313976726</v>
      </c>
      <c r="H3171" s="705" t="s">
        <v>1737</v>
      </c>
      <c r="I3171" s="224"/>
      <c r="J3171" s="702">
        <v>1.28</v>
      </c>
      <c r="K3171" s="698">
        <f>+G3171*J3171</f>
        <v>7.0457371281890211</v>
      </c>
      <c r="L3171" s="702" t="s">
        <v>35</v>
      </c>
      <c r="M3171" s="25"/>
      <c r="N3171" s="26"/>
      <c r="O3171" s="2"/>
      <c r="P3171" s="27"/>
      <c r="Q3171" s="26"/>
      <c r="R3171" s="28"/>
      <c r="S3171" s="2"/>
      <c r="T3171" s="2"/>
      <c r="U3171" s="2"/>
      <c r="V3171" s="2"/>
      <c r="W3171" s="2"/>
      <c r="X3171" s="2"/>
      <c r="Y3171" s="2"/>
    </row>
    <row r="3172" spans="1:25" s="306" customFormat="1" ht="30" customHeight="1" x14ac:dyDescent="0.45">
      <c r="A3172" s="702"/>
      <c r="B3172" s="1213"/>
      <c r="C3172" s="1214"/>
      <c r="D3172" s="1215"/>
      <c r="E3172" s="698"/>
      <c r="F3172" s="702"/>
      <c r="G3172" s="702"/>
      <c r="H3172" s="702"/>
      <c r="I3172" s="702"/>
      <c r="J3172" s="47" t="s">
        <v>38</v>
      </c>
      <c r="K3172" s="698">
        <f>SUM(K3169:K3171)</f>
        <v>186.57853712818903</v>
      </c>
      <c r="L3172" s="702" t="s">
        <v>35</v>
      </c>
      <c r="M3172" s="25"/>
      <c r="N3172" s="26"/>
      <c r="O3172" s="2"/>
      <c r="P3172" s="27"/>
      <c r="Q3172" s="26"/>
      <c r="R3172" s="28"/>
      <c r="S3172" s="2"/>
      <c r="T3172" s="2"/>
      <c r="U3172" s="2"/>
      <c r="V3172" s="2"/>
      <c r="W3172" s="2"/>
      <c r="X3172" s="2"/>
      <c r="Y3172" s="2"/>
    </row>
    <row r="3173" spans="1:25" ht="30" customHeight="1" x14ac:dyDescent="0.45">
      <c r="A3173" s="47"/>
      <c r="B3173" s="224"/>
      <c r="C3173" s="224"/>
      <c r="D3173" s="224"/>
      <c r="E3173" s="221"/>
      <c r="F3173" s="1011" t="s">
        <v>285</v>
      </c>
      <c r="G3173" s="1013" t="s">
        <v>286</v>
      </c>
      <c r="H3173" s="1013"/>
      <c r="I3173" s="1013"/>
      <c r="J3173" s="1013"/>
      <c r="K3173" s="278">
        <v>1.06</v>
      </c>
      <c r="L3173" s="47"/>
      <c r="N3173" s="26"/>
      <c r="O3173" s="2"/>
      <c r="P3173" s="27"/>
      <c r="Q3173" s="26"/>
      <c r="R3173" s="28"/>
    </row>
    <row r="3174" spans="1:25" ht="30" customHeight="1" x14ac:dyDescent="0.45">
      <c r="A3174" s="47"/>
      <c r="B3174" s="224"/>
      <c r="C3174" s="224"/>
      <c r="D3174" s="224"/>
      <c r="E3174" s="221"/>
      <c r="F3174" s="1012"/>
      <c r="G3174" s="1175" t="s">
        <v>287</v>
      </c>
      <c r="H3174" s="1086"/>
      <c r="I3174" s="1086"/>
      <c r="J3174" s="1087"/>
      <c r="K3174" s="278">
        <v>1.05</v>
      </c>
      <c r="L3174" s="47"/>
      <c r="M3174" s="25"/>
      <c r="O3174" s="2"/>
      <c r="P3174" s="27"/>
      <c r="Q3174" s="26"/>
      <c r="R3174" s="28"/>
    </row>
    <row r="3175" spans="1:25" ht="30" customHeight="1" x14ac:dyDescent="0.45">
      <c r="A3175" s="702"/>
      <c r="B3175" s="702"/>
      <c r="C3175" s="706"/>
      <c r="D3175" s="706"/>
      <c r="E3175" s="706"/>
      <c r="F3175" s="706"/>
      <c r="G3175" s="706"/>
      <c r="H3175" s="706"/>
      <c r="I3175" s="706"/>
      <c r="J3175" s="706" t="s">
        <v>39</v>
      </c>
      <c r="K3175" s="707">
        <f>+K3172*K3173/K3174</f>
        <v>188.35547557702893</v>
      </c>
      <c r="L3175" s="702" t="s">
        <v>35</v>
      </c>
      <c r="M3175" s="25"/>
      <c r="O3175" s="2"/>
      <c r="P3175" s="27"/>
      <c r="Q3175" s="26"/>
      <c r="R3175" s="28"/>
    </row>
    <row r="3176" spans="1:25" ht="30" customHeight="1" thickBot="1" x14ac:dyDescent="0.5">
      <c r="A3176" s="702"/>
      <c r="B3176" s="702"/>
      <c r="C3176" s="706"/>
      <c r="D3176" s="706"/>
      <c r="E3176" s="706"/>
      <c r="F3176" s="706"/>
      <c r="G3176" s="1226" t="s">
        <v>288</v>
      </c>
      <c r="H3176" s="1227"/>
      <c r="I3176" s="1228"/>
      <c r="J3176" s="213">
        <f>VLOOKUP(B3167,'[1]Mil Cost Premiums for PUCs'!$A$4:$R$278,18,FALSE)</f>
        <v>1.3319480854780448</v>
      </c>
      <c r="K3176" s="707">
        <f>+K3175*J3176</f>
        <v>250.87971508413031</v>
      </c>
      <c r="L3176" s="702" t="s">
        <v>35</v>
      </c>
      <c r="M3176" s="25"/>
      <c r="O3176" s="2"/>
      <c r="P3176" s="27"/>
      <c r="Q3176" s="26"/>
      <c r="R3176" s="28"/>
    </row>
    <row r="3177" spans="1:25" ht="30" customHeight="1" thickBot="1" x14ac:dyDescent="0.5">
      <c r="A3177" s="999"/>
      <c r="B3177" s="1000"/>
      <c r="C3177" s="1000"/>
      <c r="D3177" s="1000"/>
      <c r="E3177" s="1000"/>
      <c r="F3177" s="1000"/>
      <c r="G3177" s="1000"/>
      <c r="H3177" s="1000"/>
      <c r="I3177" s="1000"/>
      <c r="J3177" s="1000"/>
      <c r="K3177" s="1000"/>
      <c r="L3177" s="1001"/>
      <c r="M3177" s="25"/>
      <c r="O3177" s="2"/>
      <c r="P3177" s="27"/>
      <c r="Q3177" s="26"/>
      <c r="R3177" s="28"/>
    </row>
    <row r="3178" spans="1:25" ht="30" customHeight="1" x14ac:dyDescent="0.45">
      <c r="A3178" s="9" t="s">
        <v>4</v>
      </c>
      <c r="B3178" s="10">
        <v>7352</v>
      </c>
      <c r="C3178" s="1138" t="s">
        <v>1738</v>
      </c>
      <c r="D3178" s="1139"/>
      <c r="E3178" s="13" t="s">
        <v>7</v>
      </c>
      <c r="F3178" s="14" t="s">
        <v>35</v>
      </c>
      <c r="G3178" s="11" t="s">
        <v>6</v>
      </c>
      <c r="H3178" s="169">
        <v>32600.46</v>
      </c>
      <c r="I3178" s="13" t="s">
        <v>9</v>
      </c>
      <c r="J3178" s="985" t="s">
        <v>266</v>
      </c>
      <c r="K3178" s="985"/>
      <c r="L3178" s="986"/>
      <c r="M3178" s="25"/>
      <c r="N3178" s="26"/>
      <c r="O3178" s="2"/>
      <c r="P3178" s="27"/>
      <c r="Q3178" s="26"/>
      <c r="R3178" s="28"/>
    </row>
    <row r="3179" spans="1:25" ht="30" customHeight="1" x14ac:dyDescent="0.45">
      <c r="A3179" s="19" t="s">
        <v>11</v>
      </c>
      <c r="B3179" s="1005" t="s">
        <v>12</v>
      </c>
      <c r="C3179" s="1005"/>
      <c r="D3179" s="1005"/>
      <c r="E3179" s="132" t="s">
        <v>267</v>
      </c>
      <c r="F3179" s="20" t="s">
        <v>13</v>
      </c>
      <c r="G3179" s="1068"/>
      <c r="H3179" s="1069"/>
      <c r="I3179" s="1140" t="s">
        <v>60</v>
      </c>
      <c r="J3179" s="1141"/>
      <c r="K3179" s="992" t="s">
        <v>17</v>
      </c>
      <c r="L3179" s="993"/>
      <c r="M3179" s="25"/>
      <c r="N3179" s="26"/>
      <c r="O3179" s="2"/>
      <c r="P3179" s="27"/>
      <c r="Q3179" s="26"/>
      <c r="R3179" s="28"/>
    </row>
    <row r="3180" spans="1:25" ht="30" customHeight="1" x14ac:dyDescent="0.45">
      <c r="A3180" s="29" t="s">
        <v>268</v>
      </c>
      <c r="B3180" s="994" t="s">
        <v>1739</v>
      </c>
      <c r="C3180" s="994"/>
      <c r="D3180" s="994"/>
      <c r="E3180" s="176">
        <v>110000</v>
      </c>
      <c r="F3180" s="145">
        <v>471</v>
      </c>
      <c r="G3180" s="1234"/>
      <c r="H3180" s="1235"/>
      <c r="I3180" s="1119" t="s">
        <v>270</v>
      </c>
      <c r="J3180" s="1120"/>
      <c r="K3180" s="145">
        <f>+F3180</f>
        <v>471</v>
      </c>
      <c r="L3180" s="29" t="s">
        <v>35</v>
      </c>
      <c r="M3180" s="25"/>
      <c r="N3180" s="26"/>
      <c r="O3180" s="2"/>
      <c r="P3180" s="27"/>
      <c r="Q3180" s="26"/>
      <c r="R3180" s="28"/>
    </row>
    <row r="3181" spans="1:25" ht="30" customHeight="1" thickBot="1" x14ac:dyDescent="0.5">
      <c r="A3181" s="47"/>
      <c r="B3181" s="1092"/>
      <c r="C3181" s="1092"/>
      <c r="D3181" s="1092"/>
      <c r="E3181" s="180"/>
      <c r="F3181" s="181"/>
      <c r="G3181" s="181"/>
      <c r="H3181" s="182"/>
      <c r="I3181" s="58"/>
      <c r="J3181" s="85" t="s">
        <v>39</v>
      </c>
      <c r="K3181" s="216">
        <f>+K3180</f>
        <v>471</v>
      </c>
      <c r="L3181" s="47" t="s">
        <v>35</v>
      </c>
      <c r="M3181" s="25"/>
      <c r="N3181" s="26"/>
      <c r="O3181" s="2"/>
      <c r="P3181" s="27"/>
      <c r="Q3181" s="26"/>
      <c r="R3181" s="28"/>
    </row>
    <row r="3182" spans="1:25" ht="30" customHeight="1" thickBot="1" x14ac:dyDescent="0.5">
      <c r="A3182" s="999"/>
      <c r="B3182" s="1000"/>
      <c r="C3182" s="1000"/>
      <c r="D3182" s="1000"/>
      <c r="E3182" s="1000"/>
      <c r="F3182" s="1000"/>
      <c r="G3182" s="1000"/>
      <c r="H3182" s="1000"/>
      <c r="I3182" s="1000"/>
      <c r="J3182" s="1000"/>
      <c r="K3182" s="1000"/>
      <c r="L3182" s="1001"/>
      <c r="M3182" s="25"/>
      <c r="N3182" s="26"/>
      <c r="O3182" s="2"/>
      <c r="P3182" s="27"/>
      <c r="Q3182" s="26"/>
      <c r="R3182" s="28"/>
    </row>
    <row r="3183" spans="1:25" ht="30" customHeight="1" x14ac:dyDescent="0.45">
      <c r="A3183" s="9" t="s">
        <v>4</v>
      </c>
      <c r="B3183" s="10">
        <v>7353</v>
      </c>
      <c r="C3183" s="1138" t="s">
        <v>1740</v>
      </c>
      <c r="D3183" s="1139"/>
      <c r="E3183" s="13" t="s">
        <v>7</v>
      </c>
      <c r="F3183" s="155" t="s">
        <v>35</v>
      </c>
      <c r="G3183" s="11" t="s">
        <v>6</v>
      </c>
      <c r="H3183" s="512">
        <v>5667</v>
      </c>
      <c r="I3183" s="13" t="s">
        <v>9</v>
      </c>
      <c r="J3183" s="985" t="s">
        <v>292</v>
      </c>
      <c r="K3183" s="985"/>
      <c r="L3183" s="986"/>
      <c r="M3183" s="25"/>
      <c r="N3183" s="26"/>
      <c r="O3183" s="2"/>
      <c r="P3183" s="27"/>
      <c r="Q3183" s="26"/>
      <c r="R3183" s="28"/>
    </row>
    <row r="3184" spans="1:25" ht="30" customHeight="1" x14ac:dyDescent="0.45">
      <c r="A3184" s="85" t="s">
        <v>277</v>
      </c>
      <c r="B3184" s="987" t="s">
        <v>293</v>
      </c>
      <c r="C3184" s="988"/>
      <c r="D3184" s="989"/>
      <c r="E3184" s="220" t="s">
        <v>13</v>
      </c>
      <c r="F3184" s="220" t="s">
        <v>14</v>
      </c>
      <c r="G3184" s="990" t="s">
        <v>15</v>
      </c>
      <c r="H3184" s="991"/>
      <c r="I3184" s="19" t="s">
        <v>278</v>
      </c>
      <c r="J3184" s="19"/>
      <c r="K3184" s="992" t="s">
        <v>17</v>
      </c>
      <c r="L3184" s="993"/>
      <c r="M3184" s="25"/>
      <c r="N3184" s="26"/>
      <c r="O3184" s="2"/>
      <c r="P3184" s="27"/>
      <c r="Q3184" s="26"/>
      <c r="R3184" s="28"/>
    </row>
    <row r="3185" spans="1:18" ht="30" customHeight="1" x14ac:dyDescent="0.45">
      <c r="A3185" s="642" t="s">
        <v>1741</v>
      </c>
      <c r="B3185" s="1008" t="s">
        <v>1742</v>
      </c>
      <c r="C3185" s="1009"/>
      <c r="D3185" s="1010"/>
      <c r="E3185" s="221">
        <v>168</v>
      </c>
      <c r="F3185" s="47" t="s">
        <v>35</v>
      </c>
      <c r="G3185" s="47"/>
      <c r="H3185" s="47"/>
      <c r="I3185" s="47">
        <v>1.1599999999999999</v>
      </c>
      <c r="J3185" s="365"/>
      <c r="K3185" s="221">
        <f>+E3185*I3185</f>
        <v>194.88</v>
      </c>
      <c r="L3185" s="47" t="s">
        <v>35</v>
      </c>
      <c r="M3185" s="25"/>
      <c r="N3185" s="26"/>
      <c r="O3185" s="2"/>
      <c r="P3185" s="27"/>
      <c r="Q3185" s="26"/>
      <c r="R3185" s="28"/>
    </row>
    <row r="3186" spans="1:18" ht="30" customHeight="1" x14ac:dyDescent="0.45">
      <c r="A3186" s="642" t="s">
        <v>1741</v>
      </c>
      <c r="B3186" s="1092" t="s">
        <v>1743</v>
      </c>
      <c r="C3186" s="1092"/>
      <c r="D3186" s="1092"/>
      <c r="E3186" s="216">
        <v>61</v>
      </c>
      <c r="F3186" s="47" t="s">
        <v>35</v>
      </c>
      <c r="G3186" s="556"/>
      <c r="H3186" s="179"/>
      <c r="I3186" s="47">
        <v>1.1599999999999999</v>
      </c>
      <c r="J3186" s="365"/>
      <c r="K3186" s="221">
        <f>+E3186*I3186</f>
        <v>70.759999999999991</v>
      </c>
      <c r="L3186" s="47" t="s">
        <v>35</v>
      </c>
      <c r="M3186" s="25"/>
      <c r="N3186" s="186"/>
      <c r="O3186" s="2"/>
      <c r="P3186" s="27"/>
      <c r="Q3186" s="26"/>
      <c r="R3186" s="28"/>
    </row>
    <row r="3187" spans="1:18" ht="30" customHeight="1" x14ac:dyDescent="0.45">
      <c r="A3187" s="642" t="s">
        <v>1744</v>
      </c>
      <c r="B3187" s="1092" t="s">
        <v>1745</v>
      </c>
      <c r="C3187" s="1092"/>
      <c r="D3187" s="1092"/>
      <c r="E3187" s="216">
        <v>110</v>
      </c>
      <c r="F3187" s="47" t="s">
        <v>35</v>
      </c>
      <c r="G3187" s="556"/>
      <c r="H3187" s="179"/>
      <c r="I3187" s="47">
        <v>1.1599999999999999</v>
      </c>
      <c r="J3187" s="365"/>
      <c r="K3187" s="221">
        <f>+E3187*I3187</f>
        <v>127.6</v>
      </c>
      <c r="L3187" s="47" t="s">
        <v>35</v>
      </c>
      <c r="M3187" s="25"/>
      <c r="N3187" s="186"/>
      <c r="O3187" s="2"/>
      <c r="P3187" s="27"/>
      <c r="Q3187" s="26"/>
      <c r="R3187" s="28"/>
    </row>
    <row r="3188" spans="1:18" ht="30" customHeight="1" x14ac:dyDescent="0.45">
      <c r="A3188" s="642"/>
      <c r="B3188" s="179"/>
      <c r="C3188" s="179"/>
      <c r="D3188" s="179"/>
      <c r="E3188" s="216"/>
      <c r="F3188" s="47"/>
      <c r="G3188" s="556"/>
      <c r="H3188" s="179"/>
      <c r="I3188" s="47"/>
      <c r="J3188" s="365" t="s">
        <v>56</v>
      </c>
      <c r="K3188" s="221">
        <f>AVERAGE(K3185:K3187)</f>
        <v>131.08000000000001</v>
      </c>
      <c r="L3188" s="47" t="s">
        <v>35</v>
      </c>
      <c r="M3188" s="25"/>
      <c r="N3188" s="26"/>
      <c r="O3188" s="2"/>
      <c r="P3188" s="27"/>
      <c r="Q3188" s="26"/>
      <c r="R3188" s="28"/>
    </row>
    <row r="3189" spans="1:18" ht="30" customHeight="1" x14ac:dyDescent="0.45">
      <c r="A3189" s="642" t="s">
        <v>1631</v>
      </c>
      <c r="B3189" s="1092" t="s">
        <v>1746</v>
      </c>
      <c r="C3189" s="1092"/>
      <c r="D3189" s="1092"/>
      <c r="E3189" s="216">
        <v>5.57</v>
      </c>
      <c r="F3189" s="47" t="s">
        <v>35</v>
      </c>
      <c r="G3189" s="655"/>
      <c r="H3189" s="179"/>
      <c r="I3189" s="47">
        <v>1.1599999999999999</v>
      </c>
      <c r="J3189" s="365"/>
      <c r="K3189" s="221">
        <f>+E3189*I3189</f>
        <v>6.4611999999999998</v>
      </c>
      <c r="L3189" s="47" t="s">
        <v>35</v>
      </c>
      <c r="M3189" s="25"/>
      <c r="N3189" s="26"/>
      <c r="O3189" s="2"/>
      <c r="P3189" s="27"/>
      <c r="Q3189" s="26"/>
      <c r="R3189" s="28"/>
    </row>
    <row r="3190" spans="1:18" ht="30" customHeight="1" x14ac:dyDescent="0.45">
      <c r="A3190" s="47"/>
      <c r="B3190" s="1092"/>
      <c r="C3190" s="1092"/>
      <c r="D3190" s="1092"/>
      <c r="E3190" s="221"/>
      <c r="F3190" s="47"/>
      <c r="G3190" s="58"/>
      <c r="H3190" s="179"/>
      <c r="I3190" s="47"/>
      <c r="J3190" s="47" t="s">
        <v>38</v>
      </c>
      <c r="K3190" s="221">
        <f>+K3189+K3188</f>
        <v>137.5412</v>
      </c>
      <c r="L3190" s="47" t="s">
        <v>35</v>
      </c>
      <c r="M3190" s="25"/>
      <c r="N3190" s="26"/>
      <c r="O3190" s="2"/>
      <c r="P3190" s="27"/>
      <c r="Q3190" s="26"/>
      <c r="R3190" s="28"/>
    </row>
    <row r="3191" spans="1:18" ht="30" customHeight="1" x14ac:dyDescent="0.45">
      <c r="A3191" s="47"/>
      <c r="B3191" s="224"/>
      <c r="C3191" s="224"/>
      <c r="D3191" s="224"/>
      <c r="E3191" s="221"/>
      <c r="F3191" s="1011" t="s">
        <v>285</v>
      </c>
      <c r="G3191" s="1013" t="s">
        <v>286</v>
      </c>
      <c r="H3191" s="1013"/>
      <c r="I3191" s="1013"/>
      <c r="J3191" s="1013"/>
      <c r="K3191" s="365">
        <v>1.06</v>
      </c>
      <c r="L3191" s="47"/>
      <c r="M3191" s="25"/>
      <c r="N3191" s="26"/>
      <c r="O3191" s="2"/>
      <c r="P3191" s="27"/>
      <c r="Q3191" s="26"/>
      <c r="R3191" s="28"/>
    </row>
    <row r="3192" spans="1:18" ht="30" customHeight="1" x14ac:dyDescent="0.45">
      <c r="A3192" s="47"/>
      <c r="B3192" s="224"/>
      <c r="C3192" s="224"/>
      <c r="D3192" s="224"/>
      <c r="E3192" s="221"/>
      <c r="F3192" s="1012"/>
      <c r="G3192" s="1014" t="s">
        <v>298</v>
      </c>
      <c r="H3192" s="1014"/>
      <c r="I3192" s="1014"/>
      <c r="J3192" s="1014"/>
      <c r="K3192" s="278">
        <v>1.06</v>
      </c>
      <c r="L3192" s="47"/>
      <c r="M3192" s="25"/>
      <c r="N3192" s="26"/>
      <c r="O3192" s="2"/>
      <c r="P3192" s="27"/>
      <c r="Q3192" s="26"/>
      <c r="R3192" s="28"/>
    </row>
    <row r="3193" spans="1:18" ht="30" customHeight="1" x14ac:dyDescent="0.45">
      <c r="A3193" s="79"/>
      <c r="B3193" s="79"/>
      <c r="C3193" s="79"/>
      <c r="D3193" s="79"/>
      <c r="E3193" s="58"/>
      <c r="F3193" s="58"/>
      <c r="G3193" s="58"/>
      <c r="H3193" s="58"/>
      <c r="I3193" s="58"/>
      <c r="J3193" s="47" t="s">
        <v>39</v>
      </c>
      <c r="K3193" s="216">
        <f>+K3190*K3191/K3192</f>
        <v>137.5412</v>
      </c>
      <c r="L3193" s="47" t="s">
        <v>35</v>
      </c>
      <c r="M3193" s="25"/>
      <c r="N3193" s="26"/>
      <c r="O3193" s="2"/>
      <c r="P3193" s="27"/>
      <c r="Q3193" s="26"/>
      <c r="R3193" s="28"/>
    </row>
    <row r="3194" spans="1:18" ht="30" customHeight="1" x14ac:dyDescent="0.45">
      <c r="A3194" s="315"/>
      <c r="B3194" s="315"/>
      <c r="C3194" s="315"/>
      <c r="D3194" s="315"/>
      <c r="E3194" s="150"/>
      <c r="F3194" s="150"/>
      <c r="G3194" s="1021" t="s">
        <v>288</v>
      </c>
      <c r="H3194" s="1022"/>
      <c r="I3194" s="1023"/>
      <c r="J3194" s="226">
        <f>VLOOKUP(B3183,'[1]Mil Cost Premiums for PUCs'!$A$4:$R$278,18,FALSE)</f>
        <v>1.2841179843245845</v>
      </c>
      <c r="K3194" s="227">
        <f>+K3193*J3194</f>
        <v>176.61912850558454</v>
      </c>
      <c r="L3194" s="225" t="s">
        <v>35</v>
      </c>
      <c r="M3194" s="25"/>
      <c r="N3194" s="5"/>
      <c r="O3194" s="2"/>
      <c r="P3194" s="27"/>
      <c r="Q3194" s="26"/>
      <c r="R3194" s="28"/>
    </row>
    <row r="3195" spans="1:18" ht="30" customHeight="1" thickBot="1" x14ac:dyDescent="0.5">
      <c r="A3195" s="225"/>
      <c r="B3195" s="225"/>
      <c r="C3195" s="150"/>
      <c r="D3195" s="150"/>
      <c r="E3195" s="150"/>
      <c r="F3195" s="150"/>
      <c r="G3195" s="1025" t="s">
        <v>299</v>
      </c>
      <c r="H3195" s="1026"/>
      <c r="I3195" s="1027"/>
      <c r="J3195" s="226">
        <v>1.1214</v>
      </c>
      <c r="K3195" s="227">
        <f>+K3194*J3195</f>
        <v>198.06069070616249</v>
      </c>
      <c r="L3195" s="225" t="s">
        <v>35</v>
      </c>
      <c r="M3195" s="25"/>
    </row>
    <row r="3196" spans="1:18" ht="30" customHeight="1" thickBot="1" x14ac:dyDescent="0.5">
      <c r="A3196" s="999"/>
      <c r="B3196" s="1000"/>
      <c r="C3196" s="1000"/>
      <c r="D3196" s="1000"/>
      <c r="E3196" s="1000"/>
      <c r="F3196" s="1000"/>
      <c r="G3196" s="1000"/>
      <c r="H3196" s="1000"/>
      <c r="I3196" s="1000"/>
      <c r="J3196" s="1000"/>
      <c r="K3196" s="1000"/>
      <c r="L3196" s="1001"/>
      <c r="M3196" s="25"/>
      <c r="N3196" s="5"/>
      <c r="O3196" s="2"/>
      <c r="P3196" s="27"/>
      <c r="Q3196" s="26"/>
      <c r="R3196" s="28"/>
    </row>
    <row r="3197" spans="1:18" ht="30" customHeight="1" x14ac:dyDescent="0.45">
      <c r="A3197" s="9" t="s">
        <v>4</v>
      </c>
      <c r="B3197" s="10">
        <v>7361</v>
      </c>
      <c r="C3197" s="1138" t="s">
        <v>1747</v>
      </c>
      <c r="D3197" s="1139"/>
      <c r="E3197" s="13" t="s">
        <v>7</v>
      </c>
      <c r="F3197" s="14" t="s">
        <v>35</v>
      </c>
      <c r="G3197" s="11" t="s">
        <v>6</v>
      </c>
      <c r="H3197" s="184">
        <v>8275</v>
      </c>
      <c r="I3197" s="13" t="s">
        <v>9</v>
      </c>
      <c r="J3197" s="985" t="s">
        <v>1524</v>
      </c>
      <c r="K3197" s="985"/>
      <c r="L3197" s="986"/>
      <c r="M3197" s="25"/>
      <c r="N3197" s="26"/>
      <c r="O3197" s="2"/>
      <c r="P3197" s="27"/>
      <c r="Q3197" s="26"/>
      <c r="R3197" s="28"/>
    </row>
    <row r="3198" spans="1:18" ht="30" customHeight="1" x14ac:dyDescent="0.45">
      <c r="A3198" s="19" t="s">
        <v>11</v>
      </c>
      <c r="B3198" s="1005" t="s">
        <v>12</v>
      </c>
      <c r="C3198" s="1005"/>
      <c r="D3198" s="1005"/>
      <c r="E3198" s="20" t="s">
        <v>13</v>
      </c>
      <c r="F3198" s="19" t="s">
        <v>267</v>
      </c>
      <c r="G3198" s="1114" t="s">
        <v>15</v>
      </c>
      <c r="H3198" s="1115"/>
      <c r="I3198" s="1068" t="s">
        <v>16</v>
      </c>
      <c r="J3198" s="1069"/>
      <c r="K3198" s="992" t="s">
        <v>17</v>
      </c>
      <c r="L3198" s="993"/>
      <c r="M3198" s="25"/>
      <c r="N3198" s="26"/>
      <c r="O3198" s="2"/>
      <c r="P3198" s="27"/>
      <c r="Q3198" s="26"/>
      <c r="R3198" s="28"/>
    </row>
    <row r="3199" spans="1:18" ht="30" customHeight="1" x14ac:dyDescent="0.45">
      <c r="A3199" s="47">
        <v>73017</v>
      </c>
      <c r="B3199" s="1008" t="s">
        <v>1748</v>
      </c>
      <c r="C3199" s="1009"/>
      <c r="D3199" s="1010"/>
      <c r="E3199" s="221">
        <v>344</v>
      </c>
      <c r="F3199" s="394">
        <v>23000</v>
      </c>
      <c r="G3199" s="167"/>
      <c r="H3199" s="29"/>
      <c r="I3199" s="1161">
        <f>+'[1]2023 MILCON Inflation Table'!$F$17</f>
        <v>1.2152790130673263</v>
      </c>
      <c r="J3199" s="1162"/>
      <c r="K3199" s="36">
        <f>+E3199*I3199</f>
        <v>418.05598049516027</v>
      </c>
      <c r="L3199" s="29" t="s">
        <v>35</v>
      </c>
      <c r="N3199" s="26"/>
      <c r="O3199" s="2"/>
      <c r="P3199" s="27"/>
      <c r="Q3199" s="26"/>
      <c r="R3199" s="28"/>
    </row>
    <row r="3200" spans="1:18" ht="30" customHeight="1" thickBot="1" x14ac:dyDescent="0.5">
      <c r="A3200" s="47"/>
      <c r="B3200" s="1008"/>
      <c r="C3200" s="1009"/>
      <c r="D3200" s="1010"/>
      <c r="E3200" s="161"/>
      <c r="F3200" s="415"/>
      <c r="G3200" s="161"/>
      <c r="H3200" s="389"/>
      <c r="I3200" s="58"/>
      <c r="J3200" s="85" t="s">
        <v>39</v>
      </c>
      <c r="K3200" s="185">
        <f>SUM(K3199:K3199)</f>
        <v>418.05598049516027</v>
      </c>
      <c r="L3200" s="29" t="s">
        <v>35</v>
      </c>
      <c r="N3200" s="26"/>
      <c r="O3200" s="2"/>
      <c r="P3200" s="27"/>
      <c r="Q3200" s="26"/>
      <c r="R3200" s="28"/>
    </row>
    <row r="3201" spans="1:20" ht="30" customHeight="1" thickBot="1" x14ac:dyDescent="0.5">
      <c r="A3201" s="999"/>
      <c r="B3201" s="1000"/>
      <c r="C3201" s="1000"/>
      <c r="D3201" s="1000"/>
      <c r="E3201" s="1000"/>
      <c r="F3201" s="1000"/>
      <c r="G3201" s="1000"/>
      <c r="H3201" s="1000"/>
      <c r="I3201" s="1000"/>
      <c r="J3201" s="1000"/>
      <c r="K3201" s="1000"/>
      <c r="L3201" s="1001"/>
      <c r="M3201" s="25"/>
      <c r="N3201" s="26"/>
      <c r="O3201" s="2"/>
      <c r="P3201" s="27"/>
      <c r="Q3201" s="26"/>
      <c r="R3201" s="28"/>
    </row>
    <row r="3202" spans="1:20" ht="30" customHeight="1" x14ac:dyDescent="0.45">
      <c r="A3202" s="690" t="s">
        <v>4</v>
      </c>
      <c r="B3202" s="691">
        <v>7362</v>
      </c>
      <c r="C3202" s="1232" t="s">
        <v>1749</v>
      </c>
      <c r="D3202" s="1233"/>
      <c r="E3202" s="692" t="s">
        <v>7</v>
      </c>
      <c r="F3202" s="708" t="s">
        <v>35</v>
      </c>
      <c r="G3202" s="11" t="s">
        <v>6</v>
      </c>
      <c r="H3202" s="709">
        <v>5779</v>
      </c>
      <c r="I3202" s="692" t="s">
        <v>9</v>
      </c>
      <c r="J3202" s="985" t="s">
        <v>575</v>
      </c>
      <c r="K3202" s="985"/>
      <c r="L3202" s="986"/>
      <c r="M3202" s="25"/>
      <c r="N3202" s="26"/>
      <c r="O3202" s="2"/>
      <c r="P3202" s="27"/>
      <c r="Q3202" s="26"/>
      <c r="R3202" s="28"/>
    </row>
    <row r="3203" spans="1:20" ht="30" customHeight="1" x14ac:dyDescent="0.45">
      <c r="A3203" s="695" t="s">
        <v>277</v>
      </c>
      <c r="B3203" s="1055" t="s">
        <v>293</v>
      </c>
      <c r="C3203" s="1056"/>
      <c r="D3203" s="1057"/>
      <c r="E3203" s="696" t="s">
        <v>13</v>
      </c>
      <c r="F3203" s="696" t="s">
        <v>14</v>
      </c>
      <c r="G3203" s="1058" t="s">
        <v>15</v>
      </c>
      <c r="H3203" s="1059"/>
      <c r="I3203" s="710" t="s">
        <v>1750</v>
      </c>
      <c r="J3203" s="710"/>
      <c r="K3203" s="992" t="s">
        <v>17</v>
      </c>
      <c r="L3203" s="993"/>
      <c r="M3203" s="25"/>
      <c r="N3203" s="26"/>
      <c r="O3203" s="2"/>
      <c r="P3203" s="27"/>
      <c r="Q3203" s="26"/>
      <c r="R3203" s="28"/>
    </row>
    <row r="3204" spans="1:20" ht="30" customHeight="1" x14ac:dyDescent="0.45">
      <c r="A3204" s="697" t="s">
        <v>1751</v>
      </c>
      <c r="B3204" s="1213" t="s">
        <v>1752</v>
      </c>
      <c r="C3204" s="1214"/>
      <c r="D3204" s="1215"/>
      <c r="E3204" s="698">
        <v>128</v>
      </c>
      <c r="F3204" s="699" t="s">
        <v>35</v>
      </c>
      <c r="G3204" s="700"/>
      <c r="H3204" s="701"/>
      <c r="I3204" s="702">
        <v>1.04</v>
      </c>
      <c r="J3204" s="702"/>
      <c r="K3204" s="698">
        <f>+E3204*I3204</f>
        <v>133.12</v>
      </c>
      <c r="L3204" s="702" t="s">
        <v>35</v>
      </c>
      <c r="M3204" s="25"/>
      <c r="N3204" s="26"/>
      <c r="O3204" s="2"/>
      <c r="P3204" s="27"/>
      <c r="Q3204" s="26"/>
      <c r="R3204" s="28"/>
    </row>
    <row r="3205" spans="1:20" ht="30" customHeight="1" x14ac:dyDescent="0.45">
      <c r="A3205" s="703" t="s">
        <v>1631</v>
      </c>
      <c r="B3205" s="1213" t="s">
        <v>1753</v>
      </c>
      <c r="C3205" s="1214"/>
      <c r="D3205" s="1215"/>
      <c r="E3205" s="698">
        <v>4.4800000000000004</v>
      </c>
      <c r="F3205" s="702" t="s">
        <v>35</v>
      </c>
      <c r="G3205" s="704">
        <v>0.121</v>
      </c>
      <c r="H3205" s="702" t="s">
        <v>1754</v>
      </c>
      <c r="I3205" s="702">
        <v>1.04</v>
      </c>
      <c r="J3205" s="702"/>
      <c r="K3205" s="698">
        <f>+E3205*G3205*I3205</f>
        <v>0.56376320000000002</v>
      </c>
      <c r="L3205" s="702" t="s">
        <v>35</v>
      </c>
      <c r="M3205" s="25"/>
      <c r="N3205" s="26"/>
      <c r="O3205" s="2"/>
      <c r="P3205" s="27"/>
      <c r="Q3205" s="26"/>
      <c r="R3205" s="28"/>
    </row>
    <row r="3206" spans="1:20" ht="30" customHeight="1" x14ac:dyDescent="0.45">
      <c r="A3206" s="702"/>
      <c r="B3206" s="1213"/>
      <c r="C3206" s="1214"/>
      <c r="D3206" s="1215"/>
      <c r="E3206" s="698"/>
      <c r="F3206" s="702"/>
      <c r="G3206" s="702"/>
      <c r="H3206" s="702"/>
      <c r="I3206" s="702"/>
      <c r="J3206" s="702" t="s">
        <v>38</v>
      </c>
      <c r="K3206" s="698">
        <f>SUM(K3204:K3205)</f>
        <v>133.68376320000002</v>
      </c>
      <c r="L3206" s="702" t="s">
        <v>35</v>
      </c>
      <c r="M3206" s="25"/>
      <c r="N3206" s="26"/>
      <c r="O3206" s="2"/>
      <c r="P3206" s="27"/>
      <c r="Q3206" s="26"/>
      <c r="R3206" s="28"/>
    </row>
    <row r="3207" spans="1:20" ht="30" customHeight="1" x14ac:dyDescent="0.45">
      <c r="A3207" s="47"/>
      <c r="B3207" s="224"/>
      <c r="C3207" s="224"/>
      <c r="D3207" s="224"/>
      <c r="E3207" s="221"/>
      <c r="F3207" s="1011" t="s">
        <v>285</v>
      </c>
      <c r="G3207" s="1013" t="s">
        <v>286</v>
      </c>
      <c r="H3207" s="1013"/>
      <c r="I3207" s="1013"/>
      <c r="J3207" s="1013"/>
      <c r="K3207" s="278">
        <v>1.07</v>
      </c>
      <c r="L3207" s="47"/>
      <c r="M3207" s="25"/>
      <c r="N3207" s="26"/>
      <c r="O3207" s="2"/>
      <c r="P3207" s="27"/>
      <c r="Q3207" s="26"/>
      <c r="R3207" s="28"/>
    </row>
    <row r="3208" spans="1:20" ht="30" customHeight="1" x14ac:dyDescent="0.45">
      <c r="A3208" s="47"/>
      <c r="B3208" s="224"/>
      <c r="C3208" s="224"/>
      <c r="D3208" s="224"/>
      <c r="E3208" s="221"/>
      <c r="F3208" s="1012"/>
      <c r="G3208" s="1014" t="s">
        <v>580</v>
      </c>
      <c r="H3208" s="1014"/>
      <c r="I3208" s="1014"/>
      <c r="J3208" s="1014"/>
      <c r="K3208" s="278">
        <v>1.08</v>
      </c>
      <c r="L3208" s="47"/>
      <c r="M3208" s="25"/>
      <c r="N3208" s="26"/>
      <c r="O3208" s="2"/>
      <c r="P3208" s="27"/>
      <c r="Q3208" s="26"/>
      <c r="R3208" s="28"/>
    </row>
    <row r="3209" spans="1:20" ht="30" customHeight="1" x14ac:dyDescent="0.45">
      <c r="A3209" s="702"/>
      <c r="B3209" s="702"/>
      <c r="C3209" s="706"/>
      <c r="D3209" s="706"/>
      <c r="E3209" s="706"/>
      <c r="F3209" s="706"/>
      <c r="G3209" s="706"/>
      <c r="H3209" s="706"/>
      <c r="I3209" s="706"/>
      <c r="J3209" s="702" t="s">
        <v>39</v>
      </c>
      <c r="K3209" s="707">
        <f>+K3206*K3207/K3208</f>
        <v>132.44595057777781</v>
      </c>
      <c r="L3209" s="702" t="s">
        <v>35</v>
      </c>
      <c r="M3209" s="121"/>
      <c r="N3209" s="26"/>
      <c r="O3209" s="2"/>
      <c r="P3209" s="27"/>
      <c r="Q3209" s="26"/>
      <c r="R3209" s="28"/>
    </row>
    <row r="3210" spans="1:20" ht="30" customHeight="1" x14ac:dyDescent="0.45">
      <c r="A3210" s="702"/>
      <c r="B3210" s="702"/>
      <c r="C3210" s="706"/>
      <c r="D3210" s="706"/>
      <c r="E3210" s="706"/>
      <c r="F3210" s="706"/>
      <c r="G3210" s="1021" t="s">
        <v>288</v>
      </c>
      <c r="H3210" s="1022"/>
      <c r="I3210" s="1023"/>
      <c r="J3210" s="213">
        <f>VLOOKUP(B3202,'[1]Mil Cost Premiums for PUCs'!$A$4:$R$278,18,FALSE)</f>
        <v>1.3045524833281539</v>
      </c>
      <c r="K3210" s="707">
        <f>+K3209*J3210</f>
        <v>172.78269373299798</v>
      </c>
      <c r="L3210" s="702" t="s">
        <v>35</v>
      </c>
      <c r="M3210" s="121"/>
      <c r="N3210" s="26"/>
      <c r="O3210" s="2"/>
      <c r="P3210" s="27"/>
      <c r="Q3210" s="26"/>
      <c r="R3210" s="28"/>
    </row>
    <row r="3211" spans="1:20" ht="30" customHeight="1" x14ac:dyDescent="0.45">
      <c r="A3211" s="541"/>
      <c r="B3211" s="541"/>
      <c r="C3211" s="542"/>
      <c r="D3211" s="542"/>
      <c r="E3211" s="552"/>
      <c r="F3211" s="1024" t="s">
        <v>581</v>
      </c>
      <c r="G3211" s="1024"/>
      <c r="H3211" s="1024"/>
      <c r="I3211" s="1024"/>
      <c r="J3211" s="543">
        <v>1.0833999999999999</v>
      </c>
      <c r="K3211" s="363">
        <f>K3210*J3211</f>
        <v>187.19277039033</v>
      </c>
      <c r="L3211" s="225" t="s">
        <v>35</v>
      </c>
      <c r="M3211" s="25"/>
      <c r="N3211" s="26"/>
      <c r="O3211" s="2"/>
      <c r="P3211" s="27"/>
      <c r="Q3211" s="26"/>
      <c r="R3211" s="28"/>
      <c r="T3211" s="18"/>
    </row>
    <row r="3212" spans="1:20" ht="30" customHeight="1" thickBot="1" x14ac:dyDescent="0.5">
      <c r="A3212" s="225"/>
      <c r="B3212" s="225"/>
      <c r="C3212" s="150"/>
      <c r="D3212" s="150"/>
      <c r="E3212" s="150"/>
      <c r="F3212" s="150"/>
      <c r="G3212" s="1025" t="s">
        <v>299</v>
      </c>
      <c r="H3212" s="1026"/>
      <c r="I3212" s="1027"/>
      <c r="J3212" s="226">
        <v>1.1214</v>
      </c>
      <c r="K3212" s="227">
        <f>+K3211*J3212</f>
        <v>209.91797271571605</v>
      </c>
      <c r="L3212" s="225" t="s">
        <v>35</v>
      </c>
      <c r="M3212" s="25"/>
    </row>
    <row r="3213" spans="1:20" ht="30" customHeight="1" thickBot="1" x14ac:dyDescent="0.5">
      <c r="A3213" s="999"/>
      <c r="B3213" s="1000"/>
      <c r="C3213" s="1000"/>
      <c r="D3213" s="1000"/>
      <c r="E3213" s="1000"/>
      <c r="F3213" s="1000"/>
      <c r="G3213" s="1000"/>
      <c r="H3213" s="1000"/>
      <c r="I3213" s="1000"/>
      <c r="J3213" s="1000"/>
      <c r="K3213" s="1000"/>
      <c r="L3213" s="1001"/>
      <c r="M3213" s="25"/>
      <c r="N3213" s="26"/>
      <c r="S3213" s="41"/>
    </row>
    <row r="3214" spans="1:20" ht="30" customHeight="1" x14ac:dyDescent="0.45">
      <c r="A3214" s="9" t="s">
        <v>4</v>
      </c>
      <c r="B3214" s="10">
        <v>7371</v>
      </c>
      <c r="C3214" s="1138" t="s">
        <v>1755</v>
      </c>
      <c r="D3214" s="1139"/>
      <c r="E3214" s="13" t="s">
        <v>7</v>
      </c>
      <c r="F3214" s="14" t="s">
        <v>35</v>
      </c>
      <c r="G3214" s="11" t="s">
        <v>6</v>
      </c>
      <c r="H3214" s="184">
        <v>22302.846752312402</v>
      </c>
      <c r="I3214" s="13" t="s">
        <v>9</v>
      </c>
      <c r="J3214" s="985" t="s">
        <v>266</v>
      </c>
      <c r="K3214" s="985"/>
      <c r="L3214" s="986"/>
      <c r="N3214" s="26"/>
      <c r="O3214" s="2"/>
      <c r="P3214" s="27"/>
      <c r="Q3214" s="26"/>
      <c r="R3214" s="28"/>
    </row>
    <row r="3215" spans="1:20" ht="30" customHeight="1" x14ac:dyDescent="0.45">
      <c r="A3215" s="19" t="s">
        <v>11</v>
      </c>
      <c r="B3215" s="1005" t="s">
        <v>12</v>
      </c>
      <c r="C3215" s="1005"/>
      <c r="D3215" s="1005"/>
      <c r="E3215" s="19" t="s">
        <v>267</v>
      </c>
      <c r="F3215" s="19" t="s">
        <v>13</v>
      </c>
      <c r="G3215" s="1114" t="s">
        <v>15</v>
      </c>
      <c r="H3215" s="1115"/>
      <c r="I3215" s="1140" t="s">
        <v>60</v>
      </c>
      <c r="J3215" s="1141"/>
      <c r="K3215" s="992" t="s">
        <v>17</v>
      </c>
      <c r="L3215" s="993"/>
      <c r="M3215" s="25"/>
      <c r="N3215" s="26"/>
      <c r="O3215" s="2"/>
      <c r="P3215" s="27"/>
      <c r="Q3215" s="26"/>
      <c r="R3215" s="28"/>
    </row>
    <row r="3216" spans="1:20" ht="30" customHeight="1" x14ac:dyDescent="0.45">
      <c r="A3216" s="47" t="s">
        <v>268</v>
      </c>
      <c r="B3216" s="1008" t="s">
        <v>1756</v>
      </c>
      <c r="C3216" s="1009"/>
      <c r="D3216" s="1010"/>
      <c r="E3216" s="514">
        <v>35000</v>
      </c>
      <c r="F3216" s="711">
        <v>485</v>
      </c>
      <c r="G3216" s="167"/>
      <c r="H3216" s="29"/>
      <c r="I3216" s="1119" t="s">
        <v>270</v>
      </c>
      <c r="J3216" s="1120"/>
      <c r="K3216" s="635">
        <f>+F3216</f>
        <v>485</v>
      </c>
      <c r="L3216" s="29" t="s">
        <v>35</v>
      </c>
      <c r="M3216" s="25"/>
      <c r="N3216" s="229"/>
      <c r="O3216" s="2"/>
      <c r="P3216" s="27"/>
      <c r="Q3216" s="26"/>
      <c r="R3216" s="28"/>
    </row>
    <row r="3217" spans="1:18" ht="30" customHeight="1" thickBot="1" x14ac:dyDescent="0.5">
      <c r="A3217" s="47"/>
      <c r="B3217" s="1008"/>
      <c r="C3217" s="1009"/>
      <c r="D3217" s="1010"/>
      <c r="E3217" s="161"/>
      <c r="F3217" s="415"/>
      <c r="G3217" s="161"/>
      <c r="H3217" s="389"/>
      <c r="I3217" s="58"/>
      <c r="J3217" s="85" t="s">
        <v>39</v>
      </c>
      <c r="K3217" s="145">
        <f>K3216</f>
        <v>485</v>
      </c>
      <c r="L3217" s="29" t="s">
        <v>35</v>
      </c>
      <c r="M3217" s="25"/>
      <c r="O3217" s="2"/>
      <c r="P3217" s="27"/>
      <c r="Q3217" s="26"/>
      <c r="R3217" s="28"/>
    </row>
    <row r="3218" spans="1:18" ht="30" customHeight="1" thickBot="1" x14ac:dyDescent="0.5">
      <c r="A3218" s="999"/>
      <c r="B3218" s="1000"/>
      <c r="C3218" s="1000"/>
      <c r="D3218" s="1000"/>
      <c r="E3218" s="1000"/>
      <c r="F3218" s="1000"/>
      <c r="G3218" s="1000"/>
      <c r="H3218" s="1000"/>
      <c r="I3218" s="1000"/>
      <c r="J3218" s="1000"/>
      <c r="K3218" s="1000"/>
      <c r="L3218" s="1001"/>
      <c r="M3218" s="25"/>
      <c r="O3218" s="2"/>
      <c r="P3218" s="27"/>
      <c r="Q3218" s="26"/>
      <c r="R3218" s="28"/>
    </row>
    <row r="3219" spans="1:18" ht="30" customHeight="1" x14ac:dyDescent="0.45">
      <c r="A3219" s="9" t="s">
        <v>4</v>
      </c>
      <c r="B3219" s="10">
        <v>7372</v>
      </c>
      <c r="C3219" s="983" t="s">
        <v>1757</v>
      </c>
      <c r="D3219" s="984"/>
      <c r="E3219" s="13" t="s">
        <v>7</v>
      </c>
      <c r="F3219" s="14" t="s">
        <v>35</v>
      </c>
      <c r="G3219" s="11" t="s">
        <v>6</v>
      </c>
      <c r="H3219" s="163">
        <v>11462.7338846153</v>
      </c>
      <c r="I3219" s="13" t="s">
        <v>9</v>
      </c>
      <c r="J3219" s="985" t="s">
        <v>276</v>
      </c>
      <c r="K3219" s="985"/>
      <c r="L3219" s="986"/>
      <c r="M3219" s="25"/>
      <c r="O3219" s="2"/>
      <c r="P3219" s="27"/>
      <c r="Q3219" s="26"/>
      <c r="R3219" s="28"/>
    </row>
    <row r="3220" spans="1:18" ht="30" customHeight="1" x14ac:dyDescent="0.45">
      <c r="A3220" s="85" t="s">
        <v>277</v>
      </c>
      <c r="B3220" s="1005" t="s">
        <v>12</v>
      </c>
      <c r="C3220" s="1005"/>
      <c r="D3220" s="1005"/>
      <c r="E3220" s="220" t="s">
        <v>13</v>
      </c>
      <c r="F3220" s="220" t="s">
        <v>14</v>
      </c>
      <c r="G3220" s="990" t="s">
        <v>15</v>
      </c>
      <c r="H3220" s="991"/>
      <c r="I3220" s="19" t="s">
        <v>1316</v>
      </c>
      <c r="J3220" s="19" t="s">
        <v>278</v>
      </c>
      <c r="K3220" s="992" t="s">
        <v>17</v>
      </c>
      <c r="L3220" s="993"/>
      <c r="M3220" s="25"/>
      <c r="O3220" s="2"/>
      <c r="P3220" s="27"/>
      <c r="Q3220" s="26"/>
      <c r="R3220" s="28"/>
    </row>
    <row r="3221" spans="1:18" ht="30" customHeight="1" x14ac:dyDescent="0.45">
      <c r="A3221" s="426" t="s">
        <v>1758</v>
      </c>
      <c r="B3221" s="1008" t="s">
        <v>1759</v>
      </c>
      <c r="C3221" s="1009"/>
      <c r="D3221" s="1010"/>
      <c r="E3221" s="221">
        <v>155</v>
      </c>
      <c r="F3221" s="56" t="s">
        <v>35</v>
      </c>
      <c r="G3221" s="348"/>
      <c r="H3221" s="349"/>
      <c r="I3221" s="58"/>
      <c r="J3221" s="47">
        <v>1.1200000000000001</v>
      </c>
      <c r="K3221" s="221">
        <f>+E3221*J3221</f>
        <v>173.60000000000002</v>
      </c>
      <c r="L3221" s="47" t="s">
        <v>35</v>
      </c>
      <c r="M3221" s="25"/>
      <c r="N3221" s="229"/>
      <c r="O3221" s="2"/>
      <c r="P3221" s="27"/>
      <c r="Q3221" s="26"/>
      <c r="R3221" s="28"/>
    </row>
    <row r="3222" spans="1:18" ht="30" customHeight="1" x14ac:dyDescent="0.45">
      <c r="A3222" s="642" t="s">
        <v>397</v>
      </c>
      <c r="B3222" s="1030" t="s">
        <v>1734</v>
      </c>
      <c r="C3222" s="1030"/>
      <c r="D3222" s="1030"/>
      <c r="E3222" s="221">
        <v>4.8899999999999997</v>
      </c>
      <c r="F3222" s="47" t="s">
        <v>35</v>
      </c>
      <c r="G3222" s="47"/>
      <c r="H3222" s="47"/>
      <c r="I3222" s="224"/>
      <c r="J3222" s="47">
        <v>1.1200000000000001</v>
      </c>
      <c r="K3222" s="221">
        <f>+E3222*J3222</f>
        <v>5.4767999999999999</v>
      </c>
      <c r="L3222" s="47" t="s">
        <v>35</v>
      </c>
      <c r="M3222" s="25"/>
      <c r="O3222" s="2"/>
      <c r="P3222" s="27"/>
      <c r="Q3222" s="26"/>
      <c r="R3222" s="28"/>
    </row>
    <row r="3223" spans="1:18" ht="30" customHeight="1" x14ac:dyDescent="0.45">
      <c r="A3223" s="642" t="s">
        <v>395</v>
      </c>
      <c r="B3223" s="1060" t="s">
        <v>1736</v>
      </c>
      <c r="C3223" s="1061"/>
      <c r="D3223" s="1062"/>
      <c r="E3223" s="221">
        <v>69750</v>
      </c>
      <c r="F3223" s="47" t="s">
        <v>88</v>
      </c>
      <c r="G3223" s="712">
        <f>+E3223/H3219</f>
        <v>6.0849358191604637</v>
      </c>
      <c r="H3223" s="676" t="s">
        <v>1737</v>
      </c>
      <c r="I3223" s="224"/>
      <c r="J3223" s="47">
        <v>1.1200000000000001</v>
      </c>
      <c r="K3223" s="221">
        <f>+J3223*G3223</f>
        <v>6.8151281174597198</v>
      </c>
      <c r="L3223" s="47" t="s">
        <v>35</v>
      </c>
      <c r="M3223" s="25"/>
      <c r="O3223" s="2"/>
      <c r="P3223" s="27"/>
      <c r="Q3223" s="26"/>
      <c r="R3223" s="28"/>
    </row>
    <row r="3224" spans="1:18" ht="30" customHeight="1" x14ac:dyDescent="0.45">
      <c r="A3224" s="47"/>
      <c r="B3224" s="1030"/>
      <c r="C3224" s="1030"/>
      <c r="D3224" s="1030"/>
      <c r="E3224" s="221"/>
      <c r="F3224" s="47"/>
      <c r="G3224" s="47"/>
      <c r="H3224" s="47"/>
      <c r="I3224" s="47"/>
      <c r="J3224" s="47" t="s">
        <v>38</v>
      </c>
      <c r="K3224" s="221">
        <f>SUM(K3221:K3223)</f>
        <v>185.89192811745974</v>
      </c>
      <c r="L3224" s="47" t="s">
        <v>35</v>
      </c>
      <c r="M3224" s="25"/>
      <c r="O3224" s="2"/>
      <c r="P3224" s="27"/>
      <c r="Q3224" s="26"/>
      <c r="R3224" s="28"/>
    </row>
    <row r="3225" spans="1:18" ht="30" customHeight="1" x14ac:dyDescent="0.45">
      <c r="A3225" s="47"/>
      <c r="B3225" s="224"/>
      <c r="C3225" s="224"/>
      <c r="D3225" s="224"/>
      <c r="E3225" s="221"/>
      <c r="F3225" s="1011" t="s">
        <v>285</v>
      </c>
      <c r="G3225" s="1013" t="s">
        <v>286</v>
      </c>
      <c r="H3225" s="1013"/>
      <c r="I3225" s="1013"/>
      <c r="J3225" s="1013"/>
      <c r="K3225" s="278">
        <v>1.06</v>
      </c>
      <c r="L3225" s="47"/>
      <c r="M3225" s="25"/>
      <c r="O3225" s="2"/>
      <c r="P3225" s="27"/>
      <c r="Q3225" s="26"/>
      <c r="R3225" s="28"/>
    </row>
    <row r="3226" spans="1:18" ht="30" customHeight="1" x14ac:dyDescent="0.45">
      <c r="A3226" s="47"/>
      <c r="B3226" s="224"/>
      <c r="C3226" s="224"/>
      <c r="D3226" s="224"/>
      <c r="E3226" s="221"/>
      <c r="F3226" s="1012"/>
      <c r="G3226" s="1014" t="s">
        <v>287</v>
      </c>
      <c r="H3226" s="1014"/>
      <c r="I3226" s="1014"/>
      <c r="J3226" s="1014"/>
      <c r="K3226" s="278">
        <v>1.05</v>
      </c>
      <c r="L3226" s="47"/>
      <c r="M3226" s="25"/>
      <c r="O3226" s="2"/>
      <c r="P3226" s="27"/>
      <c r="Q3226" s="26"/>
      <c r="R3226" s="28"/>
    </row>
    <row r="3227" spans="1:18" ht="30" customHeight="1" x14ac:dyDescent="0.45">
      <c r="A3227" s="47"/>
      <c r="B3227" s="47"/>
      <c r="C3227" s="58"/>
      <c r="D3227" s="58"/>
      <c r="E3227" s="58"/>
      <c r="F3227" s="58"/>
      <c r="G3227" s="58"/>
      <c r="H3227" s="58"/>
      <c r="I3227" s="58"/>
      <c r="J3227" s="47" t="s">
        <v>39</v>
      </c>
      <c r="K3227" s="216">
        <f>+K3224*K3225/K3226</f>
        <v>187.66232743286412</v>
      </c>
      <c r="L3227" s="47" t="s">
        <v>35</v>
      </c>
      <c r="M3227" s="25"/>
      <c r="N3227" s="26"/>
      <c r="O3227" s="2"/>
      <c r="P3227" s="27"/>
      <c r="Q3227" s="26"/>
      <c r="R3227" s="28"/>
    </row>
    <row r="3228" spans="1:18" ht="30" customHeight="1" thickBot="1" x14ac:dyDescent="0.5">
      <c r="A3228" s="47"/>
      <c r="B3228" s="47"/>
      <c r="C3228" s="58"/>
      <c r="D3228" s="58"/>
      <c r="E3228" s="58"/>
      <c r="F3228" s="58"/>
      <c r="G3228" s="1226" t="s">
        <v>288</v>
      </c>
      <c r="H3228" s="1227"/>
      <c r="I3228" s="1228"/>
      <c r="J3228" s="213">
        <f>VLOOKUP(B3219,'[1]Mil Cost Premiums for PUCs'!$A$4:$R$278,18,FALSE)</f>
        <v>1.3319480854780448</v>
      </c>
      <c r="K3228" s="216">
        <f>+K3227*J3228</f>
        <v>249.95647774055732</v>
      </c>
      <c r="L3228" s="47" t="s">
        <v>35</v>
      </c>
      <c r="N3228" s="144"/>
      <c r="O3228" s="2"/>
      <c r="P3228" s="27"/>
      <c r="Q3228" s="26"/>
      <c r="R3228" s="28"/>
    </row>
    <row r="3229" spans="1:18" ht="30" customHeight="1" thickBot="1" x14ac:dyDescent="0.5">
      <c r="A3229" s="999"/>
      <c r="B3229" s="1000"/>
      <c r="C3229" s="1000"/>
      <c r="D3229" s="1000"/>
      <c r="E3229" s="1000"/>
      <c r="F3229" s="1000"/>
      <c r="G3229" s="1000"/>
      <c r="H3229" s="1000"/>
      <c r="I3229" s="1000"/>
      <c r="J3229" s="1000"/>
      <c r="K3229" s="1000"/>
      <c r="L3229" s="1001"/>
      <c r="M3229" s="25"/>
      <c r="N3229" s="26"/>
      <c r="O3229" s="2"/>
      <c r="P3229" s="27"/>
      <c r="Q3229" s="26"/>
      <c r="R3229" s="28"/>
    </row>
    <row r="3230" spans="1:18" ht="30" customHeight="1" x14ac:dyDescent="0.45">
      <c r="A3230" s="9" t="s">
        <v>4</v>
      </c>
      <c r="B3230" s="10">
        <v>7380</v>
      </c>
      <c r="C3230" s="1002" t="s">
        <v>1760</v>
      </c>
      <c r="D3230" s="1003"/>
      <c r="E3230" s="13" t="s">
        <v>7</v>
      </c>
      <c r="F3230" s="14" t="s">
        <v>35</v>
      </c>
      <c r="G3230" s="11" t="s">
        <v>6</v>
      </c>
      <c r="H3230" s="12">
        <v>6040</v>
      </c>
      <c r="I3230" s="13" t="s">
        <v>9</v>
      </c>
      <c r="J3230" s="1155" t="s">
        <v>673</v>
      </c>
      <c r="K3230" s="1156"/>
      <c r="L3230" s="1127"/>
      <c r="M3230" s="90"/>
      <c r="N3230" s="26"/>
      <c r="O3230" s="2"/>
      <c r="P3230" s="27"/>
      <c r="Q3230" s="26"/>
      <c r="R3230" s="28"/>
    </row>
    <row r="3231" spans="1:18" ht="30" customHeight="1" x14ac:dyDescent="0.45">
      <c r="A3231" s="19"/>
      <c r="B3231" s="1005" t="s">
        <v>12</v>
      </c>
      <c r="C3231" s="1005"/>
      <c r="D3231" s="1005"/>
      <c r="E3231" s="19" t="s">
        <v>13</v>
      </c>
      <c r="F3231" s="19" t="s">
        <v>14</v>
      </c>
      <c r="G3231" s="990" t="s">
        <v>15</v>
      </c>
      <c r="H3231" s="991"/>
      <c r="I3231" s="19" t="s">
        <v>59</v>
      </c>
      <c r="J3231" s="19" t="s">
        <v>60</v>
      </c>
      <c r="K3231" s="992" t="s">
        <v>39</v>
      </c>
      <c r="L3231" s="993"/>
      <c r="M3231" s="111"/>
      <c r="N3231" s="26"/>
      <c r="O3231" s="2"/>
      <c r="P3231" s="27"/>
      <c r="Q3231" s="26"/>
      <c r="R3231" s="28"/>
    </row>
    <row r="3232" spans="1:18" ht="30" customHeight="1" thickBot="1" x14ac:dyDescent="0.5">
      <c r="A3232" s="38"/>
      <c r="B3232" s="1203" t="s">
        <v>676</v>
      </c>
      <c r="C3232" s="1203"/>
      <c r="D3232" s="1203"/>
      <c r="E3232" s="104"/>
      <c r="F3232" s="105"/>
      <c r="G3232" s="1084"/>
      <c r="H3232" s="1085"/>
      <c r="I3232" s="105"/>
      <c r="J3232" s="106"/>
      <c r="K3232" s="108" t="str">
        <f>B3232</f>
        <v>N/A</v>
      </c>
      <c r="L3232" s="105" t="s">
        <v>35</v>
      </c>
      <c r="M3232" s="90"/>
      <c r="N3232" s="685"/>
      <c r="O3232" s="2"/>
      <c r="P3232" s="27"/>
      <c r="Q3232" s="26"/>
      <c r="R3232" s="28"/>
    </row>
    <row r="3233" spans="1:18" ht="30" customHeight="1" thickBot="1" x14ac:dyDescent="0.5">
      <c r="A3233" s="1229"/>
      <c r="B3233" s="1230"/>
      <c r="C3233" s="1230"/>
      <c r="D3233" s="1230"/>
      <c r="E3233" s="1230"/>
      <c r="F3233" s="1230"/>
      <c r="G3233" s="1230"/>
      <c r="H3233" s="1230"/>
      <c r="I3233" s="1230"/>
      <c r="J3233" s="1230"/>
      <c r="K3233" s="1230"/>
      <c r="L3233" s="1231"/>
      <c r="M3233" s="25"/>
      <c r="N3233" s="26"/>
      <c r="O3233" s="2"/>
      <c r="P3233" s="27"/>
      <c r="Q3233" s="26"/>
      <c r="R3233" s="28"/>
    </row>
    <row r="3234" spans="1:18" ht="30" customHeight="1" x14ac:dyDescent="0.45">
      <c r="A3234" s="9" t="s">
        <v>4</v>
      </c>
      <c r="B3234" s="10">
        <v>7381</v>
      </c>
      <c r="C3234" s="983" t="s">
        <v>1761</v>
      </c>
      <c r="D3234" s="984"/>
      <c r="E3234" s="13" t="s">
        <v>7</v>
      </c>
      <c r="F3234" s="14" t="s">
        <v>35</v>
      </c>
      <c r="G3234" s="11" t="s">
        <v>6</v>
      </c>
      <c r="H3234" s="713">
        <v>430</v>
      </c>
      <c r="I3234" s="13" t="s">
        <v>9</v>
      </c>
      <c r="J3234" s="985" t="s">
        <v>575</v>
      </c>
      <c r="K3234" s="985"/>
      <c r="L3234" s="986"/>
      <c r="M3234" s="25"/>
      <c r="N3234" s="26"/>
      <c r="O3234" s="2"/>
      <c r="P3234" s="27"/>
      <c r="Q3234" s="26"/>
      <c r="R3234" s="28"/>
    </row>
    <row r="3235" spans="1:18" ht="30" customHeight="1" x14ac:dyDescent="0.45">
      <c r="A3235" s="85" t="s">
        <v>277</v>
      </c>
      <c r="B3235" s="987" t="s">
        <v>293</v>
      </c>
      <c r="C3235" s="988"/>
      <c r="D3235" s="989"/>
      <c r="E3235" s="220" t="s">
        <v>13</v>
      </c>
      <c r="F3235" s="220" t="s">
        <v>14</v>
      </c>
      <c r="G3235" s="990" t="s">
        <v>15</v>
      </c>
      <c r="H3235" s="991"/>
      <c r="I3235" s="19" t="s">
        <v>278</v>
      </c>
      <c r="J3235" s="19"/>
      <c r="K3235" s="992" t="s">
        <v>17</v>
      </c>
      <c r="L3235" s="993"/>
      <c r="M3235" s="25"/>
      <c r="N3235" s="26"/>
      <c r="O3235" s="2"/>
      <c r="P3235" s="27"/>
      <c r="Q3235" s="26"/>
      <c r="R3235" s="28"/>
    </row>
    <row r="3236" spans="1:18" ht="30" customHeight="1" x14ac:dyDescent="0.45">
      <c r="A3236" s="426" t="s">
        <v>1762</v>
      </c>
      <c r="B3236" s="1008" t="s">
        <v>1763</v>
      </c>
      <c r="C3236" s="1009"/>
      <c r="D3236" s="1010"/>
      <c r="E3236" s="221">
        <v>81.5</v>
      </c>
      <c r="F3236" s="56" t="s">
        <v>35</v>
      </c>
      <c r="G3236" s="348"/>
      <c r="H3236" s="349"/>
      <c r="I3236" s="365">
        <v>1.06</v>
      </c>
      <c r="J3236" s="47"/>
      <c r="K3236" s="221">
        <f>+E3236*I3236</f>
        <v>86.39</v>
      </c>
      <c r="L3236" s="47" t="s">
        <v>35</v>
      </c>
      <c r="M3236" s="25"/>
      <c r="N3236" s="26"/>
      <c r="O3236" s="2"/>
      <c r="P3236" s="27"/>
      <c r="Q3236" s="26"/>
      <c r="R3236" s="28"/>
    </row>
    <row r="3237" spans="1:18" ht="30" customHeight="1" x14ac:dyDescent="0.45">
      <c r="A3237" s="47"/>
      <c r="B3237" s="224"/>
      <c r="C3237" s="224"/>
      <c r="D3237" s="224"/>
      <c r="E3237" s="221"/>
      <c r="F3237" s="1011" t="s">
        <v>285</v>
      </c>
      <c r="G3237" s="1013" t="s">
        <v>286</v>
      </c>
      <c r="H3237" s="1013"/>
      <c r="I3237" s="1013"/>
      <c r="J3237" s="1013"/>
      <c r="K3237" s="278">
        <v>1.07</v>
      </c>
      <c r="L3237" s="47"/>
      <c r="M3237" s="25"/>
      <c r="N3237" s="26"/>
      <c r="O3237" s="2"/>
      <c r="P3237" s="27"/>
      <c r="Q3237" s="26"/>
      <c r="R3237" s="28"/>
    </row>
    <row r="3238" spans="1:18" ht="30" customHeight="1" x14ac:dyDescent="0.45">
      <c r="A3238" s="47"/>
      <c r="B3238" s="224"/>
      <c r="C3238" s="224"/>
      <c r="D3238" s="224"/>
      <c r="E3238" s="221"/>
      <c r="F3238" s="1012"/>
      <c r="G3238" s="1014" t="s">
        <v>580</v>
      </c>
      <c r="H3238" s="1014"/>
      <c r="I3238" s="1014"/>
      <c r="J3238" s="1014"/>
      <c r="K3238" s="278">
        <v>1.08</v>
      </c>
      <c r="L3238" s="47"/>
      <c r="N3238" s="26"/>
      <c r="O3238" s="2"/>
      <c r="P3238" s="27"/>
      <c r="Q3238" s="26"/>
      <c r="R3238" s="28"/>
    </row>
    <row r="3239" spans="1:18" ht="30" customHeight="1" x14ac:dyDescent="0.45">
      <c r="A3239" s="47"/>
      <c r="B3239" s="47"/>
      <c r="C3239" s="58"/>
      <c r="D3239" s="58"/>
      <c r="E3239" s="58"/>
      <c r="F3239" s="58"/>
      <c r="G3239" s="58"/>
      <c r="H3239" s="58"/>
      <c r="I3239" s="58"/>
      <c r="J3239" s="47" t="s">
        <v>39</v>
      </c>
      <c r="K3239" s="216">
        <f>+K3236*K3237/K3238</f>
        <v>85.590092592592597</v>
      </c>
      <c r="L3239" s="47" t="s">
        <v>35</v>
      </c>
      <c r="M3239" s="25"/>
      <c r="N3239" s="26"/>
      <c r="O3239" s="2"/>
      <c r="P3239" s="27"/>
      <c r="Q3239" s="26"/>
      <c r="R3239" s="28"/>
    </row>
    <row r="3240" spans="1:18" ht="30" customHeight="1" x14ac:dyDescent="0.45">
      <c r="A3240" s="47"/>
      <c r="B3240" s="47"/>
      <c r="C3240" s="58"/>
      <c r="D3240" s="58"/>
      <c r="E3240" s="58"/>
      <c r="F3240" s="58"/>
      <c r="G3240" s="1021" t="s">
        <v>288</v>
      </c>
      <c r="H3240" s="1022"/>
      <c r="I3240" s="1023"/>
      <c r="J3240" s="213">
        <f>VLOOKUP(B3234,'[1]Mil Cost Premiums for PUCs'!$A$4:$R$278,18,FALSE)</f>
        <v>1.0209999999999999</v>
      </c>
      <c r="K3240" s="216">
        <f>+K3239*J3240</f>
        <v>87.387484537037039</v>
      </c>
      <c r="L3240" s="47" t="s">
        <v>35</v>
      </c>
      <c r="M3240" s="25"/>
      <c r="N3240" s="26"/>
      <c r="O3240" s="2"/>
      <c r="P3240" s="27"/>
      <c r="Q3240" s="26"/>
      <c r="R3240" s="28"/>
    </row>
    <row r="3241" spans="1:18" ht="30" customHeight="1" x14ac:dyDescent="0.45">
      <c r="A3241" s="541"/>
      <c r="B3241" s="541"/>
      <c r="C3241" s="542"/>
      <c r="D3241" s="542"/>
      <c r="E3241" s="552"/>
      <c r="F3241" s="1024" t="s">
        <v>581</v>
      </c>
      <c r="G3241" s="1024"/>
      <c r="H3241" s="1024"/>
      <c r="I3241" s="1024"/>
      <c r="J3241" s="543">
        <v>1.0833999999999999</v>
      </c>
      <c r="K3241" s="363">
        <f>K3240*J3241</f>
        <v>94.675600747425918</v>
      </c>
      <c r="L3241" s="225" t="s">
        <v>35</v>
      </c>
      <c r="M3241" s="25"/>
      <c r="N3241" s="26"/>
      <c r="O3241" s="2"/>
      <c r="P3241" s="27"/>
      <c r="Q3241" s="26"/>
      <c r="R3241" s="28"/>
    </row>
    <row r="3242" spans="1:18" ht="30" customHeight="1" thickBot="1" x14ac:dyDescent="0.5">
      <c r="A3242" s="225"/>
      <c r="B3242" s="225"/>
      <c r="C3242" s="150"/>
      <c r="D3242" s="150"/>
      <c r="E3242" s="150"/>
      <c r="F3242" s="150"/>
      <c r="G3242" s="1025" t="s">
        <v>299</v>
      </c>
      <c r="H3242" s="1026"/>
      <c r="I3242" s="1027"/>
      <c r="J3242" s="226">
        <v>1.1214</v>
      </c>
      <c r="K3242" s="227">
        <f>+K3241*J3242</f>
        <v>106.16921867816342</v>
      </c>
      <c r="L3242" s="225" t="s">
        <v>35</v>
      </c>
      <c r="M3242" s="25"/>
    </row>
    <row r="3243" spans="1:18" ht="30" customHeight="1" thickBot="1" x14ac:dyDescent="0.5">
      <c r="A3243" s="999"/>
      <c r="B3243" s="1000"/>
      <c r="C3243" s="1000"/>
      <c r="D3243" s="1000"/>
      <c r="E3243" s="1000"/>
      <c r="F3243" s="1000"/>
      <c r="G3243" s="1000"/>
      <c r="H3243" s="1000"/>
      <c r="I3243" s="1000"/>
      <c r="J3243" s="1000"/>
      <c r="K3243" s="1000"/>
      <c r="L3243" s="1001"/>
      <c r="M3243" s="25"/>
      <c r="N3243" s="26"/>
      <c r="O3243" s="2"/>
      <c r="P3243" s="27"/>
      <c r="Q3243" s="26"/>
      <c r="R3243" s="28"/>
    </row>
    <row r="3244" spans="1:18" ht="30" customHeight="1" x14ac:dyDescent="0.45">
      <c r="A3244" s="9" t="s">
        <v>4</v>
      </c>
      <c r="B3244" s="10">
        <v>7382</v>
      </c>
      <c r="C3244" s="983" t="s">
        <v>1764</v>
      </c>
      <c r="D3244" s="984"/>
      <c r="E3244" s="13" t="s">
        <v>7</v>
      </c>
      <c r="F3244" s="14" t="s">
        <v>35</v>
      </c>
      <c r="G3244" s="11" t="s">
        <v>6</v>
      </c>
      <c r="H3244" s="184">
        <v>3883</v>
      </c>
      <c r="I3244" s="13" t="s">
        <v>9</v>
      </c>
      <c r="J3244" s="985" t="s">
        <v>575</v>
      </c>
      <c r="K3244" s="985"/>
      <c r="L3244" s="986"/>
      <c r="M3244" s="25"/>
      <c r="N3244" s="26"/>
      <c r="O3244" s="2"/>
      <c r="P3244" s="27"/>
      <c r="Q3244" s="26"/>
      <c r="R3244" s="28"/>
    </row>
    <row r="3245" spans="1:18" ht="30" customHeight="1" x14ac:dyDescent="0.45">
      <c r="A3245" s="85" t="s">
        <v>277</v>
      </c>
      <c r="B3245" s="987" t="s">
        <v>293</v>
      </c>
      <c r="C3245" s="988"/>
      <c r="D3245" s="989"/>
      <c r="E3245" s="220" t="s">
        <v>13</v>
      </c>
      <c r="F3245" s="220" t="s">
        <v>14</v>
      </c>
      <c r="G3245" s="990" t="s">
        <v>15</v>
      </c>
      <c r="H3245" s="991"/>
      <c r="I3245" s="19" t="s">
        <v>278</v>
      </c>
      <c r="J3245" s="19"/>
      <c r="K3245" s="992" t="s">
        <v>17</v>
      </c>
      <c r="L3245" s="993"/>
      <c r="M3245" s="25"/>
      <c r="N3245" s="26"/>
      <c r="O3245" s="2"/>
      <c r="P3245" s="27"/>
      <c r="Q3245" s="26"/>
      <c r="R3245" s="28"/>
    </row>
    <row r="3246" spans="1:18" ht="30" customHeight="1" x14ac:dyDescent="0.45">
      <c r="A3246" s="426" t="s">
        <v>1629</v>
      </c>
      <c r="B3246" s="1008" t="s">
        <v>1630</v>
      </c>
      <c r="C3246" s="1009"/>
      <c r="D3246" s="1010"/>
      <c r="E3246" s="221">
        <v>143</v>
      </c>
      <c r="F3246" s="56" t="s">
        <v>35</v>
      </c>
      <c r="G3246" s="348"/>
      <c r="H3246" s="349"/>
      <c r="I3246" s="47">
        <v>1.04</v>
      </c>
      <c r="J3246" s="47"/>
      <c r="K3246" s="221">
        <f>+E3246*I3246</f>
        <v>148.72</v>
      </c>
      <c r="L3246" s="47" t="s">
        <v>35</v>
      </c>
      <c r="M3246" s="25"/>
      <c r="N3246" s="26"/>
      <c r="O3246" s="2"/>
      <c r="P3246" s="27"/>
      <c r="Q3246" s="26"/>
      <c r="R3246" s="28"/>
    </row>
    <row r="3247" spans="1:18" ht="30" customHeight="1" x14ac:dyDescent="0.45">
      <c r="A3247" s="47" t="s">
        <v>1631</v>
      </c>
      <c r="B3247" s="1030" t="s">
        <v>1765</v>
      </c>
      <c r="C3247" s="1030"/>
      <c r="D3247" s="1030"/>
      <c r="E3247" s="221">
        <v>4.4800000000000004</v>
      </c>
      <c r="F3247" s="47" t="s">
        <v>35</v>
      </c>
      <c r="G3247" s="47"/>
      <c r="H3247" s="47"/>
      <c r="I3247" s="47">
        <v>1.04</v>
      </c>
      <c r="J3247" s="47"/>
      <c r="K3247" s="221">
        <f>+E3247*I3247</f>
        <v>4.6592000000000002</v>
      </c>
      <c r="L3247" s="47" t="s">
        <v>35</v>
      </c>
      <c r="M3247" s="25"/>
      <c r="N3247" s="26"/>
      <c r="O3247" s="2"/>
      <c r="P3247" s="27"/>
      <c r="Q3247" s="26"/>
      <c r="R3247" s="28"/>
    </row>
    <row r="3248" spans="1:18" ht="30" customHeight="1" x14ac:dyDescent="0.45">
      <c r="A3248" s="47"/>
      <c r="B3248" s="47"/>
      <c r="C3248" s="58"/>
      <c r="D3248" s="58"/>
      <c r="E3248" s="58"/>
      <c r="F3248" s="58"/>
      <c r="G3248" s="58"/>
      <c r="H3248" s="58"/>
      <c r="I3248" s="58"/>
      <c r="J3248" s="47" t="s">
        <v>38</v>
      </c>
      <c r="K3248" s="216">
        <f>SUM(K3246:K3247)</f>
        <v>153.3792</v>
      </c>
      <c r="L3248" s="47" t="s">
        <v>35</v>
      </c>
      <c r="M3248" s="25"/>
      <c r="N3248" s="26"/>
      <c r="O3248" s="2"/>
      <c r="P3248" s="27"/>
      <c r="Q3248" s="26"/>
      <c r="R3248" s="28"/>
    </row>
    <row r="3249" spans="1:18" ht="30" customHeight="1" x14ac:dyDescent="0.45">
      <c r="A3249" s="47"/>
      <c r="B3249" s="224"/>
      <c r="C3249" s="224"/>
      <c r="D3249" s="224"/>
      <c r="E3249" s="221"/>
      <c r="F3249" s="1011" t="s">
        <v>285</v>
      </c>
      <c r="G3249" s="1013" t="s">
        <v>286</v>
      </c>
      <c r="H3249" s="1013"/>
      <c r="I3249" s="1013"/>
      <c r="J3249" s="1013"/>
      <c r="K3249" s="278">
        <v>1.07</v>
      </c>
      <c r="L3249" s="47"/>
      <c r="M3249" s="25"/>
      <c r="N3249" s="26"/>
      <c r="O3249" s="2"/>
      <c r="P3249" s="27"/>
      <c r="Q3249" s="26"/>
      <c r="R3249" s="28"/>
    </row>
    <row r="3250" spans="1:18" ht="30" customHeight="1" x14ac:dyDescent="0.45">
      <c r="A3250" s="47"/>
      <c r="B3250" s="224"/>
      <c r="C3250" s="224"/>
      <c r="D3250" s="224"/>
      <c r="E3250" s="221"/>
      <c r="F3250" s="1012"/>
      <c r="G3250" s="1014" t="s">
        <v>580</v>
      </c>
      <c r="H3250" s="1014"/>
      <c r="I3250" s="1014"/>
      <c r="J3250" s="1014"/>
      <c r="K3250" s="278">
        <v>1.08</v>
      </c>
      <c r="L3250" s="47"/>
      <c r="M3250" s="25"/>
      <c r="N3250" s="26"/>
      <c r="O3250" s="2"/>
      <c r="P3250" s="27"/>
      <c r="Q3250" s="26"/>
      <c r="R3250" s="28"/>
    </row>
    <row r="3251" spans="1:18" ht="30" customHeight="1" x14ac:dyDescent="0.45">
      <c r="A3251" s="47"/>
      <c r="B3251" s="224"/>
      <c r="C3251" s="224"/>
      <c r="D3251" s="224"/>
      <c r="E3251" s="221"/>
      <c r="F3251" s="83"/>
      <c r="G3251" s="203"/>
      <c r="H3251" s="203"/>
      <c r="I3251" s="203"/>
      <c r="J3251" s="47" t="s">
        <v>39</v>
      </c>
      <c r="K3251" s="31">
        <f>+K3248*K3249/K3250</f>
        <v>151.95902222222222</v>
      </c>
      <c r="L3251" s="47" t="s">
        <v>35</v>
      </c>
      <c r="M3251" s="25"/>
      <c r="N3251" s="26"/>
      <c r="O3251" s="2"/>
      <c r="P3251" s="27"/>
      <c r="Q3251" s="26"/>
      <c r="R3251" s="28"/>
    </row>
    <row r="3252" spans="1:18" ht="30" customHeight="1" x14ac:dyDescent="0.45">
      <c r="A3252" s="47"/>
      <c r="B3252" s="47"/>
      <c r="C3252" s="58"/>
      <c r="D3252" s="58"/>
      <c r="E3252" s="58"/>
      <c r="F3252" s="58"/>
      <c r="G3252" s="1021" t="s">
        <v>288</v>
      </c>
      <c r="H3252" s="1022"/>
      <c r="I3252" s="1023"/>
      <c r="J3252" s="213">
        <f>VLOOKUP(B3244,'[1]Mil Cost Premiums for PUCs'!$A$4:$R$278,18,FALSE)</f>
        <v>1.0209999999999999</v>
      </c>
      <c r="K3252" s="216">
        <f>+K3251*J3252</f>
        <v>155.15016168888886</v>
      </c>
      <c r="L3252" s="47" t="s">
        <v>35</v>
      </c>
      <c r="M3252" s="25"/>
      <c r="N3252" s="26"/>
      <c r="O3252" s="2"/>
      <c r="P3252" s="27"/>
      <c r="Q3252" s="26"/>
      <c r="R3252" s="28"/>
    </row>
    <row r="3253" spans="1:18" ht="30" customHeight="1" x14ac:dyDescent="0.45">
      <c r="A3253" s="541"/>
      <c r="B3253" s="541"/>
      <c r="C3253" s="542"/>
      <c r="D3253" s="542"/>
      <c r="E3253" s="552"/>
      <c r="F3253" s="1024" t="s">
        <v>581</v>
      </c>
      <c r="G3253" s="1024"/>
      <c r="H3253" s="1024"/>
      <c r="I3253" s="1024"/>
      <c r="J3253" s="543">
        <v>1.0833999999999999</v>
      </c>
      <c r="K3253" s="363">
        <f>K3252*J3253</f>
        <v>168.08968517374217</v>
      </c>
      <c r="L3253" s="225" t="s">
        <v>35</v>
      </c>
      <c r="M3253" s="25"/>
      <c r="N3253" s="26"/>
      <c r="O3253" s="2"/>
      <c r="P3253" s="27"/>
      <c r="Q3253" s="26"/>
      <c r="R3253" s="28"/>
    </row>
    <row r="3254" spans="1:18" ht="30" customHeight="1" thickBot="1" x14ac:dyDescent="0.5">
      <c r="A3254" s="225"/>
      <c r="B3254" s="225"/>
      <c r="C3254" s="150"/>
      <c r="D3254" s="150"/>
      <c r="E3254" s="150"/>
      <c r="F3254" s="150"/>
      <c r="G3254" s="1025" t="s">
        <v>299</v>
      </c>
      <c r="H3254" s="1026"/>
      <c r="I3254" s="1027"/>
      <c r="J3254" s="226">
        <v>1.1214</v>
      </c>
      <c r="K3254" s="227">
        <f>+K3253*J3254</f>
        <v>188.49577295383446</v>
      </c>
      <c r="L3254" s="225" t="s">
        <v>35</v>
      </c>
      <c r="M3254" s="25"/>
    </row>
    <row r="3255" spans="1:18" ht="30" customHeight="1" thickBot="1" x14ac:dyDescent="0.5">
      <c r="A3255" s="999"/>
      <c r="B3255" s="1000"/>
      <c r="C3255" s="1000"/>
      <c r="D3255" s="1000"/>
      <c r="E3255" s="1000"/>
      <c r="F3255" s="1000"/>
      <c r="G3255" s="1000"/>
      <c r="H3255" s="1000"/>
      <c r="I3255" s="1000"/>
      <c r="J3255" s="1000"/>
      <c r="K3255" s="1000"/>
      <c r="L3255" s="1001"/>
      <c r="M3255" s="121"/>
      <c r="N3255" s="26"/>
      <c r="O3255" s="2"/>
      <c r="P3255" s="27"/>
      <c r="Q3255" s="26"/>
      <c r="R3255" s="28"/>
    </row>
    <row r="3256" spans="1:18" ht="30" customHeight="1" x14ac:dyDescent="0.45">
      <c r="A3256" s="9" t="s">
        <v>4</v>
      </c>
      <c r="B3256" s="10">
        <v>7383</v>
      </c>
      <c r="C3256" s="1138" t="s">
        <v>1766</v>
      </c>
      <c r="D3256" s="1139"/>
      <c r="E3256" s="13" t="s">
        <v>7</v>
      </c>
      <c r="F3256" s="14" t="s">
        <v>35</v>
      </c>
      <c r="G3256" s="11" t="s">
        <v>6</v>
      </c>
      <c r="H3256" s="713">
        <v>2490</v>
      </c>
      <c r="I3256" s="13" t="s">
        <v>9</v>
      </c>
      <c r="J3256" s="985" t="s">
        <v>1235</v>
      </c>
      <c r="K3256" s="985"/>
      <c r="L3256" s="986"/>
      <c r="M3256" s="25"/>
      <c r="N3256" s="26"/>
      <c r="O3256" s="2"/>
      <c r="P3256" s="27"/>
      <c r="Q3256" s="26"/>
      <c r="R3256" s="28"/>
    </row>
    <row r="3257" spans="1:18" ht="30" customHeight="1" x14ac:dyDescent="0.45">
      <c r="A3257" s="19" t="s">
        <v>11</v>
      </c>
      <c r="B3257" s="1005" t="s">
        <v>12</v>
      </c>
      <c r="C3257" s="1005"/>
      <c r="D3257" s="1005"/>
      <c r="E3257" s="132" t="s">
        <v>267</v>
      </c>
      <c r="F3257" s="20" t="s">
        <v>13</v>
      </c>
      <c r="G3257" s="656"/>
      <c r="I3257" s="1068" t="s">
        <v>16</v>
      </c>
      <c r="J3257" s="1069"/>
      <c r="K3257" s="992" t="s">
        <v>17</v>
      </c>
      <c r="L3257" s="993"/>
      <c r="N3257" s="26"/>
      <c r="O3257" s="2"/>
      <c r="P3257" s="27"/>
      <c r="Q3257" s="26"/>
      <c r="R3257" s="28"/>
    </row>
    <row r="3258" spans="1:18" ht="30" customHeight="1" x14ac:dyDescent="0.45">
      <c r="A3258" s="29">
        <v>62010</v>
      </c>
      <c r="B3258" s="994" t="s">
        <v>1533</v>
      </c>
      <c r="C3258" s="994"/>
      <c r="D3258" s="994"/>
      <c r="E3258" s="176">
        <v>6000</v>
      </c>
      <c r="F3258" s="145">
        <v>235</v>
      </c>
      <c r="G3258" s="29"/>
      <c r="H3258" s="232"/>
      <c r="I3258" s="1161">
        <f>+'[1]2023 MILCON Inflation Table'!F8</f>
        <v>1.6732905027856291</v>
      </c>
      <c r="J3258" s="1162"/>
      <c r="K3258" s="36">
        <f>+F3258*I3258</f>
        <v>393.22326815462282</v>
      </c>
      <c r="L3258" s="29" t="s">
        <v>35</v>
      </c>
      <c r="M3258" s="25"/>
      <c r="N3258" s="26"/>
      <c r="O3258" s="2"/>
      <c r="P3258" s="27"/>
      <c r="Q3258" s="26"/>
      <c r="R3258" s="28"/>
    </row>
    <row r="3259" spans="1:18" ht="30" customHeight="1" thickBot="1" x14ac:dyDescent="0.5">
      <c r="A3259" s="47"/>
      <c r="B3259" s="1092"/>
      <c r="C3259" s="1092"/>
      <c r="D3259" s="1092"/>
      <c r="E3259" s="180"/>
      <c r="F3259" s="181"/>
      <c r="G3259" s="181"/>
      <c r="H3259" s="182"/>
      <c r="I3259" s="58"/>
      <c r="J3259" s="85" t="s">
        <v>39</v>
      </c>
      <c r="K3259" s="185">
        <f>+K3258</f>
        <v>393.22326815462282</v>
      </c>
      <c r="L3259" s="47" t="s">
        <v>35</v>
      </c>
      <c r="M3259" s="25"/>
      <c r="N3259" s="26"/>
      <c r="O3259" s="2"/>
      <c r="P3259" s="27"/>
      <c r="Q3259" s="26"/>
      <c r="R3259" s="28"/>
    </row>
    <row r="3260" spans="1:18" ht="30" customHeight="1" thickBot="1" x14ac:dyDescent="0.5">
      <c r="A3260" s="999"/>
      <c r="B3260" s="1000"/>
      <c r="C3260" s="1000"/>
      <c r="D3260" s="1000"/>
      <c r="E3260" s="1000"/>
      <c r="F3260" s="1000"/>
      <c r="G3260" s="1000"/>
      <c r="H3260" s="1000"/>
      <c r="I3260" s="1000"/>
      <c r="J3260" s="1000"/>
      <c r="K3260" s="1000"/>
      <c r="L3260" s="1001"/>
      <c r="M3260" s="25"/>
      <c r="N3260" s="26"/>
      <c r="O3260" s="2"/>
      <c r="P3260" s="27"/>
      <c r="Q3260" s="26"/>
      <c r="R3260" s="28"/>
    </row>
    <row r="3261" spans="1:18" ht="30" customHeight="1" x14ac:dyDescent="0.45">
      <c r="A3261" s="9" t="s">
        <v>4</v>
      </c>
      <c r="B3261" s="10">
        <v>7384</v>
      </c>
      <c r="C3261" s="983" t="s">
        <v>1767</v>
      </c>
      <c r="D3261" s="984"/>
      <c r="E3261" s="13" t="s">
        <v>7</v>
      </c>
      <c r="F3261" s="14" t="s">
        <v>35</v>
      </c>
      <c r="G3261" s="11" t="s">
        <v>6</v>
      </c>
      <c r="H3261" s="163">
        <v>335</v>
      </c>
      <c r="I3261" s="13" t="s">
        <v>9</v>
      </c>
      <c r="J3261" s="985" t="s">
        <v>575</v>
      </c>
      <c r="K3261" s="985"/>
      <c r="L3261" s="986"/>
      <c r="M3261" s="25"/>
      <c r="N3261" s="26"/>
      <c r="O3261" s="2"/>
      <c r="P3261" s="27"/>
      <c r="Q3261" s="26"/>
      <c r="R3261" s="28"/>
    </row>
    <row r="3262" spans="1:18" ht="30" customHeight="1" x14ac:dyDescent="0.45">
      <c r="A3262" s="85" t="s">
        <v>277</v>
      </c>
      <c r="B3262" s="987" t="s">
        <v>293</v>
      </c>
      <c r="C3262" s="988"/>
      <c r="D3262" s="989"/>
      <c r="E3262" s="220" t="s">
        <v>13</v>
      </c>
      <c r="F3262" s="220" t="s">
        <v>14</v>
      </c>
      <c r="G3262" s="990" t="s">
        <v>15</v>
      </c>
      <c r="H3262" s="991"/>
      <c r="I3262" s="19" t="s">
        <v>278</v>
      </c>
      <c r="J3262" s="19"/>
      <c r="K3262" s="23" t="s">
        <v>17</v>
      </c>
      <c r="L3262" s="24"/>
      <c r="M3262" s="25"/>
      <c r="N3262" s="144"/>
      <c r="O3262" s="2"/>
      <c r="P3262" s="27"/>
      <c r="Q3262" s="26"/>
      <c r="R3262" s="28"/>
    </row>
    <row r="3263" spans="1:18" ht="30" customHeight="1" x14ac:dyDescent="0.45">
      <c r="A3263" s="426" t="s">
        <v>646</v>
      </c>
      <c r="B3263" s="1008" t="s">
        <v>1768</v>
      </c>
      <c r="C3263" s="1009"/>
      <c r="D3263" s="1010"/>
      <c r="E3263" s="221">
        <f>+(18.6+47)/2</f>
        <v>32.799999999999997</v>
      </c>
      <c r="F3263" s="56" t="s">
        <v>35</v>
      </c>
      <c r="G3263" s="47"/>
      <c r="H3263" s="47"/>
      <c r="I3263" s="47">
        <v>1.02</v>
      </c>
      <c r="J3263" s="47"/>
      <c r="K3263" s="221">
        <f>+E3263*I3263</f>
        <v>33.455999999999996</v>
      </c>
      <c r="L3263" s="47" t="s">
        <v>35</v>
      </c>
      <c r="M3263" s="25"/>
      <c r="N3263" s="26"/>
      <c r="O3263" s="2"/>
      <c r="P3263" s="27"/>
      <c r="Q3263" s="26"/>
      <c r="R3263" s="28"/>
    </row>
    <row r="3264" spans="1:18" ht="30" customHeight="1" x14ac:dyDescent="0.45">
      <c r="A3264" s="426" t="s">
        <v>646</v>
      </c>
      <c r="B3264" s="1018" t="s">
        <v>1769</v>
      </c>
      <c r="C3264" s="1019"/>
      <c r="D3264" s="1020"/>
      <c r="E3264" s="221">
        <f>+(92+253)/2</f>
        <v>172.5</v>
      </c>
      <c r="F3264" s="56" t="s">
        <v>88</v>
      </c>
      <c r="G3264" s="714">
        <f>1/H3261</f>
        <v>2.9850746268656717E-3</v>
      </c>
      <c r="H3264" s="47" t="s">
        <v>653</v>
      </c>
      <c r="I3264" s="47">
        <v>1.02</v>
      </c>
      <c r="J3264" s="47">
        <v>2</v>
      </c>
      <c r="K3264" s="221">
        <f>E3264*G3264*I3264*J3264</f>
        <v>1.0504477611940299</v>
      </c>
      <c r="L3264" s="47" t="s">
        <v>35</v>
      </c>
      <c r="M3264" s="25"/>
      <c r="N3264" s="26"/>
      <c r="O3264" s="2"/>
      <c r="P3264" s="27"/>
      <c r="Q3264" s="26"/>
      <c r="R3264" s="28"/>
    </row>
    <row r="3265" spans="1:18" ht="30" customHeight="1" x14ac:dyDescent="0.45">
      <c r="A3265" s="676" t="s">
        <v>1697</v>
      </c>
      <c r="B3265" s="1030" t="s">
        <v>1770</v>
      </c>
      <c r="C3265" s="1030"/>
      <c r="D3265" s="1030"/>
      <c r="E3265" s="221">
        <v>71.5</v>
      </c>
      <c r="F3265" s="47" t="s">
        <v>35</v>
      </c>
      <c r="G3265" s="47"/>
      <c r="H3265" s="47"/>
      <c r="I3265" s="47">
        <v>1.02</v>
      </c>
      <c r="J3265" s="47"/>
      <c r="K3265" s="221">
        <f>+E3265*I3265</f>
        <v>72.930000000000007</v>
      </c>
      <c r="L3265" s="47" t="s">
        <v>35</v>
      </c>
      <c r="M3265" s="25"/>
      <c r="N3265" s="26"/>
      <c r="O3265" s="2"/>
      <c r="P3265" s="27"/>
      <c r="Q3265" s="26"/>
      <c r="R3265" s="28"/>
    </row>
    <row r="3266" spans="1:18" ht="30" customHeight="1" x14ac:dyDescent="0.45">
      <c r="A3266" s="676"/>
      <c r="B3266" s="224"/>
      <c r="C3266" s="224"/>
      <c r="D3266" s="224"/>
      <c r="E3266" s="221"/>
      <c r="F3266" s="47"/>
      <c r="G3266" s="47"/>
      <c r="H3266" s="47"/>
      <c r="I3266" s="47"/>
      <c r="J3266" s="105" t="s">
        <v>1771</v>
      </c>
      <c r="K3266" s="221">
        <f>((K3263+K3264)+K3265)/2</f>
        <v>53.718223880597016</v>
      </c>
      <c r="L3266" s="47" t="s">
        <v>35</v>
      </c>
      <c r="M3266" s="25"/>
      <c r="N3266" s="26"/>
      <c r="O3266" s="2"/>
      <c r="P3266" s="27"/>
      <c r="Q3266" s="26"/>
      <c r="R3266" s="28"/>
    </row>
    <row r="3267" spans="1:18" ht="30" customHeight="1" x14ac:dyDescent="0.45">
      <c r="A3267" s="47"/>
      <c r="B3267" s="224"/>
      <c r="C3267" s="224"/>
      <c r="D3267" s="224"/>
      <c r="E3267" s="221"/>
      <c r="F3267" s="1011" t="s">
        <v>285</v>
      </c>
      <c r="G3267" s="1013" t="s">
        <v>286</v>
      </c>
      <c r="H3267" s="1013"/>
      <c r="I3267" s="1013"/>
      <c r="J3267" s="1013"/>
      <c r="K3267" s="278">
        <v>1.07</v>
      </c>
      <c r="L3267" s="47"/>
      <c r="M3267" s="25"/>
      <c r="N3267" s="26"/>
      <c r="O3267" s="2"/>
      <c r="P3267" s="27"/>
      <c r="Q3267" s="26"/>
      <c r="R3267" s="28"/>
    </row>
    <row r="3268" spans="1:18" ht="30" customHeight="1" x14ac:dyDescent="0.45">
      <c r="A3268" s="47"/>
      <c r="B3268" s="224"/>
      <c r="C3268" s="224"/>
      <c r="D3268" s="224"/>
      <c r="E3268" s="221"/>
      <c r="F3268" s="1012"/>
      <c r="G3268" s="1014" t="s">
        <v>580</v>
      </c>
      <c r="H3268" s="1014"/>
      <c r="I3268" s="1014"/>
      <c r="J3268" s="1014"/>
      <c r="K3268" s="278">
        <v>1.08</v>
      </c>
      <c r="L3268" s="47"/>
      <c r="N3268" s="26"/>
      <c r="O3268" s="2"/>
      <c r="P3268" s="27"/>
      <c r="Q3268" s="26"/>
      <c r="R3268" s="28"/>
    </row>
    <row r="3269" spans="1:18" ht="30" customHeight="1" x14ac:dyDescent="0.45">
      <c r="A3269" s="47"/>
      <c r="B3269" s="47"/>
      <c r="C3269" s="58"/>
      <c r="D3269" s="58"/>
      <c r="E3269" s="58"/>
      <c r="F3269" s="58"/>
      <c r="G3269" s="58"/>
      <c r="H3269" s="58"/>
      <c r="I3269" s="58"/>
      <c r="J3269" s="58" t="s">
        <v>39</v>
      </c>
      <c r="K3269" s="216">
        <f>+K3266*K3267/K3268</f>
        <v>53.220832918739632</v>
      </c>
      <c r="L3269" s="47" t="s">
        <v>35</v>
      </c>
      <c r="M3269" s="25"/>
      <c r="N3269" s="26"/>
      <c r="O3269" s="2"/>
      <c r="P3269" s="27"/>
      <c r="Q3269" s="26"/>
      <c r="R3269" s="28"/>
    </row>
    <row r="3270" spans="1:18" ht="30" customHeight="1" x14ac:dyDescent="0.45">
      <c r="A3270" s="47"/>
      <c r="B3270" s="47"/>
      <c r="C3270" s="58"/>
      <c r="D3270" s="58"/>
      <c r="E3270" s="58"/>
      <c r="F3270" s="58"/>
      <c r="G3270" s="1021" t="s">
        <v>288</v>
      </c>
      <c r="H3270" s="1022"/>
      <c r="I3270" s="1023"/>
      <c r="J3270" s="213">
        <f>VLOOKUP(B3261,'[1]Mil Cost Premiums for PUCs'!$A$4:$R$278,18,FALSE)</f>
        <v>1.0209999999999999</v>
      </c>
      <c r="K3270" s="216">
        <f>+K3269*J3270</f>
        <v>54.33847041003316</v>
      </c>
      <c r="L3270" s="47" t="s">
        <v>35</v>
      </c>
      <c r="M3270" s="25"/>
      <c r="N3270" s="26"/>
      <c r="O3270" s="2"/>
      <c r="P3270" s="27"/>
      <c r="Q3270" s="26"/>
      <c r="R3270" s="28"/>
    </row>
    <row r="3271" spans="1:18" ht="30" customHeight="1" x14ac:dyDescent="0.45">
      <c r="A3271" s="541"/>
      <c r="B3271" s="541"/>
      <c r="C3271" s="542"/>
      <c r="D3271" s="542"/>
      <c r="E3271" s="552"/>
      <c r="F3271" s="1024" t="s">
        <v>581</v>
      </c>
      <c r="G3271" s="1024"/>
      <c r="H3271" s="1024"/>
      <c r="I3271" s="1024"/>
      <c r="J3271" s="543">
        <v>1.0833999999999999</v>
      </c>
      <c r="K3271" s="363">
        <f>K3270*J3271</f>
        <v>58.870298842229921</v>
      </c>
      <c r="L3271" s="225" t="s">
        <v>35</v>
      </c>
      <c r="M3271" s="25"/>
      <c r="N3271" s="26"/>
      <c r="O3271" s="2"/>
      <c r="P3271" s="27"/>
      <c r="Q3271" s="26"/>
      <c r="R3271" s="28"/>
    </row>
    <row r="3272" spans="1:18" ht="30" customHeight="1" thickBot="1" x14ac:dyDescent="0.5">
      <c r="A3272" s="225"/>
      <c r="B3272" s="225"/>
      <c r="C3272" s="150"/>
      <c r="D3272" s="150"/>
      <c r="E3272" s="150"/>
      <c r="F3272" s="150"/>
      <c r="G3272" s="1025" t="s">
        <v>299</v>
      </c>
      <c r="H3272" s="1026"/>
      <c r="I3272" s="1027"/>
      <c r="J3272" s="226">
        <v>1.1214</v>
      </c>
      <c r="K3272" s="227">
        <f>+K3271*J3272</f>
        <v>66.017153121676628</v>
      </c>
      <c r="L3272" s="225" t="s">
        <v>35</v>
      </c>
      <c r="M3272" s="25"/>
    </row>
    <row r="3273" spans="1:18" ht="30" customHeight="1" thickBot="1" x14ac:dyDescent="0.5">
      <c r="A3273" s="999"/>
      <c r="B3273" s="1000"/>
      <c r="C3273" s="1000"/>
      <c r="D3273" s="1000"/>
      <c r="E3273" s="1000"/>
      <c r="F3273" s="1000"/>
      <c r="G3273" s="1000"/>
      <c r="H3273" s="1000"/>
      <c r="I3273" s="1000"/>
      <c r="J3273" s="1000"/>
      <c r="K3273" s="1000"/>
      <c r="L3273" s="1001"/>
      <c r="M3273" s="25"/>
      <c r="N3273" s="26"/>
      <c r="O3273" s="2"/>
      <c r="P3273" s="27"/>
      <c r="Q3273" s="26"/>
      <c r="R3273" s="28"/>
    </row>
    <row r="3274" spans="1:18" ht="30" customHeight="1" x14ac:dyDescent="0.45">
      <c r="A3274" s="9" t="s">
        <v>4</v>
      </c>
      <c r="B3274" s="10">
        <v>7385</v>
      </c>
      <c r="C3274" s="983" t="s">
        <v>1772</v>
      </c>
      <c r="D3274" s="984"/>
      <c r="E3274" s="13" t="s">
        <v>7</v>
      </c>
      <c r="F3274" s="14" t="s">
        <v>35</v>
      </c>
      <c r="G3274" s="11" t="s">
        <v>6</v>
      </c>
      <c r="H3274" s="163">
        <v>694.44652163461501</v>
      </c>
      <c r="I3274" s="13" t="s">
        <v>9</v>
      </c>
      <c r="J3274" s="985" t="s">
        <v>276</v>
      </c>
      <c r="K3274" s="985"/>
      <c r="L3274" s="986"/>
      <c r="M3274" s="25"/>
      <c r="N3274" s="26"/>
      <c r="O3274" s="2"/>
      <c r="P3274" s="27"/>
      <c r="Q3274" s="26"/>
      <c r="R3274" s="28"/>
    </row>
    <row r="3275" spans="1:18" ht="30" customHeight="1" x14ac:dyDescent="0.45">
      <c r="A3275" s="85" t="s">
        <v>277</v>
      </c>
      <c r="B3275" s="987" t="s">
        <v>293</v>
      </c>
      <c r="C3275" s="988"/>
      <c r="D3275" s="989"/>
      <c r="E3275" s="220" t="s">
        <v>13</v>
      </c>
      <c r="F3275" s="220" t="s">
        <v>14</v>
      </c>
      <c r="G3275" s="990" t="s">
        <v>15</v>
      </c>
      <c r="H3275" s="991"/>
      <c r="I3275" s="19" t="s">
        <v>1316</v>
      </c>
      <c r="J3275" s="19" t="s">
        <v>278</v>
      </c>
      <c r="K3275" s="992" t="s">
        <v>17</v>
      </c>
      <c r="L3275" s="993"/>
      <c r="M3275" s="25"/>
      <c r="N3275" s="26"/>
      <c r="O3275" s="2"/>
      <c r="P3275" s="27"/>
      <c r="Q3275" s="26"/>
      <c r="R3275" s="28"/>
    </row>
    <row r="3276" spans="1:18" ht="30" customHeight="1" x14ac:dyDescent="0.45">
      <c r="A3276" s="426" t="s">
        <v>1741</v>
      </c>
      <c r="B3276" s="1008" t="s">
        <v>1773</v>
      </c>
      <c r="C3276" s="1009"/>
      <c r="D3276" s="1010"/>
      <c r="E3276" s="221">
        <v>168</v>
      </c>
      <c r="F3276" s="56" t="s">
        <v>35</v>
      </c>
      <c r="G3276" s="715"/>
      <c r="H3276" s="716"/>
      <c r="I3276" s="58"/>
      <c r="J3276" s="47">
        <v>1.28</v>
      </c>
      <c r="K3276" s="221">
        <f>+E3276*J3276</f>
        <v>215.04</v>
      </c>
      <c r="L3276" s="47" t="s">
        <v>35</v>
      </c>
      <c r="M3276" s="25"/>
      <c r="N3276" s="26"/>
      <c r="O3276" s="2"/>
      <c r="P3276" s="27"/>
      <c r="Q3276" s="26"/>
      <c r="R3276" s="28"/>
    </row>
    <row r="3277" spans="1:18" ht="30" customHeight="1" x14ac:dyDescent="0.45">
      <c r="A3277" s="47" t="s">
        <v>1631</v>
      </c>
      <c r="B3277" s="1030" t="s">
        <v>1774</v>
      </c>
      <c r="C3277" s="1030"/>
      <c r="D3277" s="1030"/>
      <c r="E3277" s="221">
        <v>5.14</v>
      </c>
      <c r="F3277" s="47" t="s">
        <v>35</v>
      </c>
      <c r="G3277" s="47"/>
      <c r="H3277" s="47"/>
      <c r="I3277" s="224"/>
      <c r="J3277" s="47">
        <v>1.28</v>
      </c>
      <c r="K3277" s="221">
        <f>+E3277*J3277</f>
        <v>6.5792000000000002</v>
      </c>
      <c r="L3277" s="47" t="s">
        <v>35</v>
      </c>
      <c r="M3277" s="25"/>
      <c r="N3277" s="491"/>
      <c r="O3277" s="2"/>
      <c r="P3277" s="27"/>
      <c r="Q3277" s="26"/>
      <c r="R3277" s="28"/>
    </row>
    <row r="3278" spans="1:18" ht="30" customHeight="1" x14ac:dyDescent="0.45">
      <c r="A3278" s="47"/>
      <c r="B3278" s="47"/>
      <c r="C3278" s="58"/>
      <c r="D3278" s="58"/>
      <c r="E3278" s="58"/>
      <c r="F3278" s="58"/>
      <c r="G3278" s="58"/>
      <c r="H3278" s="58"/>
      <c r="I3278" s="58"/>
      <c r="J3278" s="47" t="s">
        <v>38</v>
      </c>
      <c r="K3278" s="216">
        <f>SUM(K3276:K3277)</f>
        <v>221.61919999999998</v>
      </c>
      <c r="L3278" s="47" t="s">
        <v>35</v>
      </c>
      <c r="M3278" s="25"/>
      <c r="N3278" s="26"/>
      <c r="O3278" s="2"/>
      <c r="P3278" s="27"/>
      <c r="Q3278" s="26"/>
      <c r="R3278" s="28"/>
    </row>
    <row r="3279" spans="1:18" ht="30" customHeight="1" x14ac:dyDescent="0.45">
      <c r="A3279" s="47"/>
      <c r="B3279" s="224"/>
      <c r="C3279" s="224"/>
      <c r="D3279" s="224"/>
      <c r="E3279" s="221"/>
      <c r="F3279" s="1011" t="s">
        <v>285</v>
      </c>
      <c r="G3279" s="1013" t="s">
        <v>286</v>
      </c>
      <c r="H3279" s="1013"/>
      <c r="I3279" s="1013"/>
      <c r="J3279" s="1013"/>
      <c r="K3279" s="278">
        <v>1.06</v>
      </c>
      <c r="L3279" s="47"/>
      <c r="M3279" s="25"/>
      <c r="N3279" s="26"/>
      <c r="O3279" s="2"/>
      <c r="P3279" s="27"/>
      <c r="Q3279" s="26"/>
      <c r="R3279" s="28"/>
    </row>
    <row r="3280" spans="1:18" ht="30" customHeight="1" x14ac:dyDescent="0.45">
      <c r="A3280" s="47"/>
      <c r="B3280" s="224"/>
      <c r="C3280" s="224"/>
      <c r="D3280" s="224"/>
      <c r="E3280" s="221"/>
      <c r="F3280" s="1012"/>
      <c r="G3280" s="1014" t="s">
        <v>287</v>
      </c>
      <c r="H3280" s="1014"/>
      <c r="I3280" s="1014"/>
      <c r="J3280" s="1014"/>
      <c r="K3280" s="278">
        <v>1.05</v>
      </c>
      <c r="L3280" s="47"/>
      <c r="N3280" s="26"/>
      <c r="O3280" s="2"/>
      <c r="P3280" s="27"/>
      <c r="Q3280" s="26"/>
      <c r="R3280" s="28"/>
    </row>
    <row r="3281" spans="1:18" ht="30" customHeight="1" x14ac:dyDescent="0.45">
      <c r="A3281" s="47"/>
      <c r="B3281" s="47"/>
      <c r="C3281" s="58"/>
      <c r="D3281" s="58"/>
      <c r="E3281" s="58"/>
      <c r="F3281" s="58"/>
      <c r="G3281" s="58"/>
      <c r="H3281" s="58"/>
      <c r="I3281" s="58"/>
      <c r="J3281" s="58" t="s">
        <v>39</v>
      </c>
      <c r="K3281" s="216">
        <f>+K3278*K3279/K3280</f>
        <v>223.72985904761902</v>
      </c>
      <c r="L3281" s="47" t="s">
        <v>35</v>
      </c>
      <c r="M3281" s="25"/>
      <c r="N3281" s="26"/>
      <c r="O3281" s="2"/>
      <c r="P3281" s="27"/>
      <c r="Q3281" s="26"/>
      <c r="R3281" s="28"/>
    </row>
    <row r="3282" spans="1:18" ht="30" customHeight="1" thickBot="1" x14ac:dyDescent="0.5">
      <c r="A3282" s="47"/>
      <c r="B3282" s="47"/>
      <c r="C3282" s="58"/>
      <c r="D3282" s="58"/>
      <c r="E3282" s="58"/>
      <c r="F3282" s="58"/>
      <c r="G3282" s="1226" t="s">
        <v>288</v>
      </c>
      <c r="H3282" s="1227"/>
      <c r="I3282" s="1228"/>
      <c r="J3282" s="213">
        <f>VLOOKUP(B3274,'[1]Mil Cost Premiums for PUCs'!$A$4:$R$278,18,FALSE)</f>
        <v>1.1141416296059998</v>
      </c>
      <c r="K3282" s="216">
        <f>+K3281*J3282</f>
        <v>249.26674975083489</v>
      </c>
      <c r="L3282" s="47" t="s">
        <v>35</v>
      </c>
      <c r="M3282" s="25"/>
      <c r="N3282" s="26"/>
      <c r="O3282" s="2"/>
      <c r="P3282" s="27"/>
      <c r="Q3282" s="26"/>
      <c r="R3282" s="28"/>
    </row>
    <row r="3283" spans="1:18" ht="30" customHeight="1" thickBot="1" x14ac:dyDescent="0.5">
      <c r="A3283" s="999"/>
      <c r="B3283" s="1000"/>
      <c r="C3283" s="1000"/>
      <c r="D3283" s="1000"/>
      <c r="E3283" s="1000"/>
      <c r="F3283" s="1000"/>
      <c r="G3283" s="1000"/>
      <c r="H3283" s="1000"/>
      <c r="I3283" s="1000"/>
      <c r="J3283" s="1000"/>
      <c r="K3283" s="1000"/>
      <c r="L3283" s="1001"/>
      <c r="M3283" s="90"/>
      <c r="N3283" s="26"/>
      <c r="O3283" s="2"/>
      <c r="P3283" s="27"/>
      <c r="Q3283" s="26"/>
      <c r="R3283" s="28"/>
    </row>
    <row r="3284" spans="1:18" ht="30" customHeight="1" x14ac:dyDescent="0.45">
      <c r="A3284" s="9" t="s">
        <v>4</v>
      </c>
      <c r="B3284" s="10">
        <v>7386</v>
      </c>
      <c r="C3284" s="983" t="s">
        <v>1775</v>
      </c>
      <c r="D3284" s="984"/>
      <c r="E3284" s="13" t="s">
        <v>7</v>
      </c>
      <c r="F3284" s="14" t="s">
        <v>35</v>
      </c>
      <c r="G3284" s="11" t="s">
        <v>6</v>
      </c>
      <c r="H3284" s="163">
        <v>31689</v>
      </c>
      <c r="I3284" s="13" t="s">
        <v>9</v>
      </c>
      <c r="J3284" s="985" t="s">
        <v>575</v>
      </c>
      <c r="K3284" s="985"/>
      <c r="L3284" s="986"/>
      <c r="M3284" s="25"/>
      <c r="N3284" s="26"/>
      <c r="O3284" s="2"/>
      <c r="P3284" s="27"/>
      <c r="Q3284" s="26"/>
      <c r="R3284" s="28"/>
    </row>
    <row r="3285" spans="1:18" ht="30" customHeight="1" x14ac:dyDescent="0.45">
      <c r="A3285" s="85" t="s">
        <v>277</v>
      </c>
      <c r="B3285" s="987" t="s">
        <v>293</v>
      </c>
      <c r="C3285" s="988"/>
      <c r="D3285" s="989"/>
      <c r="E3285" s="220" t="s">
        <v>13</v>
      </c>
      <c r="F3285" s="220" t="s">
        <v>14</v>
      </c>
      <c r="G3285" s="990" t="s">
        <v>15</v>
      </c>
      <c r="H3285" s="991"/>
      <c r="I3285" s="19" t="s">
        <v>278</v>
      </c>
      <c r="J3285" s="19"/>
      <c r="K3285" s="23" t="s">
        <v>17</v>
      </c>
      <c r="L3285" s="24"/>
      <c r="M3285" s="25"/>
      <c r="N3285" s="144"/>
      <c r="O3285" s="2"/>
      <c r="P3285" s="27"/>
      <c r="Q3285" s="26"/>
      <c r="R3285" s="28"/>
    </row>
    <row r="3286" spans="1:18" ht="30" customHeight="1" x14ac:dyDescent="0.45">
      <c r="A3286" s="426" t="s">
        <v>1744</v>
      </c>
      <c r="B3286" s="1008" t="s">
        <v>1776</v>
      </c>
      <c r="C3286" s="1009"/>
      <c r="D3286" s="1010"/>
      <c r="E3286" s="221">
        <v>160</v>
      </c>
      <c r="F3286" s="56" t="s">
        <v>35</v>
      </c>
      <c r="G3286" s="715"/>
      <c r="H3286" s="716"/>
      <c r="I3286" s="47">
        <v>1.04</v>
      </c>
      <c r="J3286" s="47"/>
      <c r="K3286" s="221">
        <f>+E3286*I3286</f>
        <v>166.4</v>
      </c>
      <c r="L3286" s="47" t="s">
        <v>35</v>
      </c>
      <c r="M3286" s="25"/>
      <c r="N3286" s="90"/>
      <c r="O3286" s="2"/>
      <c r="P3286" s="27"/>
      <c r="Q3286" s="26"/>
      <c r="R3286" s="28"/>
    </row>
    <row r="3287" spans="1:18" ht="30" customHeight="1" x14ac:dyDescent="0.45">
      <c r="A3287" s="47" t="s">
        <v>1631</v>
      </c>
      <c r="B3287" s="1030" t="s">
        <v>1777</v>
      </c>
      <c r="C3287" s="1030"/>
      <c r="D3287" s="1030"/>
      <c r="E3287" s="221">
        <v>3.87</v>
      </c>
      <c r="F3287" s="47" t="s">
        <v>35</v>
      </c>
      <c r="G3287" s="47"/>
      <c r="H3287" s="47"/>
      <c r="I3287" s="47">
        <v>1.04</v>
      </c>
      <c r="J3287" s="47"/>
      <c r="K3287" s="221">
        <f>+E3287*I3287</f>
        <v>4.0247999999999999</v>
      </c>
      <c r="L3287" s="47" t="s">
        <v>35</v>
      </c>
      <c r="M3287" s="25"/>
      <c r="N3287" s="156"/>
      <c r="O3287" s="2"/>
      <c r="P3287" s="27"/>
      <c r="Q3287" s="26"/>
      <c r="R3287" s="28"/>
    </row>
    <row r="3288" spans="1:18" ht="30" customHeight="1" x14ac:dyDescent="0.45">
      <c r="A3288" s="47"/>
      <c r="B3288" s="47"/>
      <c r="C3288" s="58"/>
      <c r="D3288" s="58"/>
      <c r="E3288" s="58"/>
      <c r="F3288" s="58"/>
      <c r="G3288" s="58"/>
      <c r="H3288" s="58"/>
      <c r="I3288" s="58"/>
      <c r="J3288" s="47" t="s">
        <v>38</v>
      </c>
      <c r="K3288" s="216">
        <f>SUM(K3286:K3287)</f>
        <v>170.4248</v>
      </c>
      <c r="L3288" s="47" t="s">
        <v>35</v>
      </c>
      <c r="M3288" s="25"/>
      <c r="N3288" s="26"/>
      <c r="O3288" s="2"/>
      <c r="P3288" s="27"/>
      <c r="Q3288" s="26"/>
      <c r="R3288" s="28"/>
    </row>
    <row r="3289" spans="1:18" ht="30" customHeight="1" x14ac:dyDescent="0.45">
      <c r="A3289" s="47"/>
      <c r="B3289" s="224"/>
      <c r="C3289" s="224"/>
      <c r="D3289" s="224"/>
      <c r="E3289" s="221"/>
      <c r="F3289" s="1011" t="s">
        <v>285</v>
      </c>
      <c r="G3289" s="1013" t="s">
        <v>286</v>
      </c>
      <c r="H3289" s="1013"/>
      <c r="I3289" s="1013"/>
      <c r="J3289" s="1013"/>
      <c r="K3289" s="278">
        <v>1.07</v>
      </c>
      <c r="L3289" s="47"/>
      <c r="M3289" s="25"/>
      <c r="N3289" s="26"/>
      <c r="O3289" s="2"/>
      <c r="P3289" s="27"/>
      <c r="Q3289" s="26"/>
      <c r="R3289" s="28"/>
    </row>
    <row r="3290" spans="1:18" ht="30" customHeight="1" x14ac:dyDescent="0.45">
      <c r="A3290" s="47"/>
      <c r="B3290" s="224"/>
      <c r="C3290" s="224"/>
      <c r="D3290" s="224"/>
      <c r="E3290" s="221"/>
      <c r="F3290" s="1012"/>
      <c r="G3290" s="1014" t="s">
        <v>580</v>
      </c>
      <c r="H3290" s="1014"/>
      <c r="I3290" s="1014"/>
      <c r="J3290" s="1014"/>
      <c r="K3290" s="278">
        <v>1.08</v>
      </c>
      <c r="L3290" s="47"/>
      <c r="M3290" s="25"/>
      <c r="N3290" s="26"/>
      <c r="O3290" s="2"/>
      <c r="P3290" s="27"/>
      <c r="Q3290" s="26"/>
      <c r="R3290" s="28"/>
    </row>
    <row r="3291" spans="1:18" ht="30" customHeight="1" x14ac:dyDescent="0.45">
      <c r="A3291" s="47"/>
      <c r="B3291" s="47"/>
      <c r="C3291" s="58"/>
      <c r="D3291" s="58"/>
      <c r="E3291" s="58"/>
      <c r="F3291" s="58"/>
      <c r="G3291" s="58"/>
      <c r="H3291" s="58"/>
      <c r="I3291" s="58"/>
      <c r="J3291" s="47" t="s">
        <v>39</v>
      </c>
      <c r="K3291" s="216">
        <f>+K3288*K3289/K3290</f>
        <v>168.84679259259261</v>
      </c>
      <c r="L3291" s="47" t="s">
        <v>35</v>
      </c>
      <c r="M3291" s="25"/>
      <c r="N3291" s="26"/>
      <c r="O3291" s="2"/>
      <c r="P3291" s="27"/>
      <c r="Q3291" s="26"/>
      <c r="R3291" s="28"/>
    </row>
    <row r="3292" spans="1:18" ht="30" customHeight="1" x14ac:dyDescent="0.45">
      <c r="A3292" s="47"/>
      <c r="B3292" s="47"/>
      <c r="C3292" s="58"/>
      <c r="D3292" s="58"/>
      <c r="E3292" s="58"/>
      <c r="F3292" s="58"/>
      <c r="G3292" s="1021" t="s">
        <v>288</v>
      </c>
      <c r="H3292" s="1022"/>
      <c r="I3292" s="1023"/>
      <c r="J3292" s="213">
        <f>VLOOKUP(B3284,'[1]Mil Cost Premiums for PUCs'!$A$4:$R$278,18,FALSE)</f>
        <v>1.3319480854780448</v>
      </c>
      <c r="K3292" s="216">
        <f>+K3291*J3292</f>
        <v>224.89516213281223</v>
      </c>
      <c r="L3292" s="47" t="s">
        <v>35</v>
      </c>
      <c r="M3292" s="25"/>
      <c r="N3292" s="26"/>
      <c r="O3292" s="2"/>
      <c r="P3292" s="27"/>
      <c r="Q3292" s="26"/>
      <c r="R3292" s="28"/>
    </row>
    <row r="3293" spans="1:18" ht="30" customHeight="1" x14ac:dyDescent="0.45">
      <c r="A3293" s="541"/>
      <c r="B3293" s="541"/>
      <c r="C3293" s="542"/>
      <c r="D3293" s="542"/>
      <c r="E3293" s="552"/>
      <c r="F3293" s="1024" t="s">
        <v>581</v>
      </c>
      <c r="G3293" s="1024"/>
      <c r="H3293" s="1024"/>
      <c r="I3293" s="1024"/>
      <c r="J3293" s="543">
        <v>1.0833999999999999</v>
      </c>
      <c r="K3293" s="363">
        <f>K3292*J3293</f>
        <v>243.65141865468874</v>
      </c>
      <c r="L3293" s="225" t="s">
        <v>35</v>
      </c>
      <c r="M3293" s="25"/>
      <c r="N3293" s="26"/>
      <c r="O3293" s="2"/>
      <c r="P3293" s="27"/>
      <c r="Q3293" s="26"/>
      <c r="R3293" s="28"/>
    </row>
    <row r="3294" spans="1:18" ht="30" customHeight="1" thickBot="1" x14ac:dyDescent="0.5">
      <c r="A3294" s="225"/>
      <c r="B3294" s="225"/>
      <c r="C3294" s="150"/>
      <c r="D3294" s="150"/>
      <c r="E3294" s="150"/>
      <c r="F3294" s="150"/>
      <c r="G3294" s="1025" t="s">
        <v>299</v>
      </c>
      <c r="H3294" s="1026"/>
      <c r="I3294" s="1027"/>
      <c r="J3294" s="226">
        <v>1.1214</v>
      </c>
      <c r="K3294" s="227">
        <f>+K3293*J3294</f>
        <v>273.23070087936793</v>
      </c>
      <c r="L3294" s="225" t="s">
        <v>35</v>
      </c>
      <c r="M3294" s="25"/>
    </row>
    <row r="3295" spans="1:18" ht="30" customHeight="1" thickBot="1" x14ac:dyDescent="0.5">
      <c r="A3295" s="999"/>
      <c r="B3295" s="1000"/>
      <c r="C3295" s="1000"/>
      <c r="D3295" s="1000"/>
      <c r="E3295" s="1000"/>
      <c r="F3295" s="1000"/>
      <c r="G3295" s="1000"/>
      <c r="H3295" s="1000"/>
      <c r="I3295" s="1000"/>
      <c r="J3295" s="1000"/>
      <c r="K3295" s="1000"/>
      <c r="L3295" s="1001"/>
      <c r="N3295" s="26"/>
      <c r="O3295" s="2"/>
      <c r="P3295" s="27"/>
      <c r="Q3295" s="26"/>
      <c r="R3295" s="28"/>
    </row>
    <row r="3296" spans="1:18" ht="30" customHeight="1" x14ac:dyDescent="0.45">
      <c r="A3296" s="9" t="s">
        <v>4</v>
      </c>
      <c r="B3296" s="10">
        <v>7387</v>
      </c>
      <c r="C3296" s="983" t="s">
        <v>1778</v>
      </c>
      <c r="D3296" s="984"/>
      <c r="E3296" s="13" t="s">
        <v>7</v>
      </c>
      <c r="F3296" s="14" t="s">
        <v>35</v>
      </c>
      <c r="G3296" s="11" t="s">
        <v>6</v>
      </c>
      <c r="H3296" s="163">
        <v>6635</v>
      </c>
      <c r="I3296" s="13" t="s">
        <v>9</v>
      </c>
      <c r="J3296" s="985" t="s">
        <v>575</v>
      </c>
      <c r="K3296" s="985"/>
      <c r="L3296" s="986"/>
      <c r="M3296" s="25"/>
      <c r="N3296" s="26"/>
      <c r="O3296" s="2"/>
      <c r="P3296" s="27"/>
      <c r="Q3296" s="26"/>
      <c r="R3296" s="28"/>
    </row>
    <row r="3297" spans="1:18" ht="30" customHeight="1" x14ac:dyDescent="0.45">
      <c r="A3297" s="85" t="s">
        <v>277</v>
      </c>
      <c r="B3297" s="987" t="s">
        <v>293</v>
      </c>
      <c r="C3297" s="988"/>
      <c r="D3297" s="989"/>
      <c r="E3297" s="220" t="s">
        <v>13</v>
      </c>
      <c r="F3297" s="220" t="s">
        <v>14</v>
      </c>
      <c r="G3297" s="990" t="s">
        <v>15</v>
      </c>
      <c r="H3297" s="991"/>
      <c r="I3297" s="19" t="s">
        <v>278</v>
      </c>
      <c r="J3297" s="19"/>
      <c r="K3297" s="23" t="s">
        <v>17</v>
      </c>
      <c r="L3297" s="24"/>
      <c r="M3297" s="25"/>
      <c r="N3297" s="26"/>
      <c r="O3297" s="2"/>
      <c r="P3297" s="27"/>
      <c r="Q3297" s="26"/>
      <c r="R3297" s="28"/>
    </row>
    <row r="3298" spans="1:18" ht="30" customHeight="1" x14ac:dyDescent="0.45">
      <c r="A3298" s="426" t="s">
        <v>1694</v>
      </c>
      <c r="B3298" s="1008" t="s">
        <v>1695</v>
      </c>
      <c r="C3298" s="1009"/>
      <c r="D3298" s="1010"/>
      <c r="E3298" s="221">
        <v>88</v>
      </c>
      <c r="F3298" s="56" t="s">
        <v>35</v>
      </c>
      <c r="G3298" s="348"/>
      <c r="H3298" s="349"/>
      <c r="I3298" s="47">
        <v>1.04</v>
      </c>
      <c r="J3298" s="365"/>
      <c r="K3298" s="221">
        <f>+E3298*I3298</f>
        <v>91.52000000000001</v>
      </c>
      <c r="L3298" s="47" t="s">
        <v>35</v>
      </c>
      <c r="M3298" s="25"/>
      <c r="N3298" s="26"/>
      <c r="O3298" s="2"/>
      <c r="P3298" s="27"/>
      <c r="Q3298" s="26"/>
      <c r="R3298" s="28"/>
    </row>
    <row r="3299" spans="1:18" ht="30" customHeight="1" x14ac:dyDescent="0.45">
      <c r="A3299" s="426" t="s">
        <v>1779</v>
      </c>
      <c r="B3299" s="1008" t="s">
        <v>1780</v>
      </c>
      <c r="C3299" s="1009"/>
      <c r="D3299" s="1010"/>
      <c r="E3299" s="221">
        <v>53.5</v>
      </c>
      <c r="F3299" s="56" t="s">
        <v>35</v>
      </c>
      <c r="G3299" s="348"/>
      <c r="H3299" s="349"/>
      <c r="I3299" s="47">
        <v>1.03</v>
      </c>
      <c r="J3299" s="365"/>
      <c r="K3299" s="221">
        <f>+E3299*I3299</f>
        <v>55.105000000000004</v>
      </c>
      <c r="L3299" s="47" t="s">
        <v>35</v>
      </c>
      <c r="M3299" s="25"/>
      <c r="N3299" s="26"/>
      <c r="O3299" s="2"/>
      <c r="P3299" s="27"/>
      <c r="Q3299" s="26"/>
      <c r="R3299" s="28"/>
    </row>
    <row r="3300" spans="1:18" ht="30" customHeight="1" x14ac:dyDescent="0.45">
      <c r="A3300" s="426" t="s">
        <v>1528</v>
      </c>
      <c r="B3300" s="1008" t="s">
        <v>1577</v>
      </c>
      <c r="C3300" s="1009"/>
      <c r="D3300" s="1010"/>
      <c r="E3300" s="221">
        <v>118</v>
      </c>
      <c r="F3300" s="56" t="s">
        <v>35</v>
      </c>
      <c r="G3300" s="348"/>
      <c r="H3300" s="349"/>
      <c r="I3300" s="47">
        <v>1.05</v>
      </c>
      <c r="J3300" s="47"/>
      <c r="K3300" s="221">
        <f>+E3300*I3300</f>
        <v>123.9</v>
      </c>
      <c r="L3300" s="47" t="s">
        <v>35</v>
      </c>
      <c r="M3300" s="25"/>
      <c r="N3300" s="26"/>
      <c r="O3300" s="2"/>
      <c r="P3300" s="27"/>
      <c r="Q3300" s="26"/>
      <c r="R3300" s="28"/>
    </row>
    <row r="3301" spans="1:18" ht="30" customHeight="1" x14ac:dyDescent="0.45">
      <c r="A3301" s="426" t="s">
        <v>1781</v>
      </c>
      <c r="B3301" s="1008" t="s">
        <v>1782</v>
      </c>
      <c r="C3301" s="1009"/>
      <c r="D3301" s="1010"/>
      <c r="E3301" s="221">
        <v>60</v>
      </c>
      <c r="F3301" s="56" t="s">
        <v>35</v>
      </c>
      <c r="G3301" s="348"/>
      <c r="H3301" s="349"/>
      <c r="I3301" s="47">
        <v>1.03</v>
      </c>
      <c r="J3301" s="47"/>
      <c r="K3301" s="221">
        <f>+E3301*I3301</f>
        <v>61.800000000000004</v>
      </c>
      <c r="L3301" s="47" t="s">
        <v>35</v>
      </c>
      <c r="M3301" s="25"/>
      <c r="N3301" s="26"/>
      <c r="O3301" s="2"/>
      <c r="P3301" s="27"/>
      <c r="Q3301" s="26"/>
      <c r="R3301" s="28"/>
    </row>
    <row r="3302" spans="1:18" ht="30" customHeight="1" x14ac:dyDescent="0.45">
      <c r="A3302" s="426"/>
      <c r="B3302" s="1008" t="s">
        <v>1783</v>
      </c>
      <c r="C3302" s="1009"/>
      <c r="D3302" s="1010"/>
      <c r="E3302" s="221"/>
      <c r="F3302" s="348"/>
      <c r="G3302" s="348"/>
      <c r="H3302" s="349"/>
      <c r="I3302" s="223"/>
      <c r="J3302" s="47" t="s">
        <v>56</v>
      </c>
      <c r="K3302" s="221">
        <f>AVERAGE(K3298:K3301)</f>
        <v>83.081249999999997</v>
      </c>
      <c r="L3302" s="47" t="s">
        <v>35</v>
      </c>
      <c r="M3302" s="25"/>
      <c r="N3302" s="26"/>
      <c r="O3302" s="2"/>
      <c r="P3302" s="27"/>
      <c r="Q3302" s="26"/>
      <c r="R3302" s="28"/>
    </row>
    <row r="3303" spans="1:18" ht="30" customHeight="1" x14ac:dyDescent="0.45">
      <c r="A3303" s="426" t="s">
        <v>358</v>
      </c>
      <c r="B3303" s="1030" t="s">
        <v>1784</v>
      </c>
      <c r="C3303" s="1030"/>
      <c r="D3303" s="1030"/>
      <c r="E3303" s="221">
        <v>3.71</v>
      </c>
      <c r="F3303" s="348" t="s">
        <v>35</v>
      </c>
      <c r="G3303" s="348"/>
      <c r="H3303" s="349"/>
      <c r="I3303" s="47">
        <v>1.03</v>
      </c>
      <c r="J3303" s="47"/>
      <c r="K3303" s="221">
        <f>+E3303*I3303</f>
        <v>3.8212999999999999</v>
      </c>
      <c r="L3303" s="47" t="s">
        <v>35</v>
      </c>
      <c r="M3303" s="25"/>
      <c r="N3303" s="26"/>
      <c r="O3303" s="2"/>
      <c r="P3303" s="27"/>
      <c r="Q3303" s="26"/>
      <c r="R3303" s="28"/>
    </row>
    <row r="3304" spans="1:18" ht="30" customHeight="1" x14ac:dyDescent="0.45">
      <c r="A3304" s="47"/>
      <c r="B3304" s="1030"/>
      <c r="C3304" s="1030"/>
      <c r="D3304" s="1030"/>
      <c r="E3304" s="221"/>
      <c r="F3304" s="47"/>
      <c r="G3304" s="47"/>
      <c r="H3304" s="47"/>
      <c r="I3304" s="47"/>
      <c r="J3304" s="47" t="s">
        <v>38</v>
      </c>
      <c r="K3304" s="641">
        <f>SUM(K3302:K3303)</f>
        <v>86.902549999999991</v>
      </c>
      <c r="L3304" s="47" t="s">
        <v>35</v>
      </c>
      <c r="M3304" s="25"/>
      <c r="N3304" s="26"/>
      <c r="O3304" s="2"/>
      <c r="P3304" s="27"/>
      <c r="Q3304" s="26"/>
      <c r="R3304" s="28"/>
    </row>
    <row r="3305" spans="1:18" ht="30" customHeight="1" x14ac:dyDescent="0.45">
      <c r="A3305" s="47"/>
      <c r="B3305" s="224"/>
      <c r="C3305" s="224"/>
      <c r="D3305" s="224"/>
      <c r="E3305" s="221"/>
      <c r="F3305" s="1011" t="s">
        <v>285</v>
      </c>
      <c r="G3305" s="1013" t="s">
        <v>286</v>
      </c>
      <c r="H3305" s="1013"/>
      <c r="I3305" s="1013"/>
      <c r="J3305" s="1013"/>
      <c r="K3305" s="278">
        <v>1.07</v>
      </c>
      <c r="L3305" s="47"/>
      <c r="M3305" s="25"/>
      <c r="N3305" s="26"/>
      <c r="O3305" s="2"/>
      <c r="P3305" s="27"/>
      <c r="Q3305" s="26"/>
      <c r="R3305" s="28"/>
    </row>
    <row r="3306" spans="1:18" ht="30" customHeight="1" x14ac:dyDescent="0.45">
      <c r="A3306" s="47"/>
      <c r="B3306" s="224"/>
      <c r="C3306" s="224"/>
      <c r="D3306" s="224"/>
      <c r="E3306" s="221"/>
      <c r="F3306" s="1012"/>
      <c r="G3306" s="1014" t="s">
        <v>580</v>
      </c>
      <c r="H3306" s="1014"/>
      <c r="I3306" s="1014"/>
      <c r="J3306" s="1014"/>
      <c r="K3306" s="278">
        <v>1.08</v>
      </c>
      <c r="L3306" s="47"/>
      <c r="M3306" s="25"/>
      <c r="N3306" s="26"/>
      <c r="O3306" s="2"/>
      <c r="P3306" s="27"/>
      <c r="Q3306" s="26"/>
      <c r="R3306" s="28"/>
    </row>
    <row r="3307" spans="1:18" ht="30" customHeight="1" x14ac:dyDescent="0.45">
      <c r="A3307" s="47"/>
      <c r="B3307" s="47"/>
      <c r="C3307" s="58"/>
      <c r="D3307" s="58"/>
      <c r="E3307" s="58"/>
      <c r="F3307" s="58"/>
      <c r="G3307" s="58"/>
      <c r="H3307" s="58"/>
      <c r="I3307" s="58"/>
      <c r="J3307" s="47" t="s">
        <v>39</v>
      </c>
      <c r="K3307" s="216">
        <f>+K3304*K3305/K3306</f>
        <v>86.097896759259243</v>
      </c>
      <c r="L3307" s="47" t="s">
        <v>35</v>
      </c>
      <c r="M3307" s="25"/>
      <c r="N3307" s="26"/>
      <c r="O3307" s="2"/>
      <c r="P3307" s="27"/>
      <c r="Q3307" s="26"/>
      <c r="R3307" s="28"/>
    </row>
    <row r="3308" spans="1:18" ht="30" customHeight="1" x14ac:dyDescent="0.45">
      <c r="A3308" s="47"/>
      <c r="B3308" s="47"/>
      <c r="C3308" s="58"/>
      <c r="D3308" s="58"/>
      <c r="E3308" s="58"/>
      <c r="F3308" s="58"/>
      <c r="G3308" s="1021" t="s">
        <v>288</v>
      </c>
      <c r="H3308" s="1022"/>
      <c r="I3308" s="1023"/>
      <c r="J3308" s="213">
        <f>VLOOKUP(B3296,'[1]Mil Cost Premiums for PUCs'!$A$4:$R$278,18,FALSE)</f>
        <v>1.0209999999999999</v>
      </c>
      <c r="K3308" s="216">
        <f>+K3307*J3308</f>
        <v>87.905952591203672</v>
      </c>
      <c r="L3308" s="47" t="s">
        <v>35</v>
      </c>
      <c r="M3308" s="25"/>
      <c r="N3308" s="26"/>
      <c r="O3308" s="2"/>
      <c r="P3308" s="27"/>
      <c r="Q3308" s="26"/>
      <c r="R3308" s="28"/>
    </row>
    <row r="3309" spans="1:18" ht="30" customHeight="1" x14ac:dyDescent="0.45">
      <c r="A3309" s="541"/>
      <c r="B3309" s="541"/>
      <c r="C3309" s="542"/>
      <c r="D3309" s="542"/>
      <c r="E3309" s="552"/>
      <c r="F3309" s="1024" t="s">
        <v>581</v>
      </c>
      <c r="G3309" s="1024"/>
      <c r="H3309" s="1024"/>
      <c r="I3309" s="1024"/>
      <c r="J3309" s="543">
        <v>1.0833999999999999</v>
      </c>
      <c r="K3309" s="363">
        <f>K3308*J3309</f>
        <v>95.237309037310055</v>
      </c>
      <c r="L3309" s="225" t="s">
        <v>35</v>
      </c>
      <c r="M3309" s="25"/>
      <c r="N3309" s="26"/>
      <c r="O3309" s="2"/>
      <c r="P3309" s="27"/>
      <c r="Q3309" s="26"/>
      <c r="R3309" s="28"/>
    </row>
    <row r="3310" spans="1:18" ht="30" customHeight="1" thickBot="1" x14ac:dyDescent="0.5">
      <c r="A3310" s="225"/>
      <c r="B3310" s="225"/>
      <c r="C3310" s="150"/>
      <c r="D3310" s="150"/>
      <c r="E3310" s="150"/>
      <c r="F3310" s="150"/>
      <c r="G3310" s="1025" t="s">
        <v>299</v>
      </c>
      <c r="H3310" s="1026"/>
      <c r="I3310" s="1027"/>
      <c r="J3310" s="226">
        <v>1.1214</v>
      </c>
      <c r="K3310" s="227">
        <f>+K3309*J3310</f>
        <v>106.79911835443949</v>
      </c>
      <c r="L3310" s="225" t="s">
        <v>35</v>
      </c>
      <c r="M3310" s="25"/>
    </row>
    <row r="3311" spans="1:18" ht="30" customHeight="1" thickBot="1" x14ac:dyDescent="0.5">
      <c r="A3311" s="999"/>
      <c r="B3311" s="1000"/>
      <c r="C3311" s="1000"/>
      <c r="D3311" s="1000"/>
      <c r="E3311" s="1000"/>
      <c r="F3311" s="1000"/>
      <c r="G3311" s="1000"/>
      <c r="H3311" s="1000"/>
      <c r="I3311" s="1000"/>
      <c r="J3311" s="1000"/>
      <c r="K3311" s="1000"/>
      <c r="L3311" s="1001"/>
      <c r="M3311" s="25"/>
      <c r="N3311" s="186"/>
      <c r="O3311" s="2"/>
      <c r="P3311" s="27"/>
      <c r="Q3311" s="26"/>
      <c r="R3311" s="28"/>
    </row>
    <row r="3312" spans="1:18" ht="30" customHeight="1" x14ac:dyDescent="0.45">
      <c r="A3312" s="9" t="s">
        <v>4</v>
      </c>
      <c r="B3312" s="10">
        <v>7388</v>
      </c>
      <c r="C3312" s="1138" t="s">
        <v>1785</v>
      </c>
      <c r="D3312" s="1139"/>
      <c r="E3312" s="13" t="s">
        <v>7</v>
      </c>
      <c r="F3312" s="14" t="s">
        <v>35</v>
      </c>
      <c r="G3312" s="11" t="s">
        <v>6</v>
      </c>
      <c r="H3312" s="184">
        <v>22334</v>
      </c>
      <c r="I3312" s="13" t="s">
        <v>9</v>
      </c>
      <c r="J3312" s="985" t="s">
        <v>266</v>
      </c>
      <c r="K3312" s="985"/>
      <c r="L3312" s="986"/>
      <c r="M3312" s="25"/>
      <c r="N3312" s="186"/>
      <c r="O3312" s="2"/>
      <c r="P3312" s="27"/>
      <c r="Q3312" s="26"/>
      <c r="R3312" s="28"/>
    </row>
    <row r="3313" spans="1:25" ht="30" customHeight="1" x14ac:dyDescent="0.45">
      <c r="A3313" s="19" t="s">
        <v>11</v>
      </c>
      <c r="B3313" s="1005" t="s">
        <v>12</v>
      </c>
      <c r="C3313" s="1005"/>
      <c r="D3313" s="1005"/>
      <c r="E3313" s="19" t="s">
        <v>267</v>
      </c>
      <c r="F3313" s="19" t="s">
        <v>13</v>
      </c>
      <c r="G3313" s="1068"/>
      <c r="H3313" s="1069"/>
      <c r="I3313" s="1140" t="s">
        <v>60</v>
      </c>
      <c r="J3313" s="1141"/>
      <c r="K3313" s="992" t="s">
        <v>17</v>
      </c>
      <c r="L3313" s="993"/>
      <c r="N3313" s="186"/>
      <c r="O3313" s="2"/>
      <c r="P3313" s="27"/>
      <c r="Q3313" s="26"/>
      <c r="R3313" s="28"/>
    </row>
    <row r="3314" spans="1:25" ht="30" customHeight="1" x14ac:dyDescent="0.45">
      <c r="A3314" s="47" t="s">
        <v>268</v>
      </c>
      <c r="B3314" s="1018" t="s">
        <v>1786</v>
      </c>
      <c r="C3314" s="1019"/>
      <c r="D3314" s="1020"/>
      <c r="E3314" s="514">
        <v>26000</v>
      </c>
      <c r="F3314" s="711">
        <v>245</v>
      </c>
      <c r="G3314" s="167"/>
      <c r="H3314" s="29"/>
      <c r="I3314" s="1119" t="s">
        <v>270</v>
      </c>
      <c r="J3314" s="1120"/>
      <c r="K3314" s="635">
        <f>+F3314</f>
        <v>245</v>
      </c>
      <c r="L3314" s="29" t="s">
        <v>35</v>
      </c>
      <c r="M3314" s="25"/>
      <c r="N3314" s="26"/>
      <c r="O3314" s="2"/>
      <c r="P3314" s="27"/>
      <c r="Q3314" s="26"/>
      <c r="R3314" s="28"/>
    </row>
    <row r="3315" spans="1:25" ht="30" customHeight="1" thickBot="1" x14ac:dyDescent="0.5">
      <c r="A3315" s="47"/>
      <c r="B3315" s="1008" t="s">
        <v>604</v>
      </c>
      <c r="C3315" s="1009"/>
      <c r="D3315" s="1010"/>
      <c r="E3315" s="161"/>
      <c r="F3315" s="415"/>
      <c r="G3315" s="161"/>
      <c r="H3315" s="389"/>
      <c r="I3315" s="58"/>
      <c r="J3315" s="85" t="s">
        <v>39</v>
      </c>
      <c r="K3315" s="185">
        <f>SUM(K3314:K3314)</f>
        <v>245</v>
      </c>
      <c r="L3315" s="29" t="s">
        <v>35</v>
      </c>
      <c r="M3315" s="25"/>
      <c r="N3315" s="26"/>
      <c r="O3315" s="2"/>
      <c r="P3315" s="27"/>
      <c r="Q3315" s="26"/>
      <c r="R3315" s="28"/>
      <c r="T3315" s="18"/>
    </row>
    <row r="3316" spans="1:25" ht="30" customHeight="1" thickBot="1" x14ac:dyDescent="0.5">
      <c r="A3316" s="999"/>
      <c r="B3316" s="1000"/>
      <c r="C3316" s="1000"/>
      <c r="D3316" s="1000"/>
      <c r="E3316" s="1000"/>
      <c r="F3316" s="1000"/>
      <c r="G3316" s="1000"/>
      <c r="H3316" s="1000"/>
      <c r="I3316" s="1000"/>
      <c r="J3316" s="1000"/>
      <c r="K3316" s="1000"/>
      <c r="L3316" s="1001"/>
      <c r="M3316" s="25"/>
      <c r="N3316" s="26"/>
      <c r="O3316" s="2"/>
      <c r="P3316" s="27"/>
      <c r="Q3316" s="26"/>
      <c r="R3316" s="28"/>
    </row>
    <row r="3317" spans="1:25" ht="30" customHeight="1" x14ac:dyDescent="0.45">
      <c r="A3317" s="9" t="s">
        <v>4</v>
      </c>
      <c r="B3317" s="10">
        <v>7389</v>
      </c>
      <c r="C3317" s="1138" t="s">
        <v>1787</v>
      </c>
      <c r="D3317" s="1139"/>
      <c r="E3317" s="13" t="s">
        <v>7</v>
      </c>
      <c r="F3317" s="14" t="s">
        <v>35</v>
      </c>
      <c r="G3317" s="11" t="s">
        <v>6</v>
      </c>
      <c r="H3317" s="184">
        <v>3614</v>
      </c>
      <c r="I3317" s="13" t="s">
        <v>9</v>
      </c>
      <c r="J3317" s="985" t="s">
        <v>575</v>
      </c>
      <c r="K3317" s="985"/>
      <c r="L3317" s="986"/>
      <c r="M3317" s="25"/>
      <c r="N3317" s="26"/>
      <c r="O3317" s="2"/>
      <c r="P3317" s="27"/>
      <c r="Q3317" s="26"/>
      <c r="R3317" s="28"/>
      <c r="U3317" s="18"/>
      <c r="V3317" s="18"/>
      <c r="W3317" s="18"/>
      <c r="X3317" s="18"/>
    </row>
    <row r="3318" spans="1:25" ht="30" customHeight="1" x14ac:dyDescent="0.45">
      <c r="A3318" s="85" t="s">
        <v>277</v>
      </c>
      <c r="B3318" s="987" t="s">
        <v>293</v>
      </c>
      <c r="C3318" s="988"/>
      <c r="D3318" s="989"/>
      <c r="E3318" s="220" t="s">
        <v>13</v>
      </c>
      <c r="F3318" s="220" t="s">
        <v>14</v>
      </c>
      <c r="G3318" s="992" t="s">
        <v>15</v>
      </c>
      <c r="H3318" s="993"/>
      <c r="I3318" s="19" t="s">
        <v>278</v>
      </c>
      <c r="J3318" s="19"/>
      <c r="K3318" s="992" t="s">
        <v>17</v>
      </c>
      <c r="L3318" s="993"/>
      <c r="M3318" s="25"/>
      <c r="N3318" s="26"/>
      <c r="O3318" s="5"/>
      <c r="P3318" s="18"/>
      <c r="Q3318" s="18"/>
      <c r="R3318" s="18"/>
      <c r="S3318" s="18"/>
      <c r="T3318" s="90"/>
      <c r="Y3318" s="18"/>
    </row>
    <row r="3319" spans="1:25" ht="30" customHeight="1" x14ac:dyDescent="0.45">
      <c r="A3319" s="426" t="s">
        <v>1781</v>
      </c>
      <c r="B3319" s="1008" t="s">
        <v>1788</v>
      </c>
      <c r="C3319" s="1009"/>
      <c r="D3319" s="1010"/>
      <c r="E3319" s="221">
        <v>60</v>
      </c>
      <c r="F3319" s="56" t="s">
        <v>35</v>
      </c>
      <c r="G3319" s="715"/>
      <c r="H3319" s="716"/>
      <c r="I3319" s="47">
        <v>1.03</v>
      </c>
      <c r="J3319" s="47"/>
      <c r="K3319" s="221">
        <f>+E3319*I3319</f>
        <v>61.800000000000004</v>
      </c>
      <c r="L3319" s="47" t="s">
        <v>35</v>
      </c>
      <c r="M3319" s="717"/>
      <c r="N3319" s="26"/>
      <c r="T3319" s="41"/>
    </row>
    <row r="3320" spans="1:25" ht="30" customHeight="1" x14ac:dyDescent="0.45">
      <c r="A3320" s="426" t="s">
        <v>1758</v>
      </c>
      <c r="B3320" s="1008" t="s">
        <v>1759</v>
      </c>
      <c r="C3320" s="1009"/>
      <c r="D3320" s="1010"/>
      <c r="E3320" s="221">
        <v>128</v>
      </c>
      <c r="F3320" s="56" t="s">
        <v>35</v>
      </c>
      <c r="G3320" s="715"/>
      <c r="H3320" s="716"/>
      <c r="I3320" s="47">
        <v>1.05</v>
      </c>
      <c r="J3320" s="47"/>
      <c r="K3320" s="221">
        <f>+E3320*I3320</f>
        <v>134.4</v>
      </c>
      <c r="L3320" s="47"/>
      <c r="M3320" s="156"/>
      <c r="N3320" s="26"/>
    </row>
    <row r="3321" spans="1:25" s="18" customFormat="1" ht="30" customHeight="1" x14ac:dyDescent="0.45">
      <c r="A3321" s="47" t="s">
        <v>397</v>
      </c>
      <c r="B3321" s="1008" t="s">
        <v>1789</v>
      </c>
      <c r="C3321" s="1009"/>
      <c r="D3321" s="1010"/>
      <c r="E3321" s="221">
        <v>4.8600000000000003</v>
      </c>
      <c r="F3321" s="47" t="s">
        <v>35</v>
      </c>
      <c r="G3321" s="47"/>
      <c r="H3321" s="47"/>
      <c r="I3321" s="47">
        <v>1.05</v>
      </c>
      <c r="J3321" s="47"/>
      <c r="K3321" s="221">
        <f>+E3321*I3321</f>
        <v>5.1030000000000006</v>
      </c>
      <c r="L3321" s="47" t="s">
        <v>35</v>
      </c>
      <c r="M3321" s="25"/>
      <c r="N3321" s="26"/>
      <c r="O3321" s="3"/>
      <c r="P3321" s="2"/>
      <c r="Q3321" s="2"/>
      <c r="R3321" s="2"/>
      <c r="S3321" s="90"/>
      <c r="T3321" s="2"/>
      <c r="U3321" s="2"/>
      <c r="V3321" s="2"/>
      <c r="W3321" s="2"/>
      <c r="X3321" s="2"/>
      <c r="Y3321" s="2"/>
    </row>
    <row r="3322" spans="1:25" ht="30" customHeight="1" x14ac:dyDescent="0.45">
      <c r="A3322" s="47"/>
      <c r="B3322" s="47"/>
      <c r="C3322" s="58"/>
      <c r="D3322" s="58"/>
      <c r="E3322" s="58"/>
      <c r="F3322" s="58"/>
      <c r="G3322" s="58"/>
      <c r="H3322" s="58"/>
      <c r="I3322" s="58"/>
      <c r="J3322" s="47" t="s">
        <v>38</v>
      </c>
      <c r="K3322" s="216">
        <f>SUM(K3319:K3321)</f>
        <v>201.30300000000003</v>
      </c>
      <c r="L3322" s="47" t="s">
        <v>35</v>
      </c>
      <c r="M3322" s="25"/>
      <c r="N3322" s="26"/>
      <c r="S3322" s="41"/>
    </row>
    <row r="3323" spans="1:25" ht="30" customHeight="1" x14ac:dyDescent="0.45">
      <c r="A3323" s="47"/>
      <c r="B3323" s="224"/>
      <c r="C3323" s="224"/>
      <c r="D3323" s="224"/>
      <c r="E3323" s="221"/>
      <c r="F3323" s="1011" t="s">
        <v>285</v>
      </c>
      <c r="G3323" s="1223" t="s">
        <v>286</v>
      </c>
      <c r="H3323" s="1224"/>
      <c r="I3323" s="1224"/>
      <c r="J3323" s="1225"/>
      <c r="K3323" s="278">
        <v>1.07</v>
      </c>
      <c r="L3323" s="47"/>
      <c r="M3323" s="25"/>
      <c r="N3323" s="112"/>
      <c r="O3323" s="2"/>
      <c r="P3323" s="27"/>
      <c r="Q3323" s="26"/>
      <c r="R3323" s="28"/>
    </row>
    <row r="3324" spans="1:25" ht="30" customHeight="1" x14ac:dyDescent="0.45">
      <c r="A3324" s="47"/>
      <c r="B3324" s="224"/>
      <c r="C3324" s="224"/>
      <c r="D3324" s="224"/>
      <c r="E3324" s="221"/>
      <c r="F3324" s="1012"/>
      <c r="G3324" s="1014" t="s">
        <v>580</v>
      </c>
      <c r="H3324" s="1014"/>
      <c r="I3324" s="1014"/>
      <c r="J3324" s="1014"/>
      <c r="K3324" s="278">
        <v>1.08</v>
      </c>
      <c r="L3324" s="47"/>
      <c r="N3324" s="112"/>
      <c r="O3324" s="2"/>
      <c r="P3324" s="27"/>
      <c r="Q3324" s="26"/>
      <c r="R3324" s="28"/>
    </row>
    <row r="3325" spans="1:25" ht="30" customHeight="1" x14ac:dyDescent="0.45">
      <c r="A3325" s="47"/>
      <c r="B3325" s="47"/>
      <c r="C3325" s="58"/>
      <c r="D3325" s="58"/>
      <c r="E3325" s="58"/>
      <c r="F3325" s="58"/>
      <c r="G3325" s="58"/>
      <c r="H3325" s="58"/>
      <c r="I3325" s="58"/>
      <c r="J3325" s="47" t="s">
        <v>39</v>
      </c>
      <c r="K3325" s="216">
        <f>+K3322*K3323/K3324</f>
        <v>199.43908333333337</v>
      </c>
      <c r="L3325" s="47" t="s">
        <v>35</v>
      </c>
      <c r="M3325" s="25"/>
      <c r="N3325" s="26"/>
      <c r="O3325" s="2"/>
      <c r="P3325" s="27"/>
      <c r="Q3325" s="26"/>
      <c r="R3325" s="28"/>
    </row>
    <row r="3326" spans="1:25" ht="30" customHeight="1" x14ac:dyDescent="0.45">
      <c r="A3326" s="47"/>
      <c r="B3326" s="47"/>
      <c r="C3326" s="58"/>
      <c r="D3326" s="58"/>
      <c r="E3326" s="58"/>
      <c r="F3326" s="58"/>
      <c r="G3326" s="1021" t="s">
        <v>288</v>
      </c>
      <c r="H3326" s="1022"/>
      <c r="I3326" s="1023"/>
      <c r="J3326" s="213">
        <v>1.0209999999999999</v>
      </c>
      <c r="K3326" s="216">
        <f>+K3325*J3326</f>
        <v>203.62730408333334</v>
      </c>
      <c r="L3326" s="47" t="s">
        <v>35</v>
      </c>
      <c r="M3326" s="25"/>
      <c r="N3326" s="646"/>
      <c r="O3326" s="2"/>
      <c r="P3326" s="27"/>
      <c r="Q3326" s="26"/>
      <c r="R3326" s="28"/>
    </row>
    <row r="3327" spans="1:25" ht="30" customHeight="1" x14ac:dyDescent="0.45">
      <c r="A3327" s="541"/>
      <c r="B3327" s="541"/>
      <c r="C3327" s="542"/>
      <c r="D3327" s="542"/>
      <c r="E3327" s="552"/>
      <c r="F3327" s="1024" t="s">
        <v>581</v>
      </c>
      <c r="G3327" s="1024"/>
      <c r="H3327" s="1024"/>
      <c r="I3327" s="1024"/>
      <c r="J3327" s="543">
        <v>1.0833999999999999</v>
      </c>
      <c r="K3327" s="363">
        <f>K3326*J3327</f>
        <v>220.60982124388332</v>
      </c>
      <c r="L3327" s="225" t="s">
        <v>35</v>
      </c>
      <c r="M3327" s="25"/>
      <c r="N3327" s="26"/>
      <c r="O3327" s="2"/>
      <c r="P3327" s="27"/>
      <c r="Q3327" s="26"/>
      <c r="R3327" s="28"/>
    </row>
    <row r="3328" spans="1:25" ht="30" customHeight="1" thickBot="1" x14ac:dyDescent="0.5">
      <c r="A3328" s="225"/>
      <c r="B3328" s="225"/>
      <c r="C3328" s="150"/>
      <c r="D3328" s="150"/>
      <c r="E3328" s="150"/>
      <c r="F3328" s="150"/>
      <c r="G3328" s="1025" t="s">
        <v>299</v>
      </c>
      <c r="H3328" s="1026"/>
      <c r="I3328" s="1027"/>
      <c r="J3328" s="226">
        <v>1.1214</v>
      </c>
      <c r="K3328" s="227">
        <f>+K3327*J3328</f>
        <v>247.39185354289074</v>
      </c>
      <c r="L3328" s="225" t="s">
        <v>35</v>
      </c>
      <c r="M3328" s="25"/>
    </row>
    <row r="3329" spans="1:18" ht="30" customHeight="1" thickBot="1" x14ac:dyDescent="0.5">
      <c r="A3329" s="999"/>
      <c r="B3329" s="1000"/>
      <c r="C3329" s="1000"/>
      <c r="D3329" s="1000"/>
      <c r="E3329" s="1000"/>
      <c r="F3329" s="1000"/>
      <c r="G3329" s="1000"/>
      <c r="H3329" s="1000"/>
      <c r="I3329" s="1000"/>
      <c r="J3329" s="1000"/>
      <c r="K3329" s="1000"/>
      <c r="L3329" s="1001"/>
      <c r="M3329" s="25"/>
      <c r="N3329" s="26"/>
      <c r="O3329" s="2"/>
      <c r="P3329" s="27"/>
      <c r="Q3329" s="26"/>
      <c r="R3329" s="28"/>
    </row>
    <row r="3330" spans="1:18" ht="30" customHeight="1" x14ac:dyDescent="0.45">
      <c r="A3330" s="9" t="s">
        <v>4</v>
      </c>
      <c r="B3330" s="10">
        <v>7411</v>
      </c>
      <c r="C3330" s="983" t="s">
        <v>1790</v>
      </c>
      <c r="D3330" s="984"/>
      <c r="E3330" s="13" t="s">
        <v>7</v>
      </c>
      <c r="F3330" s="14" t="s">
        <v>35</v>
      </c>
      <c r="G3330" s="11" t="s">
        <v>6</v>
      </c>
      <c r="H3330" s="163">
        <v>7183</v>
      </c>
      <c r="I3330" s="13" t="s">
        <v>9</v>
      </c>
      <c r="J3330" s="985" t="s">
        <v>575</v>
      </c>
      <c r="K3330" s="985"/>
      <c r="L3330" s="986"/>
      <c r="M3330" s="25"/>
      <c r="N3330" s="26"/>
      <c r="O3330" s="2"/>
      <c r="P3330" s="27"/>
      <c r="Q3330" s="26"/>
      <c r="R3330" s="28"/>
    </row>
    <row r="3331" spans="1:18" ht="30" customHeight="1" x14ac:dyDescent="0.45">
      <c r="A3331" s="85" t="s">
        <v>277</v>
      </c>
      <c r="B3331" s="987" t="s">
        <v>293</v>
      </c>
      <c r="C3331" s="988"/>
      <c r="D3331" s="989"/>
      <c r="E3331" s="220" t="s">
        <v>13</v>
      </c>
      <c r="F3331" s="220" t="s">
        <v>14</v>
      </c>
      <c r="G3331" s="990" t="s">
        <v>15</v>
      </c>
      <c r="H3331" s="991"/>
      <c r="I3331" s="19" t="s">
        <v>278</v>
      </c>
      <c r="J3331" s="19"/>
      <c r="K3331" s="23" t="s">
        <v>17</v>
      </c>
      <c r="L3331" s="24"/>
      <c r="M3331" s="25"/>
      <c r="N3331" s="229"/>
      <c r="O3331" s="2"/>
      <c r="P3331" s="27"/>
      <c r="Q3331" s="26"/>
      <c r="R3331" s="28"/>
    </row>
    <row r="3332" spans="1:18" ht="30" customHeight="1" x14ac:dyDescent="0.45">
      <c r="A3332" s="426" t="s">
        <v>1758</v>
      </c>
      <c r="B3332" s="1008" t="s">
        <v>1759</v>
      </c>
      <c r="C3332" s="1009"/>
      <c r="D3332" s="1010"/>
      <c r="E3332" s="221">
        <v>128</v>
      </c>
      <c r="F3332" s="56" t="s">
        <v>35</v>
      </c>
      <c r="G3332" s="715"/>
      <c r="H3332" s="716"/>
      <c r="I3332" s="47">
        <v>1.05</v>
      </c>
      <c r="J3332" s="47"/>
      <c r="K3332" s="221">
        <f>+E3332*I3332</f>
        <v>134.4</v>
      </c>
      <c r="L3332" s="47" t="s">
        <v>35</v>
      </c>
      <c r="M3332" s="25"/>
      <c r="O3332" s="2"/>
      <c r="P3332" s="27"/>
      <c r="Q3332" s="26"/>
      <c r="R3332" s="28"/>
    </row>
    <row r="3333" spans="1:18" ht="30" customHeight="1" x14ac:dyDescent="0.45">
      <c r="A3333" s="47" t="s">
        <v>397</v>
      </c>
      <c r="B3333" s="1030" t="s">
        <v>1791</v>
      </c>
      <c r="C3333" s="1030"/>
      <c r="D3333" s="1030"/>
      <c r="E3333" s="221">
        <v>4.0199999999999996</v>
      </c>
      <c r="F3333" s="47" t="s">
        <v>35</v>
      </c>
      <c r="G3333" s="47"/>
      <c r="H3333" s="47"/>
      <c r="I3333" s="47">
        <v>1.05</v>
      </c>
      <c r="J3333" s="47"/>
      <c r="K3333" s="221">
        <f>+E3333*I3333</f>
        <v>4.2210000000000001</v>
      </c>
      <c r="L3333" s="47" t="s">
        <v>35</v>
      </c>
      <c r="M3333" s="25"/>
      <c r="O3333" s="2"/>
      <c r="P3333" s="27"/>
      <c r="Q3333" s="26"/>
      <c r="R3333" s="28"/>
    </row>
    <row r="3334" spans="1:18" ht="30" customHeight="1" x14ac:dyDescent="0.45">
      <c r="A3334" s="47"/>
      <c r="B3334" s="47"/>
      <c r="C3334" s="58"/>
      <c r="D3334" s="58"/>
      <c r="E3334" s="58"/>
      <c r="F3334" s="58"/>
      <c r="G3334" s="58"/>
      <c r="H3334" s="58"/>
      <c r="I3334" s="58"/>
      <c r="J3334" s="47" t="s">
        <v>38</v>
      </c>
      <c r="K3334" s="216">
        <f>SUM(K3332:K3333)</f>
        <v>138.62100000000001</v>
      </c>
      <c r="L3334" s="47" t="s">
        <v>35</v>
      </c>
      <c r="M3334" s="25"/>
      <c r="O3334" s="2"/>
      <c r="P3334" s="27"/>
      <c r="Q3334" s="26"/>
      <c r="R3334" s="28"/>
    </row>
    <row r="3335" spans="1:18" ht="30" customHeight="1" x14ac:dyDescent="0.45">
      <c r="A3335" s="47"/>
      <c r="B3335" s="224"/>
      <c r="C3335" s="224"/>
      <c r="D3335" s="224"/>
      <c r="E3335" s="221"/>
      <c r="F3335" s="1011" t="s">
        <v>285</v>
      </c>
      <c r="G3335" s="1013" t="s">
        <v>286</v>
      </c>
      <c r="H3335" s="1013"/>
      <c r="I3335" s="1013"/>
      <c r="J3335" s="1013"/>
      <c r="K3335" s="278">
        <v>1.07</v>
      </c>
      <c r="L3335" s="47"/>
      <c r="M3335" s="25"/>
      <c r="O3335" s="2"/>
      <c r="P3335" s="27"/>
      <c r="Q3335" s="26"/>
      <c r="R3335" s="28"/>
    </row>
    <row r="3336" spans="1:18" ht="30" customHeight="1" x14ac:dyDescent="0.45">
      <c r="A3336" s="47"/>
      <c r="B3336" s="224"/>
      <c r="C3336" s="224"/>
      <c r="D3336" s="224"/>
      <c r="E3336" s="221"/>
      <c r="F3336" s="1012"/>
      <c r="G3336" s="1014" t="s">
        <v>580</v>
      </c>
      <c r="H3336" s="1014"/>
      <c r="I3336" s="1014"/>
      <c r="J3336" s="1014"/>
      <c r="K3336" s="278">
        <v>1.08</v>
      </c>
      <c r="L3336" s="47"/>
      <c r="N3336" s="26"/>
      <c r="O3336" s="2"/>
      <c r="P3336" s="27"/>
      <c r="Q3336" s="26"/>
      <c r="R3336" s="28"/>
    </row>
    <row r="3337" spans="1:18" ht="30" customHeight="1" x14ac:dyDescent="0.45">
      <c r="A3337" s="47"/>
      <c r="B3337" s="47"/>
      <c r="C3337" s="58"/>
      <c r="D3337" s="58"/>
      <c r="E3337" s="58"/>
      <c r="F3337" s="58"/>
      <c r="G3337" s="58"/>
      <c r="H3337" s="58"/>
      <c r="I3337" s="58"/>
      <c r="J3337" s="47" t="s">
        <v>39</v>
      </c>
      <c r="K3337" s="216">
        <f>+K3334*K3335/K3336</f>
        <v>137.33747222222223</v>
      </c>
      <c r="L3337" s="47" t="s">
        <v>35</v>
      </c>
      <c r="M3337" s="25"/>
      <c r="N3337" s="26"/>
      <c r="O3337" s="2"/>
      <c r="P3337" s="27"/>
      <c r="Q3337" s="26"/>
      <c r="R3337" s="28"/>
    </row>
    <row r="3338" spans="1:18" ht="30" customHeight="1" x14ac:dyDescent="0.45">
      <c r="A3338" s="47"/>
      <c r="B3338" s="47"/>
      <c r="C3338" s="58"/>
      <c r="D3338" s="58"/>
      <c r="E3338" s="58"/>
      <c r="F3338" s="58"/>
      <c r="G3338" s="1021" t="s">
        <v>288</v>
      </c>
      <c r="H3338" s="1022"/>
      <c r="I3338" s="1023"/>
      <c r="J3338" s="213">
        <f>VLOOKUP(B3330,'[1]Mil Cost Premiums for PUCs'!$A$4:$R$278,18,FALSE)</f>
        <v>1.0209999999999999</v>
      </c>
      <c r="K3338" s="216">
        <f>+K3337*J3338</f>
        <v>140.22155913888889</v>
      </c>
      <c r="L3338" s="47" t="s">
        <v>35</v>
      </c>
      <c r="M3338" s="25"/>
      <c r="N3338" s="26"/>
      <c r="O3338" s="2"/>
      <c r="P3338" s="27"/>
      <c r="Q3338" s="26"/>
      <c r="R3338" s="28"/>
    </row>
    <row r="3339" spans="1:18" ht="30" customHeight="1" x14ac:dyDescent="0.45">
      <c r="A3339" s="541"/>
      <c r="B3339" s="541"/>
      <c r="C3339" s="542"/>
      <c r="D3339" s="542"/>
      <c r="E3339" s="552"/>
      <c r="F3339" s="1024" t="s">
        <v>581</v>
      </c>
      <c r="G3339" s="1024"/>
      <c r="H3339" s="1024"/>
      <c r="I3339" s="1024"/>
      <c r="J3339" s="543">
        <v>1.0833999999999999</v>
      </c>
      <c r="K3339" s="363">
        <f>K3338*J3339</f>
        <v>151.91603717107222</v>
      </c>
      <c r="L3339" s="225" t="s">
        <v>35</v>
      </c>
      <c r="M3339" s="25"/>
      <c r="N3339" s="26"/>
      <c r="O3339" s="2"/>
      <c r="P3339" s="27"/>
      <c r="Q3339" s="26"/>
      <c r="R3339" s="28"/>
    </row>
    <row r="3340" spans="1:18" ht="30" customHeight="1" thickBot="1" x14ac:dyDescent="0.5">
      <c r="A3340" s="225"/>
      <c r="B3340" s="225"/>
      <c r="C3340" s="150"/>
      <c r="D3340" s="150"/>
      <c r="E3340" s="150"/>
      <c r="F3340" s="150"/>
      <c r="G3340" s="1025" t="s">
        <v>299</v>
      </c>
      <c r="H3340" s="1026"/>
      <c r="I3340" s="1027"/>
      <c r="J3340" s="226">
        <v>1.1214</v>
      </c>
      <c r="K3340" s="227">
        <f>+K3339*J3340</f>
        <v>170.35864408364037</v>
      </c>
      <c r="L3340" s="225" t="s">
        <v>35</v>
      </c>
      <c r="M3340" s="25"/>
    </row>
    <row r="3341" spans="1:18" ht="30" customHeight="1" thickBot="1" x14ac:dyDescent="0.5">
      <c r="A3341" s="999"/>
      <c r="B3341" s="1000"/>
      <c r="C3341" s="1000"/>
      <c r="D3341" s="1000"/>
      <c r="E3341" s="1000"/>
      <c r="F3341" s="1000"/>
      <c r="G3341" s="1000"/>
      <c r="H3341" s="1000"/>
      <c r="I3341" s="1000"/>
      <c r="J3341" s="1000"/>
      <c r="K3341" s="1000"/>
      <c r="L3341" s="1001"/>
      <c r="M3341" s="25"/>
      <c r="N3341" s="26"/>
      <c r="O3341" s="2"/>
      <c r="P3341" s="27"/>
      <c r="Q3341" s="26"/>
      <c r="R3341" s="28"/>
    </row>
    <row r="3342" spans="1:18" ht="30" customHeight="1" x14ac:dyDescent="0.45">
      <c r="A3342" s="9" t="s">
        <v>4</v>
      </c>
      <c r="B3342" s="10">
        <v>7412</v>
      </c>
      <c r="C3342" s="983" t="s">
        <v>1792</v>
      </c>
      <c r="D3342" s="984"/>
      <c r="E3342" s="13" t="s">
        <v>7</v>
      </c>
      <c r="F3342" s="14" t="s">
        <v>35</v>
      </c>
      <c r="G3342" s="11" t="s">
        <v>6</v>
      </c>
      <c r="H3342" s="163">
        <v>6924</v>
      </c>
      <c r="I3342" s="13" t="s">
        <v>9</v>
      </c>
      <c r="J3342" s="985" t="s">
        <v>575</v>
      </c>
      <c r="K3342" s="985"/>
      <c r="L3342" s="986"/>
      <c r="M3342" s="25"/>
      <c r="N3342" s="26"/>
      <c r="O3342" s="2"/>
      <c r="P3342" s="27"/>
      <c r="Q3342" s="26"/>
      <c r="R3342" s="28"/>
    </row>
    <row r="3343" spans="1:18" ht="30" customHeight="1" x14ac:dyDescent="0.45">
      <c r="A3343" s="85" t="s">
        <v>277</v>
      </c>
      <c r="B3343" s="987" t="s">
        <v>293</v>
      </c>
      <c r="C3343" s="988"/>
      <c r="D3343" s="989"/>
      <c r="E3343" s="220" t="s">
        <v>13</v>
      </c>
      <c r="F3343" s="220" t="s">
        <v>14</v>
      </c>
      <c r="G3343" s="990" t="s">
        <v>15</v>
      </c>
      <c r="H3343" s="991"/>
      <c r="I3343" s="19" t="s">
        <v>278</v>
      </c>
      <c r="J3343" s="19"/>
      <c r="K3343" s="23" t="s">
        <v>17</v>
      </c>
      <c r="L3343" s="24"/>
      <c r="M3343" s="25"/>
      <c r="N3343" s="26"/>
      <c r="O3343" s="2"/>
      <c r="P3343" s="27"/>
      <c r="Q3343" s="26"/>
      <c r="R3343" s="28"/>
    </row>
    <row r="3344" spans="1:18" ht="30" customHeight="1" x14ac:dyDescent="0.45">
      <c r="A3344" s="426" t="s">
        <v>1781</v>
      </c>
      <c r="B3344" s="1008" t="s">
        <v>1782</v>
      </c>
      <c r="C3344" s="1009"/>
      <c r="D3344" s="1010"/>
      <c r="E3344" s="221">
        <v>60</v>
      </c>
      <c r="F3344" s="56" t="s">
        <v>35</v>
      </c>
      <c r="G3344" s="715"/>
      <c r="H3344" s="716"/>
      <c r="I3344" s="47">
        <v>1.03</v>
      </c>
      <c r="J3344" s="47"/>
      <c r="K3344" s="221">
        <f>+E3344*I3344</f>
        <v>61.800000000000004</v>
      </c>
      <c r="L3344" s="47" t="s">
        <v>35</v>
      </c>
      <c r="M3344" s="25"/>
      <c r="N3344" s="26"/>
      <c r="O3344" s="2"/>
      <c r="P3344" s="27"/>
      <c r="Q3344" s="26"/>
      <c r="R3344" s="28"/>
    </row>
    <row r="3345" spans="1:20" ht="30" customHeight="1" x14ac:dyDescent="0.45">
      <c r="A3345" s="47" t="s">
        <v>358</v>
      </c>
      <c r="B3345" s="1030" t="s">
        <v>1784</v>
      </c>
      <c r="C3345" s="1030"/>
      <c r="D3345" s="1030"/>
      <c r="E3345" s="221">
        <v>3.71</v>
      </c>
      <c r="F3345" s="47" t="s">
        <v>35</v>
      </c>
      <c r="G3345" s="47"/>
      <c r="H3345" s="47"/>
      <c r="I3345" s="47">
        <v>1.03</v>
      </c>
      <c r="J3345" s="47"/>
      <c r="K3345" s="221">
        <f>+E3345*I3345</f>
        <v>3.8212999999999999</v>
      </c>
      <c r="L3345" s="47" t="s">
        <v>35</v>
      </c>
      <c r="M3345" s="25"/>
      <c r="N3345" s="26"/>
      <c r="O3345" s="2"/>
      <c r="P3345" s="27"/>
      <c r="Q3345" s="26"/>
      <c r="R3345" s="28"/>
    </row>
    <row r="3346" spans="1:20" ht="30" customHeight="1" x14ac:dyDescent="0.45">
      <c r="A3346" s="47"/>
      <c r="B3346" s="47"/>
      <c r="C3346" s="58"/>
      <c r="D3346" s="58"/>
      <c r="E3346" s="58"/>
      <c r="F3346" s="58"/>
      <c r="G3346" s="58"/>
      <c r="H3346" s="58"/>
      <c r="I3346" s="58"/>
      <c r="J3346" s="47" t="s">
        <v>38</v>
      </c>
      <c r="K3346" s="216">
        <f>SUM(K3344:K3345)</f>
        <v>65.621300000000005</v>
      </c>
      <c r="L3346" s="47" t="s">
        <v>35</v>
      </c>
      <c r="M3346" s="25"/>
      <c r="N3346" s="26"/>
      <c r="O3346" s="2"/>
      <c r="P3346" s="27"/>
      <c r="Q3346" s="26"/>
      <c r="R3346" s="28"/>
    </row>
    <row r="3347" spans="1:20" ht="30" customHeight="1" x14ac:dyDescent="0.45">
      <c r="A3347" s="47"/>
      <c r="B3347" s="224"/>
      <c r="C3347" s="224"/>
      <c r="D3347" s="224"/>
      <c r="E3347" s="221"/>
      <c r="F3347" s="1011" t="s">
        <v>285</v>
      </c>
      <c r="G3347" s="1013" t="s">
        <v>286</v>
      </c>
      <c r="H3347" s="1013"/>
      <c r="I3347" s="1013"/>
      <c r="J3347" s="1013"/>
      <c r="K3347" s="278">
        <v>1.07</v>
      </c>
      <c r="L3347" s="47"/>
      <c r="M3347" s="25"/>
      <c r="N3347" s="26"/>
      <c r="O3347" s="2"/>
      <c r="P3347" s="27"/>
      <c r="Q3347" s="26"/>
      <c r="R3347" s="28"/>
    </row>
    <row r="3348" spans="1:20" ht="30" customHeight="1" x14ac:dyDescent="0.45">
      <c r="A3348" s="47"/>
      <c r="B3348" s="224"/>
      <c r="C3348" s="224"/>
      <c r="D3348" s="224"/>
      <c r="E3348" s="221"/>
      <c r="F3348" s="1012"/>
      <c r="G3348" s="1014" t="s">
        <v>580</v>
      </c>
      <c r="H3348" s="1014"/>
      <c r="I3348" s="1014"/>
      <c r="J3348" s="1014"/>
      <c r="K3348" s="278">
        <v>1.08</v>
      </c>
      <c r="L3348" s="47"/>
      <c r="N3348" s="26"/>
      <c r="O3348" s="2"/>
      <c r="P3348" s="27"/>
      <c r="Q3348" s="26"/>
      <c r="R3348" s="28"/>
    </row>
    <row r="3349" spans="1:20" ht="30" customHeight="1" x14ac:dyDescent="0.45">
      <c r="A3349" s="47"/>
      <c r="B3349" s="47"/>
      <c r="C3349" s="58"/>
      <c r="D3349" s="58"/>
      <c r="E3349" s="58"/>
      <c r="F3349" s="58"/>
      <c r="G3349" s="58"/>
      <c r="H3349" s="58"/>
      <c r="I3349" s="58"/>
      <c r="J3349" s="47" t="s">
        <v>39</v>
      </c>
      <c r="K3349" s="216">
        <f>+K3346*K3347/K3348</f>
        <v>65.013695370370371</v>
      </c>
      <c r="L3349" s="47" t="s">
        <v>35</v>
      </c>
      <c r="M3349" s="25"/>
      <c r="N3349" s="26"/>
      <c r="O3349" s="2"/>
      <c r="P3349" s="27"/>
      <c r="Q3349" s="26"/>
      <c r="R3349" s="28"/>
    </row>
    <row r="3350" spans="1:20" ht="30" customHeight="1" x14ac:dyDescent="0.45">
      <c r="A3350" s="47"/>
      <c r="B3350" s="47"/>
      <c r="C3350" s="58"/>
      <c r="D3350" s="58"/>
      <c r="E3350" s="58"/>
      <c r="F3350" s="58"/>
      <c r="G3350" s="1021" t="s">
        <v>288</v>
      </c>
      <c r="H3350" s="1022"/>
      <c r="I3350" s="1023"/>
      <c r="J3350" s="213">
        <f>VLOOKUP(B3342,'[1]Mil Cost Premiums for PUCs'!$A$4:$R$278,18,FALSE)</f>
        <v>1.0240629999999997</v>
      </c>
      <c r="K3350" s="216">
        <f>+K3349*J3350</f>
        <v>66.578119922067572</v>
      </c>
      <c r="L3350" s="47" t="s">
        <v>35</v>
      </c>
      <c r="M3350" s="25"/>
      <c r="N3350" s="26"/>
      <c r="O3350" s="2"/>
      <c r="P3350" s="27"/>
      <c r="Q3350" s="26"/>
      <c r="R3350" s="28"/>
    </row>
    <row r="3351" spans="1:20" ht="30" customHeight="1" x14ac:dyDescent="0.45">
      <c r="A3351" s="541"/>
      <c r="B3351" s="541"/>
      <c r="C3351" s="542"/>
      <c r="D3351" s="542"/>
      <c r="E3351" s="552"/>
      <c r="F3351" s="1024" t="s">
        <v>581</v>
      </c>
      <c r="G3351" s="1024"/>
      <c r="H3351" s="1024"/>
      <c r="I3351" s="1024"/>
      <c r="J3351" s="543">
        <v>1.0833999999999999</v>
      </c>
      <c r="K3351" s="363">
        <f>K3350*J3351</f>
        <v>72.130735123568002</v>
      </c>
      <c r="L3351" s="225" t="s">
        <v>35</v>
      </c>
      <c r="M3351" s="25"/>
      <c r="N3351" s="26"/>
      <c r="O3351" s="2"/>
      <c r="P3351" s="27"/>
      <c r="Q3351" s="26"/>
      <c r="R3351" s="28"/>
    </row>
    <row r="3352" spans="1:20" ht="30" customHeight="1" thickBot="1" x14ac:dyDescent="0.5">
      <c r="A3352" s="225"/>
      <c r="B3352" s="225"/>
      <c r="C3352" s="150"/>
      <c r="D3352" s="150"/>
      <c r="E3352" s="150"/>
      <c r="F3352" s="150"/>
      <c r="G3352" s="1025" t="s">
        <v>299</v>
      </c>
      <c r="H3352" s="1026"/>
      <c r="I3352" s="1027"/>
      <c r="J3352" s="226">
        <v>1.1214</v>
      </c>
      <c r="K3352" s="227">
        <f>+K3351*J3352</f>
        <v>80.887406367569156</v>
      </c>
      <c r="L3352" s="225" t="s">
        <v>35</v>
      </c>
      <c r="M3352" s="25"/>
    </row>
    <row r="3353" spans="1:20" ht="30" customHeight="1" thickBot="1" x14ac:dyDescent="0.5">
      <c r="A3353" s="999"/>
      <c r="B3353" s="1000"/>
      <c r="C3353" s="1000"/>
      <c r="D3353" s="1000"/>
      <c r="E3353" s="1000"/>
      <c r="F3353" s="1000"/>
      <c r="G3353" s="1000"/>
      <c r="H3353" s="1000"/>
      <c r="I3353" s="1000"/>
      <c r="J3353" s="1000"/>
      <c r="K3353" s="1000"/>
      <c r="L3353" s="1001"/>
      <c r="M3353" s="25"/>
      <c r="N3353" s="26"/>
      <c r="O3353" s="2"/>
      <c r="P3353" s="27"/>
      <c r="Q3353" s="26"/>
      <c r="R3353" s="28"/>
    </row>
    <row r="3354" spans="1:20" ht="30" customHeight="1" x14ac:dyDescent="0.45">
      <c r="A3354" s="9" t="s">
        <v>4</v>
      </c>
      <c r="B3354" s="10">
        <v>7413</v>
      </c>
      <c r="C3354" s="983" t="s">
        <v>1793</v>
      </c>
      <c r="D3354" s="984"/>
      <c r="E3354" s="13" t="s">
        <v>7</v>
      </c>
      <c r="F3354" s="14" t="s">
        <v>35</v>
      </c>
      <c r="G3354" s="11" t="s">
        <v>6</v>
      </c>
      <c r="H3354" s="163">
        <v>5465.5405013927502</v>
      </c>
      <c r="I3354" s="13" t="s">
        <v>9</v>
      </c>
      <c r="J3354" s="985" t="s">
        <v>276</v>
      </c>
      <c r="K3354" s="985"/>
      <c r="L3354" s="986"/>
      <c r="M3354" s="25"/>
      <c r="N3354" s="26"/>
      <c r="O3354" s="2"/>
      <c r="P3354" s="27"/>
      <c r="Q3354" s="26"/>
      <c r="R3354" s="28"/>
    </row>
    <row r="3355" spans="1:20" ht="30" customHeight="1" x14ac:dyDescent="0.45">
      <c r="A3355" s="85" t="s">
        <v>277</v>
      </c>
      <c r="B3355" s="987" t="s">
        <v>293</v>
      </c>
      <c r="C3355" s="988"/>
      <c r="D3355" s="989"/>
      <c r="E3355" s="220" t="s">
        <v>13</v>
      </c>
      <c r="F3355" s="220" t="s">
        <v>14</v>
      </c>
      <c r="G3355" s="990" t="s">
        <v>15</v>
      </c>
      <c r="H3355" s="991"/>
      <c r="I3355" s="19" t="s">
        <v>1316</v>
      </c>
      <c r="J3355" s="19" t="s">
        <v>278</v>
      </c>
      <c r="K3355" s="23" t="s">
        <v>17</v>
      </c>
      <c r="L3355" s="24"/>
      <c r="M3355" s="25"/>
      <c r="N3355" s="26"/>
      <c r="O3355" s="2"/>
      <c r="P3355" s="27"/>
      <c r="Q3355" s="26"/>
      <c r="R3355" s="28"/>
    </row>
    <row r="3356" spans="1:20" ht="30" customHeight="1" x14ac:dyDescent="0.45">
      <c r="A3356" s="426" t="s">
        <v>1688</v>
      </c>
      <c r="B3356" s="1008" t="s">
        <v>1794</v>
      </c>
      <c r="C3356" s="1009"/>
      <c r="D3356" s="1010"/>
      <c r="E3356" s="221">
        <v>108</v>
      </c>
      <c r="F3356" s="56" t="s">
        <v>35</v>
      </c>
      <c r="G3356" s="715"/>
      <c r="H3356" s="716"/>
      <c r="I3356" s="58"/>
      <c r="J3356" s="365">
        <v>1.34</v>
      </c>
      <c r="K3356" s="221">
        <f>+E3356*J3356</f>
        <v>144.72</v>
      </c>
      <c r="L3356" s="47" t="s">
        <v>35</v>
      </c>
      <c r="M3356" s="25"/>
      <c r="N3356" s="26"/>
      <c r="O3356" s="2"/>
      <c r="P3356" s="27"/>
      <c r="Q3356" s="26"/>
      <c r="R3356" s="28"/>
    </row>
    <row r="3357" spans="1:20" ht="30" customHeight="1" x14ac:dyDescent="0.45">
      <c r="A3357" s="642" t="s">
        <v>1491</v>
      </c>
      <c r="B3357" s="1030" t="s">
        <v>1765</v>
      </c>
      <c r="C3357" s="1030"/>
      <c r="D3357" s="1030"/>
      <c r="E3357" s="221">
        <v>4.22</v>
      </c>
      <c r="F3357" s="47" t="s">
        <v>35</v>
      </c>
      <c r="G3357" s="47"/>
      <c r="H3357" s="47"/>
      <c r="I3357" s="224"/>
      <c r="J3357" s="365">
        <v>1.34</v>
      </c>
      <c r="K3357" s="221">
        <f>+E3357*J3357</f>
        <v>5.6547999999999998</v>
      </c>
      <c r="L3357" s="47" t="s">
        <v>35</v>
      </c>
      <c r="M3357" s="25"/>
      <c r="N3357" s="26"/>
      <c r="O3357" s="2"/>
      <c r="P3357" s="27"/>
      <c r="Q3357" s="26"/>
      <c r="R3357" s="28"/>
    </row>
    <row r="3358" spans="1:20" ht="30" customHeight="1" x14ac:dyDescent="0.45">
      <c r="A3358" s="47"/>
      <c r="B3358" s="47"/>
      <c r="C3358" s="58"/>
      <c r="D3358" s="58"/>
      <c r="E3358" s="58"/>
      <c r="F3358" s="58"/>
      <c r="G3358" s="557"/>
      <c r="H3358" s="58"/>
      <c r="I3358" s="58"/>
      <c r="J3358" s="47" t="s">
        <v>38</v>
      </c>
      <c r="K3358" s="216">
        <f>SUM(K3356:K3357)</f>
        <v>150.37479999999999</v>
      </c>
      <c r="L3358" s="47" t="s">
        <v>35</v>
      </c>
      <c r="M3358" s="25"/>
      <c r="N3358" s="26"/>
      <c r="O3358" s="2"/>
      <c r="P3358" s="27"/>
      <c r="Q3358" s="26"/>
      <c r="R3358" s="28"/>
      <c r="T3358" s="18"/>
    </row>
    <row r="3359" spans="1:20" ht="30" customHeight="1" x14ac:dyDescent="0.45">
      <c r="A3359" s="47"/>
      <c r="B3359" s="224"/>
      <c r="C3359" s="224"/>
      <c r="D3359" s="224"/>
      <c r="E3359" s="221"/>
      <c r="F3359" s="1011" t="s">
        <v>285</v>
      </c>
      <c r="G3359" s="1013" t="s">
        <v>286</v>
      </c>
      <c r="H3359" s="1013"/>
      <c r="I3359" s="1013"/>
      <c r="J3359" s="1013"/>
      <c r="K3359" s="278">
        <v>1.06</v>
      </c>
      <c r="L3359" s="47"/>
      <c r="M3359" s="25"/>
      <c r="N3359" s="26"/>
      <c r="O3359" s="2"/>
      <c r="P3359" s="27"/>
      <c r="Q3359" s="26"/>
      <c r="R3359" s="28"/>
    </row>
    <row r="3360" spans="1:20" ht="30" customHeight="1" x14ac:dyDescent="0.45">
      <c r="A3360" s="47"/>
      <c r="B3360" s="224"/>
      <c r="C3360" s="224"/>
      <c r="D3360" s="224"/>
      <c r="E3360" s="221"/>
      <c r="F3360" s="1012"/>
      <c r="G3360" s="1014" t="s">
        <v>287</v>
      </c>
      <c r="H3360" s="1014"/>
      <c r="I3360" s="1014"/>
      <c r="J3360" s="1014"/>
      <c r="K3360" s="278">
        <v>1.05</v>
      </c>
      <c r="L3360" s="47"/>
      <c r="N3360" s="26"/>
      <c r="O3360" s="2"/>
      <c r="P3360" s="27"/>
      <c r="Q3360" s="26"/>
      <c r="R3360" s="28"/>
    </row>
    <row r="3361" spans="1:25" ht="30" customHeight="1" x14ac:dyDescent="0.45">
      <c r="A3361" s="47"/>
      <c r="B3361" s="47"/>
      <c r="C3361" s="58"/>
      <c r="D3361" s="58"/>
      <c r="E3361" s="58"/>
      <c r="F3361" s="58"/>
      <c r="G3361" s="557"/>
      <c r="H3361" s="58"/>
      <c r="I3361" s="58"/>
      <c r="J3361" s="47" t="s">
        <v>39</v>
      </c>
      <c r="K3361" s="216">
        <f>+K3358*K3359/K3360</f>
        <v>151.80694095238096</v>
      </c>
      <c r="L3361" s="47" t="s">
        <v>35</v>
      </c>
      <c r="M3361" s="25"/>
      <c r="N3361" s="26"/>
      <c r="O3361" s="2"/>
      <c r="P3361" s="27"/>
      <c r="Q3361" s="26"/>
      <c r="R3361" s="28"/>
    </row>
    <row r="3362" spans="1:25" ht="30" customHeight="1" thickBot="1" x14ac:dyDescent="0.5">
      <c r="A3362" s="47"/>
      <c r="B3362" s="47"/>
      <c r="C3362" s="58"/>
      <c r="D3362" s="58"/>
      <c r="E3362" s="58"/>
      <c r="F3362" s="58"/>
      <c r="G3362" s="1032" t="s">
        <v>288</v>
      </c>
      <c r="H3362" s="1033"/>
      <c r="I3362" s="1034"/>
      <c r="J3362" s="213">
        <f>VLOOKUP(B3354,'[1]Mil Cost Premiums for PUCs'!$A$4:$R$278,18,FALSE)</f>
        <v>1.3319480854780448</v>
      </c>
      <c r="K3362" s="216">
        <f>+K3361*J3362</f>
        <v>202.19896436380242</v>
      </c>
      <c r="L3362" s="47" t="s">
        <v>35</v>
      </c>
      <c r="M3362" s="121"/>
      <c r="N3362" s="26"/>
      <c r="O3362" s="5"/>
      <c r="P3362" s="18"/>
      <c r="Q3362" s="18"/>
      <c r="R3362" s="18"/>
      <c r="S3362" s="18"/>
    </row>
    <row r="3363" spans="1:25" ht="30" customHeight="1" thickBot="1" x14ac:dyDescent="0.5">
      <c r="A3363" s="999"/>
      <c r="B3363" s="1000"/>
      <c r="C3363" s="1000"/>
      <c r="D3363" s="1000"/>
      <c r="E3363" s="1000"/>
      <c r="F3363" s="1000"/>
      <c r="G3363" s="1000"/>
      <c r="H3363" s="1000"/>
      <c r="I3363" s="1000"/>
      <c r="J3363" s="1000"/>
      <c r="K3363" s="1000"/>
      <c r="L3363" s="1001"/>
      <c r="M3363" s="25"/>
      <c r="N3363" s="26"/>
      <c r="O3363" s="5"/>
      <c r="P3363" s="18"/>
      <c r="Q3363" s="18"/>
      <c r="R3363" s="18"/>
      <c r="S3363" s="18"/>
    </row>
    <row r="3364" spans="1:25" ht="30" customHeight="1" x14ac:dyDescent="0.45">
      <c r="A3364" s="9" t="s">
        <v>4</v>
      </c>
      <c r="B3364" s="10">
        <v>7414</v>
      </c>
      <c r="C3364" s="983" t="s">
        <v>1795</v>
      </c>
      <c r="D3364" s="984"/>
      <c r="E3364" s="13" t="s">
        <v>7</v>
      </c>
      <c r="F3364" s="14" t="s">
        <v>35</v>
      </c>
      <c r="G3364" s="11" t="s">
        <v>6</v>
      </c>
      <c r="H3364" s="163">
        <v>3688</v>
      </c>
      <c r="I3364" s="13" t="s">
        <v>9</v>
      </c>
      <c r="J3364" s="985" t="s">
        <v>575</v>
      </c>
      <c r="K3364" s="985"/>
      <c r="L3364" s="986"/>
      <c r="M3364" s="25"/>
      <c r="N3364" s="26"/>
      <c r="O3364" s="5"/>
      <c r="P3364" s="18"/>
      <c r="Q3364" s="18"/>
      <c r="R3364" s="18"/>
      <c r="S3364" s="18"/>
      <c r="Y3364" s="18"/>
    </row>
    <row r="3365" spans="1:25" ht="30" customHeight="1" x14ac:dyDescent="0.45">
      <c r="A3365" s="85" t="s">
        <v>277</v>
      </c>
      <c r="B3365" s="987" t="s">
        <v>293</v>
      </c>
      <c r="C3365" s="988"/>
      <c r="D3365" s="989"/>
      <c r="E3365" s="220" t="s">
        <v>13</v>
      </c>
      <c r="F3365" s="220" t="s">
        <v>14</v>
      </c>
      <c r="G3365" s="990" t="s">
        <v>15</v>
      </c>
      <c r="H3365" s="991"/>
      <c r="I3365" s="19" t="s">
        <v>278</v>
      </c>
      <c r="J3365" s="19"/>
      <c r="K3365" s="23" t="s">
        <v>17</v>
      </c>
      <c r="L3365" s="24"/>
      <c r="M3365" s="25"/>
      <c r="N3365" s="26"/>
      <c r="U3365" s="18"/>
      <c r="V3365" s="18"/>
      <c r="W3365" s="18"/>
      <c r="X3365" s="18"/>
    </row>
    <row r="3366" spans="1:25" ht="30" customHeight="1" x14ac:dyDescent="0.45">
      <c r="A3366" s="426" t="s">
        <v>1758</v>
      </c>
      <c r="B3366" s="1008" t="s">
        <v>1759</v>
      </c>
      <c r="C3366" s="1009"/>
      <c r="D3366" s="1010"/>
      <c r="E3366" s="221">
        <v>128</v>
      </c>
      <c r="F3366" s="56" t="s">
        <v>35</v>
      </c>
      <c r="G3366" s="715"/>
      <c r="H3366" s="716"/>
      <c r="I3366" s="47">
        <v>1.05</v>
      </c>
      <c r="J3366" s="47"/>
      <c r="K3366" s="221">
        <f>+E3366*I3366</f>
        <v>134.4</v>
      </c>
      <c r="L3366" s="47" t="s">
        <v>35</v>
      </c>
      <c r="M3366" s="25"/>
      <c r="N3366" s="26"/>
      <c r="T3366" s="41"/>
      <c r="Y3366" s="18"/>
    </row>
    <row r="3367" spans="1:25" s="18" customFormat="1" ht="30" customHeight="1" x14ac:dyDescent="0.45">
      <c r="A3367" s="47" t="s">
        <v>397</v>
      </c>
      <c r="B3367" s="1030" t="s">
        <v>1774</v>
      </c>
      <c r="C3367" s="1030"/>
      <c r="D3367" s="1030"/>
      <c r="E3367" s="221">
        <v>4.8600000000000003</v>
      </c>
      <c r="F3367" s="47" t="s">
        <v>35</v>
      </c>
      <c r="G3367" s="47"/>
      <c r="H3367" s="47"/>
      <c r="I3367" s="47">
        <v>1.05</v>
      </c>
      <c r="J3367" s="47"/>
      <c r="K3367" s="221">
        <f>+E3367*I3367</f>
        <v>5.1030000000000006</v>
      </c>
      <c r="L3367" s="47" t="s">
        <v>35</v>
      </c>
      <c r="M3367" s="25"/>
      <c r="N3367" s="26"/>
      <c r="O3367" s="3"/>
      <c r="P3367" s="2"/>
      <c r="Q3367" s="2"/>
      <c r="R3367" s="2"/>
      <c r="S3367" s="2"/>
      <c r="T3367" s="41"/>
      <c r="U3367" s="2"/>
      <c r="V3367" s="2"/>
      <c r="W3367" s="2"/>
      <c r="X3367" s="2"/>
      <c r="Y3367" s="2"/>
    </row>
    <row r="3368" spans="1:25" ht="30" customHeight="1" x14ac:dyDescent="0.45">
      <c r="A3368" s="47"/>
      <c r="B3368" s="47"/>
      <c r="C3368" s="58"/>
      <c r="D3368" s="58"/>
      <c r="E3368" s="58"/>
      <c r="F3368" s="58"/>
      <c r="G3368" s="58"/>
      <c r="H3368" s="58"/>
      <c r="I3368" s="58"/>
      <c r="J3368" s="47" t="s">
        <v>38</v>
      </c>
      <c r="K3368" s="216">
        <f>SUM(K3366:K3367)</f>
        <v>139.50300000000001</v>
      </c>
      <c r="L3368" s="47" t="s">
        <v>35</v>
      </c>
      <c r="M3368" s="25"/>
      <c r="N3368" s="26"/>
    </row>
    <row r="3369" spans="1:25" s="18" customFormat="1" ht="30" customHeight="1" x14ac:dyDescent="0.45">
      <c r="A3369" s="47"/>
      <c r="B3369" s="224"/>
      <c r="C3369" s="224"/>
      <c r="D3369" s="224"/>
      <c r="E3369" s="221"/>
      <c r="F3369" s="1011" t="s">
        <v>285</v>
      </c>
      <c r="G3369" s="1013" t="s">
        <v>286</v>
      </c>
      <c r="H3369" s="1013"/>
      <c r="I3369" s="1013"/>
      <c r="J3369" s="1013"/>
      <c r="K3369" s="278">
        <v>1.07</v>
      </c>
      <c r="L3369" s="47"/>
      <c r="M3369" s="25"/>
      <c r="N3369" s="26"/>
      <c r="O3369" s="3"/>
      <c r="P3369" s="2"/>
      <c r="Q3369" s="2"/>
      <c r="R3369" s="2"/>
      <c r="S3369" s="41"/>
      <c r="T3369" s="2"/>
      <c r="U3369" s="2"/>
      <c r="V3369" s="2"/>
      <c r="W3369" s="2"/>
      <c r="X3369" s="2"/>
      <c r="Y3369" s="2"/>
    </row>
    <row r="3370" spans="1:25" ht="30" customHeight="1" x14ac:dyDescent="0.45">
      <c r="A3370" s="47"/>
      <c r="B3370" s="224"/>
      <c r="C3370" s="224"/>
      <c r="D3370" s="224"/>
      <c r="E3370" s="221"/>
      <c r="F3370" s="1012"/>
      <c r="G3370" s="1014" t="s">
        <v>580</v>
      </c>
      <c r="H3370" s="1014"/>
      <c r="I3370" s="1014"/>
      <c r="J3370" s="1014"/>
      <c r="K3370" s="278">
        <v>1.08</v>
      </c>
      <c r="L3370" s="47"/>
      <c r="N3370" s="26"/>
      <c r="S3370" s="41"/>
    </row>
    <row r="3371" spans="1:25" ht="30" customHeight="1" x14ac:dyDescent="0.45">
      <c r="A3371" s="47"/>
      <c r="B3371" s="47"/>
      <c r="C3371" s="58"/>
      <c r="D3371" s="58"/>
      <c r="E3371" s="58"/>
      <c r="F3371" s="58"/>
      <c r="G3371" s="58"/>
      <c r="H3371" s="58"/>
      <c r="I3371" s="58"/>
      <c r="J3371" s="47" t="s">
        <v>39</v>
      </c>
      <c r="K3371" s="216">
        <f>+K3368*K3369/K3370</f>
        <v>138.21130555555555</v>
      </c>
      <c r="L3371" s="47" t="s">
        <v>35</v>
      </c>
      <c r="M3371" s="25"/>
      <c r="N3371" s="26"/>
      <c r="O3371" s="2"/>
      <c r="P3371" s="27"/>
      <c r="Q3371" s="26"/>
      <c r="R3371" s="28"/>
    </row>
    <row r="3372" spans="1:25" ht="30" customHeight="1" x14ac:dyDescent="0.45">
      <c r="A3372" s="47"/>
      <c r="B3372" s="47"/>
      <c r="C3372" s="58"/>
      <c r="D3372" s="58"/>
      <c r="E3372" s="58"/>
      <c r="F3372" s="58"/>
      <c r="G3372" s="1021" t="s">
        <v>288</v>
      </c>
      <c r="H3372" s="1022"/>
      <c r="I3372" s="1023"/>
      <c r="J3372" s="213">
        <f>VLOOKUP(B3364,'[1]Mil Cost Premiums for PUCs'!$A$4:$R$278,18,FALSE)</f>
        <v>1.2470022895162014</v>
      </c>
      <c r="K3372" s="216">
        <f>+K3371*J3372</f>
        <v>172.34981446480106</v>
      </c>
      <c r="L3372" s="47" t="s">
        <v>35</v>
      </c>
      <c r="M3372" s="25"/>
      <c r="N3372" s="26"/>
      <c r="O3372" s="2"/>
      <c r="P3372" s="27"/>
      <c r="Q3372" s="26"/>
      <c r="R3372" s="28"/>
    </row>
    <row r="3373" spans="1:25" ht="30" customHeight="1" x14ac:dyDescent="0.45">
      <c r="A3373" s="541"/>
      <c r="B3373" s="541"/>
      <c r="C3373" s="542"/>
      <c r="D3373" s="542"/>
      <c r="E3373" s="552"/>
      <c r="F3373" s="1024" t="s">
        <v>581</v>
      </c>
      <c r="G3373" s="1024"/>
      <c r="H3373" s="1024"/>
      <c r="I3373" s="1024"/>
      <c r="J3373" s="543">
        <v>1.0833999999999999</v>
      </c>
      <c r="K3373" s="363">
        <f>K3372*J3373</f>
        <v>186.72378899116546</v>
      </c>
      <c r="L3373" s="225" t="s">
        <v>35</v>
      </c>
      <c r="M3373" s="25"/>
      <c r="N3373" s="26"/>
      <c r="O3373" s="2"/>
      <c r="P3373" s="27"/>
      <c r="Q3373" s="26"/>
      <c r="R3373" s="28"/>
    </row>
    <row r="3374" spans="1:25" ht="30" customHeight="1" thickBot="1" x14ac:dyDescent="0.5">
      <c r="A3374" s="225"/>
      <c r="B3374" s="225"/>
      <c r="C3374" s="150"/>
      <c r="D3374" s="150"/>
      <c r="E3374" s="150"/>
      <c r="F3374" s="150"/>
      <c r="G3374" s="1025" t="s">
        <v>299</v>
      </c>
      <c r="H3374" s="1026"/>
      <c r="I3374" s="1027"/>
      <c r="J3374" s="226">
        <v>1.1214</v>
      </c>
      <c r="K3374" s="227">
        <f>+K3373*J3374</f>
        <v>209.39205697469293</v>
      </c>
      <c r="L3374" s="225" t="s">
        <v>35</v>
      </c>
      <c r="M3374" s="25"/>
    </row>
    <row r="3375" spans="1:25" ht="30" customHeight="1" thickBot="1" x14ac:dyDescent="0.5">
      <c r="A3375" s="999"/>
      <c r="B3375" s="1000"/>
      <c r="C3375" s="1000"/>
      <c r="D3375" s="1000"/>
      <c r="E3375" s="1000"/>
      <c r="F3375" s="1000"/>
      <c r="G3375" s="1000"/>
      <c r="H3375" s="1000"/>
      <c r="I3375" s="1000"/>
      <c r="J3375" s="1000"/>
      <c r="K3375" s="1000"/>
      <c r="L3375" s="1001"/>
      <c r="M3375" s="25"/>
      <c r="N3375" s="26"/>
      <c r="O3375" s="2"/>
      <c r="P3375" s="27"/>
      <c r="Q3375" s="26"/>
      <c r="R3375" s="28"/>
    </row>
    <row r="3376" spans="1:25" ht="30" customHeight="1" x14ac:dyDescent="0.45">
      <c r="A3376" s="9" t="s">
        <v>4</v>
      </c>
      <c r="B3376" s="10">
        <v>7415</v>
      </c>
      <c r="C3376" s="983" t="s">
        <v>1796</v>
      </c>
      <c r="D3376" s="984"/>
      <c r="E3376" s="13" t="s">
        <v>7</v>
      </c>
      <c r="F3376" s="14" t="s">
        <v>35</v>
      </c>
      <c r="G3376" s="11" t="s">
        <v>6</v>
      </c>
      <c r="H3376" s="163">
        <v>17100.0477813504</v>
      </c>
      <c r="I3376" s="13" t="s">
        <v>9</v>
      </c>
      <c r="J3376" s="985" t="s">
        <v>276</v>
      </c>
      <c r="K3376" s="985"/>
      <c r="L3376" s="986"/>
      <c r="M3376" s="121"/>
      <c r="N3376" s="26"/>
      <c r="O3376" s="2"/>
      <c r="P3376" s="27"/>
      <c r="Q3376" s="26"/>
      <c r="R3376" s="28"/>
    </row>
    <row r="3377" spans="1:18" ht="30" customHeight="1" x14ac:dyDescent="0.45">
      <c r="A3377" s="85" t="s">
        <v>277</v>
      </c>
      <c r="B3377" s="987" t="s">
        <v>293</v>
      </c>
      <c r="C3377" s="988"/>
      <c r="D3377" s="989"/>
      <c r="E3377" s="220" t="s">
        <v>13</v>
      </c>
      <c r="F3377" s="220" t="s">
        <v>14</v>
      </c>
      <c r="G3377" s="990" t="s">
        <v>15</v>
      </c>
      <c r="H3377" s="991"/>
      <c r="I3377" s="19" t="s">
        <v>1316</v>
      </c>
      <c r="J3377" s="19" t="s">
        <v>278</v>
      </c>
      <c r="K3377" s="23" t="s">
        <v>17</v>
      </c>
      <c r="L3377" s="24"/>
      <c r="M3377" s="25"/>
      <c r="N3377" s="26"/>
      <c r="O3377" s="2"/>
      <c r="P3377" s="27"/>
      <c r="Q3377" s="26"/>
      <c r="R3377" s="28"/>
    </row>
    <row r="3378" spans="1:18" ht="30" customHeight="1" x14ac:dyDescent="0.45">
      <c r="A3378" s="426" t="s">
        <v>1797</v>
      </c>
      <c r="B3378" s="1008" t="s">
        <v>1798</v>
      </c>
      <c r="C3378" s="1009"/>
      <c r="D3378" s="1010"/>
      <c r="E3378" s="221">
        <v>99.5</v>
      </c>
      <c r="F3378" s="56" t="s">
        <v>35</v>
      </c>
      <c r="G3378" s="715"/>
      <c r="H3378" s="716"/>
      <c r="I3378" s="58"/>
      <c r="J3378" s="47">
        <v>1.21</v>
      </c>
      <c r="K3378" s="221">
        <f>+E3378*J3378</f>
        <v>120.395</v>
      </c>
      <c r="L3378" s="47" t="s">
        <v>35</v>
      </c>
      <c r="M3378" s="25"/>
      <c r="N3378" s="229"/>
      <c r="O3378" s="2"/>
      <c r="P3378" s="27"/>
      <c r="Q3378" s="26"/>
      <c r="R3378" s="28"/>
    </row>
    <row r="3379" spans="1:18" ht="30" customHeight="1" x14ac:dyDescent="0.45">
      <c r="A3379" s="47" t="s">
        <v>1799</v>
      </c>
      <c r="B3379" s="1030" t="s">
        <v>1800</v>
      </c>
      <c r="C3379" s="1030"/>
      <c r="D3379" s="1030"/>
      <c r="E3379" s="221">
        <v>4.38</v>
      </c>
      <c r="F3379" s="47" t="s">
        <v>35</v>
      </c>
      <c r="G3379" s="47"/>
      <c r="H3379" s="47"/>
      <c r="I3379" s="224"/>
      <c r="J3379" s="47">
        <v>1.21</v>
      </c>
      <c r="K3379" s="221">
        <f>+E3379*J3379</f>
        <v>5.2997999999999994</v>
      </c>
      <c r="L3379" s="47" t="s">
        <v>35</v>
      </c>
      <c r="M3379" s="25"/>
      <c r="O3379" s="2"/>
      <c r="P3379" s="27"/>
      <c r="Q3379" s="26"/>
      <c r="R3379" s="28"/>
    </row>
    <row r="3380" spans="1:18" ht="30" customHeight="1" x14ac:dyDescent="0.45">
      <c r="A3380" s="47"/>
      <c r="B3380" s="47"/>
      <c r="C3380" s="58"/>
      <c r="D3380" s="58"/>
      <c r="E3380" s="58"/>
      <c r="F3380" s="58"/>
      <c r="G3380" s="58"/>
      <c r="H3380" s="58"/>
      <c r="I3380" s="58"/>
      <c r="J3380" s="47" t="s">
        <v>38</v>
      </c>
      <c r="K3380" s="216">
        <f>SUM(K3378:K3379)</f>
        <v>125.6948</v>
      </c>
      <c r="L3380" s="47" t="s">
        <v>35</v>
      </c>
      <c r="M3380" s="25"/>
      <c r="O3380" s="2"/>
      <c r="P3380" s="27"/>
      <c r="Q3380" s="26"/>
      <c r="R3380" s="28"/>
    </row>
    <row r="3381" spans="1:18" ht="30" customHeight="1" x14ac:dyDescent="0.45">
      <c r="A3381" s="47"/>
      <c r="B3381" s="224"/>
      <c r="C3381" s="224"/>
      <c r="D3381" s="224"/>
      <c r="E3381" s="221"/>
      <c r="F3381" s="1011" t="s">
        <v>285</v>
      </c>
      <c r="G3381" s="1013" t="s">
        <v>286</v>
      </c>
      <c r="H3381" s="1013"/>
      <c r="I3381" s="1013"/>
      <c r="J3381" s="1013"/>
      <c r="K3381" s="278">
        <v>1.06</v>
      </c>
      <c r="L3381" s="47"/>
      <c r="M3381" s="25"/>
      <c r="O3381" s="2"/>
      <c r="P3381" s="27"/>
      <c r="Q3381" s="26"/>
      <c r="R3381" s="28"/>
    </row>
    <row r="3382" spans="1:18" ht="30" customHeight="1" x14ac:dyDescent="0.45">
      <c r="A3382" s="47"/>
      <c r="B3382" s="224"/>
      <c r="C3382" s="224"/>
      <c r="D3382" s="224"/>
      <c r="E3382" s="221"/>
      <c r="F3382" s="1012"/>
      <c r="G3382" s="1014" t="s">
        <v>287</v>
      </c>
      <c r="H3382" s="1014"/>
      <c r="I3382" s="1014"/>
      <c r="J3382" s="1014"/>
      <c r="K3382" s="278">
        <v>1.05</v>
      </c>
      <c r="L3382" s="47"/>
      <c r="O3382" s="2"/>
      <c r="P3382" s="27"/>
      <c r="Q3382" s="26"/>
      <c r="R3382" s="28"/>
    </row>
    <row r="3383" spans="1:18" ht="30" customHeight="1" x14ac:dyDescent="0.45">
      <c r="A3383" s="47"/>
      <c r="B3383" s="47"/>
      <c r="C3383" s="58"/>
      <c r="D3383" s="58"/>
      <c r="E3383" s="58"/>
      <c r="F3383" s="58"/>
      <c r="G3383" s="58"/>
      <c r="H3383" s="58"/>
      <c r="I3383" s="58"/>
      <c r="J3383" s="47" t="s">
        <v>39</v>
      </c>
      <c r="K3383" s="216">
        <f>+K3380*K3381/K3382</f>
        <v>126.89189333333334</v>
      </c>
      <c r="L3383" s="47" t="s">
        <v>35</v>
      </c>
      <c r="M3383" s="25"/>
      <c r="N3383" s="26"/>
      <c r="O3383" s="2"/>
      <c r="P3383" s="27"/>
      <c r="Q3383" s="26"/>
      <c r="R3383" s="28"/>
    </row>
    <row r="3384" spans="1:18" ht="30" customHeight="1" thickBot="1" x14ac:dyDescent="0.5">
      <c r="A3384" s="47"/>
      <c r="B3384" s="47"/>
      <c r="C3384" s="58"/>
      <c r="D3384" s="58"/>
      <c r="E3384" s="58"/>
      <c r="F3384" s="58"/>
      <c r="G3384" s="1032" t="s">
        <v>288</v>
      </c>
      <c r="H3384" s="1033"/>
      <c r="I3384" s="1034"/>
      <c r="J3384" s="213">
        <f>VLOOKUP(B3376,'[1]Mil Cost Premiums for PUCs'!$A$4:$R$278,18,FALSE)</f>
        <v>1.2815350593147223</v>
      </c>
      <c r="K3384" s="216">
        <f>+K3383*J3384</f>
        <v>162.61641004949075</v>
      </c>
      <c r="L3384" s="47" t="s">
        <v>35</v>
      </c>
      <c r="M3384" s="25"/>
      <c r="O3384" s="2"/>
      <c r="P3384" s="27"/>
      <c r="Q3384" s="26"/>
      <c r="R3384" s="28"/>
    </row>
    <row r="3385" spans="1:18" ht="30" customHeight="1" thickBot="1" x14ac:dyDescent="0.5">
      <c r="A3385" s="999"/>
      <c r="B3385" s="1000"/>
      <c r="C3385" s="1000"/>
      <c r="D3385" s="1000"/>
      <c r="E3385" s="1000"/>
      <c r="F3385" s="1000"/>
      <c r="G3385" s="1000"/>
      <c r="H3385" s="1000"/>
      <c r="I3385" s="1000"/>
      <c r="J3385" s="1000"/>
      <c r="K3385" s="1000"/>
      <c r="L3385" s="1001"/>
      <c r="M3385" s="25"/>
      <c r="O3385" s="2"/>
      <c r="P3385" s="27"/>
      <c r="Q3385" s="26"/>
      <c r="R3385" s="28"/>
    </row>
    <row r="3386" spans="1:18" ht="30" customHeight="1" x14ac:dyDescent="0.45">
      <c r="A3386" s="9" t="s">
        <v>4</v>
      </c>
      <c r="B3386" s="10">
        <v>7416</v>
      </c>
      <c r="C3386" s="983" t="s">
        <v>1801</v>
      </c>
      <c r="D3386" s="984"/>
      <c r="E3386" s="13" t="s">
        <v>7</v>
      </c>
      <c r="F3386" s="14" t="s">
        <v>35</v>
      </c>
      <c r="G3386" s="11" t="s">
        <v>6</v>
      </c>
      <c r="H3386" s="163">
        <v>12242.537233201499</v>
      </c>
      <c r="I3386" s="13" t="s">
        <v>9</v>
      </c>
      <c r="J3386" s="985" t="s">
        <v>276</v>
      </c>
      <c r="K3386" s="985"/>
      <c r="L3386" s="986"/>
      <c r="M3386" s="25"/>
      <c r="N3386" s="26"/>
      <c r="O3386" s="2"/>
      <c r="P3386" s="27"/>
      <c r="Q3386" s="26"/>
      <c r="R3386" s="28"/>
    </row>
    <row r="3387" spans="1:18" ht="30" customHeight="1" x14ac:dyDescent="0.45">
      <c r="A3387" s="85" t="s">
        <v>277</v>
      </c>
      <c r="B3387" s="987" t="s">
        <v>293</v>
      </c>
      <c r="C3387" s="988"/>
      <c r="D3387" s="989"/>
      <c r="E3387" s="220" t="s">
        <v>13</v>
      </c>
      <c r="F3387" s="220" t="s">
        <v>14</v>
      </c>
      <c r="G3387" s="990" t="s">
        <v>15</v>
      </c>
      <c r="H3387" s="991"/>
      <c r="I3387" s="19" t="s">
        <v>1316</v>
      </c>
      <c r="J3387" s="19" t="s">
        <v>278</v>
      </c>
      <c r="K3387" s="23" t="s">
        <v>17</v>
      </c>
      <c r="L3387" s="24"/>
      <c r="M3387" s="25"/>
      <c r="N3387" s="26"/>
      <c r="O3387" s="2"/>
      <c r="P3387" s="27"/>
      <c r="Q3387" s="26"/>
      <c r="R3387" s="28"/>
    </row>
    <row r="3388" spans="1:18" ht="30" customHeight="1" x14ac:dyDescent="0.45">
      <c r="A3388" s="426" t="s">
        <v>1802</v>
      </c>
      <c r="B3388" s="1008" t="s">
        <v>1803</v>
      </c>
      <c r="C3388" s="1009"/>
      <c r="D3388" s="1010"/>
      <c r="E3388" s="221">
        <v>179</v>
      </c>
      <c r="F3388" s="56" t="s">
        <v>35</v>
      </c>
      <c r="G3388" s="715"/>
      <c r="H3388" s="716"/>
      <c r="I3388" s="58"/>
      <c r="J3388" s="47">
        <v>1.1200000000000001</v>
      </c>
      <c r="K3388" s="221">
        <f>+E3388*J3388</f>
        <v>200.48000000000002</v>
      </c>
      <c r="L3388" s="47" t="s">
        <v>35</v>
      </c>
      <c r="M3388" s="25"/>
      <c r="N3388" s="26"/>
      <c r="O3388" s="2"/>
      <c r="P3388" s="27"/>
      <c r="Q3388" s="26"/>
      <c r="R3388" s="28"/>
    </row>
    <row r="3389" spans="1:18" ht="30" customHeight="1" x14ac:dyDescent="0.45">
      <c r="A3389" s="47" t="s">
        <v>397</v>
      </c>
      <c r="B3389" s="1030" t="s">
        <v>1791</v>
      </c>
      <c r="C3389" s="1030"/>
      <c r="D3389" s="1030"/>
      <c r="E3389" s="221">
        <v>4.8899999999999997</v>
      </c>
      <c r="F3389" s="47" t="s">
        <v>35</v>
      </c>
      <c r="G3389" s="47"/>
      <c r="H3389" s="47"/>
      <c r="I3389" s="224"/>
      <c r="J3389" s="47">
        <v>1.1200000000000001</v>
      </c>
      <c r="K3389" s="221">
        <f>+E3389*J3389</f>
        <v>5.4767999999999999</v>
      </c>
      <c r="L3389" s="47" t="s">
        <v>35</v>
      </c>
      <c r="M3389" s="25"/>
      <c r="N3389" s="26"/>
      <c r="O3389" s="2"/>
      <c r="P3389" s="27"/>
      <c r="Q3389" s="26"/>
      <c r="R3389" s="28"/>
    </row>
    <row r="3390" spans="1:18" ht="30" customHeight="1" x14ac:dyDescent="0.45">
      <c r="A3390" s="47"/>
      <c r="B3390" s="47"/>
      <c r="C3390" s="58"/>
      <c r="D3390" s="58"/>
      <c r="E3390" s="58"/>
      <c r="F3390" s="58"/>
      <c r="G3390" s="58"/>
      <c r="H3390" s="58"/>
      <c r="I3390" s="58"/>
      <c r="J3390" s="47" t="s">
        <v>38</v>
      </c>
      <c r="K3390" s="216">
        <f>SUM(K3388:K3389)</f>
        <v>205.95680000000002</v>
      </c>
      <c r="L3390" s="47" t="s">
        <v>35</v>
      </c>
      <c r="M3390" s="25"/>
      <c r="N3390" s="26"/>
      <c r="O3390" s="2"/>
      <c r="P3390" s="27"/>
      <c r="Q3390" s="26"/>
      <c r="R3390" s="28"/>
    </row>
    <row r="3391" spans="1:18" ht="30" customHeight="1" x14ac:dyDescent="0.45">
      <c r="A3391" s="47"/>
      <c r="B3391" s="224"/>
      <c r="C3391" s="224"/>
      <c r="D3391" s="224"/>
      <c r="E3391" s="221"/>
      <c r="F3391" s="1011" t="s">
        <v>285</v>
      </c>
      <c r="G3391" s="1013" t="s">
        <v>286</v>
      </c>
      <c r="H3391" s="1013"/>
      <c r="I3391" s="1013"/>
      <c r="J3391" s="1013"/>
      <c r="K3391" s="278">
        <v>1.06</v>
      </c>
      <c r="L3391" s="47"/>
      <c r="M3391" s="25"/>
      <c r="N3391" s="26"/>
      <c r="O3391" s="2"/>
      <c r="P3391" s="27"/>
      <c r="Q3391" s="26"/>
      <c r="R3391" s="28"/>
    </row>
    <row r="3392" spans="1:18" ht="30" customHeight="1" x14ac:dyDescent="0.45">
      <c r="A3392" s="47"/>
      <c r="B3392" s="224"/>
      <c r="C3392" s="224"/>
      <c r="D3392" s="224"/>
      <c r="E3392" s="221"/>
      <c r="F3392" s="1012"/>
      <c r="G3392" s="1014" t="s">
        <v>287</v>
      </c>
      <c r="H3392" s="1014"/>
      <c r="I3392" s="1014"/>
      <c r="J3392" s="1014"/>
      <c r="K3392" s="278">
        <v>1.05</v>
      </c>
      <c r="L3392" s="47"/>
      <c r="N3392" s="26"/>
      <c r="O3392" s="2"/>
      <c r="P3392" s="27"/>
      <c r="Q3392" s="26"/>
      <c r="R3392" s="28"/>
    </row>
    <row r="3393" spans="1:25" ht="30" customHeight="1" x14ac:dyDescent="0.45">
      <c r="A3393" s="47"/>
      <c r="B3393" s="47"/>
      <c r="C3393" s="58"/>
      <c r="D3393" s="58"/>
      <c r="E3393" s="58"/>
      <c r="F3393" s="58"/>
      <c r="G3393" s="58"/>
      <c r="H3393" s="58"/>
      <c r="I3393" s="58"/>
      <c r="J3393" s="47" t="s">
        <v>39</v>
      </c>
      <c r="K3393" s="216">
        <f>+K3390*K3391/K3392</f>
        <v>207.91829333333337</v>
      </c>
      <c r="L3393" s="47" t="s">
        <v>35</v>
      </c>
      <c r="M3393" s="25"/>
      <c r="N3393" s="26"/>
      <c r="O3393" s="2"/>
      <c r="P3393" s="27"/>
      <c r="Q3393" s="26"/>
      <c r="R3393" s="28"/>
    </row>
    <row r="3394" spans="1:25" ht="30" customHeight="1" thickBot="1" x14ac:dyDescent="0.5">
      <c r="A3394" s="225"/>
      <c r="B3394" s="225"/>
      <c r="C3394" s="150"/>
      <c r="D3394" s="150"/>
      <c r="E3394" s="150"/>
      <c r="F3394" s="150"/>
      <c r="G3394" s="1032" t="s">
        <v>288</v>
      </c>
      <c r="H3394" s="1033"/>
      <c r="I3394" s="1034"/>
      <c r="J3394" s="213">
        <f>VLOOKUP(B3386,'[1]Mil Cost Premiums for PUCs'!$A$4:$R$278,18,FALSE)</f>
        <v>1.3319480854780448</v>
      </c>
      <c r="K3394" s="227">
        <f>+K3393*J3394</f>
        <v>276.9363727411959</v>
      </c>
      <c r="L3394" s="225" t="s">
        <v>35</v>
      </c>
      <c r="M3394" s="25"/>
      <c r="N3394" s="26"/>
      <c r="O3394" s="2"/>
      <c r="P3394" s="27"/>
      <c r="Q3394" s="26"/>
      <c r="R3394" s="28"/>
    </row>
    <row r="3395" spans="1:25" ht="30" customHeight="1" thickBot="1" x14ac:dyDescent="0.5">
      <c r="A3395" s="999"/>
      <c r="B3395" s="1000"/>
      <c r="C3395" s="1000"/>
      <c r="D3395" s="1000"/>
      <c r="E3395" s="1000"/>
      <c r="F3395" s="1000"/>
      <c r="G3395" s="1000"/>
      <c r="H3395" s="1000"/>
      <c r="I3395" s="1000"/>
      <c r="J3395" s="1000"/>
      <c r="K3395" s="1000"/>
      <c r="L3395" s="1001"/>
      <c r="M3395" s="25"/>
      <c r="N3395" s="26"/>
      <c r="O3395" s="2"/>
      <c r="P3395" s="27"/>
      <c r="Q3395" s="26"/>
      <c r="R3395" s="28"/>
    </row>
    <row r="3396" spans="1:25" ht="30" customHeight="1" x14ac:dyDescent="0.45">
      <c r="A3396" s="690" t="s">
        <v>4</v>
      </c>
      <c r="B3396" s="691">
        <v>7417</v>
      </c>
      <c r="C3396" s="1221" t="s">
        <v>1804</v>
      </c>
      <c r="D3396" s="1222"/>
      <c r="E3396" s="692" t="s">
        <v>7</v>
      </c>
      <c r="F3396" s="693" t="s">
        <v>35</v>
      </c>
      <c r="G3396" s="11" t="s">
        <v>6</v>
      </c>
      <c r="H3396" s="694">
        <v>7118.1</v>
      </c>
      <c r="I3396" s="13" t="s">
        <v>9</v>
      </c>
      <c r="J3396" s="985" t="s">
        <v>276</v>
      </c>
      <c r="K3396" s="985"/>
      <c r="L3396" s="986"/>
      <c r="M3396" s="25"/>
      <c r="N3396" s="26"/>
      <c r="O3396" s="2"/>
      <c r="P3396" s="27"/>
      <c r="Q3396" s="26"/>
      <c r="R3396" s="28"/>
    </row>
    <row r="3397" spans="1:25" ht="30" customHeight="1" x14ac:dyDescent="0.45">
      <c r="A3397" s="695" t="s">
        <v>277</v>
      </c>
      <c r="B3397" s="1055" t="s">
        <v>293</v>
      </c>
      <c r="C3397" s="1056"/>
      <c r="D3397" s="1057"/>
      <c r="E3397" s="696" t="s">
        <v>13</v>
      </c>
      <c r="F3397" s="696" t="s">
        <v>14</v>
      </c>
      <c r="G3397" s="1058" t="s">
        <v>15</v>
      </c>
      <c r="H3397" s="1059"/>
      <c r="I3397" s="19" t="s">
        <v>1316</v>
      </c>
      <c r="J3397" s="710" t="s">
        <v>1750</v>
      </c>
      <c r="K3397" s="23" t="s">
        <v>17</v>
      </c>
      <c r="L3397" s="24"/>
      <c r="M3397" s="25"/>
      <c r="N3397" s="26"/>
      <c r="O3397" s="2"/>
      <c r="P3397" s="27"/>
      <c r="Q3397" s="26"/>
      <c r="R3397" s="28"/>
    </row>
    <row r="3398" spans="1:25" ht="30" customHeight="1" x14ac:dyDescent="0.45">
      <c r="A3398" s="697" t="s">
        <v>1805</v>
      </c>
      <c r="B3398" s="1213" t="s">
        <v>1806</v>
      </c>
      <c r="C3398" s="1214"/>
      <c r="D3398" s="1215"/>
      <c r="E3398" s="698">
        <v>162</v>
      </c>
      <c r="F3398" s="699" t="s">
        <v>35</v>
      </c>
      <c r="G3398" s="700"/>
      <c r="H3398" s="701"/>
      <c r="I3398" s="58"/>
      <c r="J3398" s="702">
        <v>1.21</v>
      </c>
      <c r="K3398" s="698">
        <f>+E3398*J3398</f>
        <v>196.01999999999998</v>
      </c>
      <c r="L3398" s="702" t="s">
        <v>35</v>
      </c>
      <c r="M3398" s="25"/>
      <c r="N3398" s="26"/>
      <c r="O3398" s="2"/>
      <c r="P3398" s="27"/>
      <c r="Q3398" s="26"/>
      <c r="R3398" s="28"/>
    </row>
    <row r="3399" spans="1:25" ht="30" customHeight="1" x14ac:dyDescent="0.45">
      <c r="A3399" s="703" t="s">
        <v>1799</v>
      </c>
      <c r="B3399" s="1030" t="s">
        <v>1765</v>
      </c>
      <c r="C3399" s="1030"/>
      <c r="D3399" s="1030"/>
      <c r="E3399" s="698">
        <v>5.25</v>
      </c>
      <c r="F3399" s="702" t="s">
        <v>35</v>
      </c>
      <c r="G3399" s="704"/>
      <c r="H3399" s="702"/>
      <c r="I3399" s="224"/>
      <c r="J3399" s="702">
        <v>1.21</v>
      </c>
      <c r="K3399" s="698">
        <f>+E3399*J3399</f>
        <v>6.3525</v>
      </c>
      <c r="L3399" s="702" t="s">
        <v>35</v>
      </c>
      <c r="M3399" s="25"/>
      <c r="N3399" s="26"/>
      <c r="O3399" s="2"/>
      <c r="P3399" s="27"/>
      <c r="Q3399" s="26"/>
      <c r="R3399" s="28"/>
    </row>
    <row r="3400" spans="1:25" ht="30" customHeight="1" x14ac:dyDescent="0.45">
      <c r="A3400" s="702"/>
      <c r="B3400" s="1213"/>
      <c r="C3400" s="1214"/>
      <c r="D3400" s="1215"/>
      <c r="E3400" s="698"/>
      <c r="F3400" s="702"/>
      <c r="G3400" s="702"/>
      <c r="H3400" s="702"/>
      <c r="I3400" s="702"/>
      <c r="J3400" s="702" t="s">
        <v>38</v>
      </c>
      <c r="K3400" s="698">
        <f>SUM(K3398:K3399)</f>
        <v>202.37249999999997</v>
      </c>
      <c r="L3400" s="702" t="s">
        <v>35</v>
      </c>
      <c r="M3400" s="25"/>
      <c r="N3400" s="26"/>
      <c r="O3400" s="2"/>
      <c r="P3400" s="27"/>
      <c r="Q3400" s="26"/>
      <c r="R3400" s="28"/>
    </row>
    <row r="3401" spans="1:25" ht="30" customHeight="1" x14ac:dyDescent="0.45">
      <c r="A3401" s="47"/>
      <c r="B3401" s="224"/>
      <c r="C3401" s="224"/>
      <c r="D3401" s="224"/>
      <c r="E3401" s="221"/>
      <c r="F3401" s="1011" t="s">
        <v>285</v>
      </c>
      <c r="G3401" s="1013" t="s">
        <v>286</v>
      </c>
      <c r="H3401" s="1013"/>
      <c r="I3401" s="1013"/>
      <c r="J3401" s="1013"/>
      <c r="K3401" s="278">
        <v>1.06</v>
      </c>
      <c r="L3401" s="47"/>
      <c r="M3401" s="25"/>
      <c r="N3401" s="26"/>
      <c r="O3401" s="2"/>
      <c r="P3401" s="27"/>
      <c r="Q3401" s="26"/>
      <c r="R3401" s="28"/>
    </row>
    <row r="3402" spans="1:25" ht="30" customHeight="1" x14ac:dyDescent="0.45">
      <c r="A3402" s="47"/>
      <c r="B3402" s="224"/>
      <c r="C3402" s="224"/>
      <c r="D3402" s="224"/>
      <c r="E3402" s="221"/>
      <c r="F3402" s="1012"/>
      <c r="G3402" s="1014" t="s">
        <v>287</v>
      </c>
      <c r="H3402" s="1014"/>
      <c r="I3402" s="1014"/>
      <c r="J3402" s="1014"/>
      <c r="K3402" s="278">
        <v>1.05</v>
      </c>
      <c r="L3402" s="47"/>
      <c r="M3402" s="25"/>
      <c r="N3402" s="26"/>
      <c r="O3402" s="2"/>
      <c r="P3402" s="27"/>
      <c r="Q3402" s="26"/>
      <c r="R3402" s="28"/>
    </row>
    <row r="3403" spans="1:25" ht="30" customHeight="1" x14ac:dyDescent="0.45">
      <c r="A3403" s="702"/>
      <c r="B3403" s="702"/>
      <c r="C3403" s="706"/>
      <c r="D3403" s="706"/>
      <c r="E3403" s="706"/>
      <c r="F3403" s="706"/>
      <c r="G3403" s="706"/>
      <c r="H3403" s="706"/>
      <c r="I3403" s="706"/>
      <c r="J3403" s="702" t="s">
        <v>39</v>
      </c>
      <c r="K3403" s="707">
        <f>+K3400*K3401/K3402</f>
        <v>204.29985714285712</v>
      </c>
      <c r="L3403" s="702" t="s">
        <v>35</v>
      </c>
      <c r="M3403" s="25"/>
      <c r="N3403" s="26"/>
      <c r="O3403" s="2"/>
      <c r="P3403" s="27"/>
      <c r="Q3403" s="26"/>
      <c r="R3403" s="28"/>
    </row>
    <row r="3404" spans="1:25" ht="30" customHeight="1" thickBot="1" x14ac:dyDescent="0.5">
      <c r="A3404" s="702"/>
      <c r="B3404" s="702"/>
      <c r="C3404" s="706"/>
      <c r="D3404" s="706"/>
      <c r="E3404" s="706"/>
      <c r="F3404" s="706"/>
      <c r="H3404" s="706"/>
      <c r="I3404" s="718" t="s">
        <v>288</v>
      </c>
      <c r="J3404" s="213">
        <f>VLOOKUP(B3396,'[1]Mil Cost Premiums for PUCs'!$A$4:$R$278,18,FALSE)</f>
        <v>1.2981950150858137</v>
      </c>
      <c r="K3404" s="707">
        <f>+K3403*J3404</f>
        <v>265.22105612560097</v>
      </c>
      <c r="L3404" s="702" t="s">
        <v>35</v>
      </c>
      <c r="M3404" s="25"/>
      <c r="N3404" s="26"/>
      <c r="O3404" s="2"/>
      <c r="P3404" s="27"/>
      <c r="Q3404" s="26"/>
      <c r="R3404" s="28"/>
    </row>
    <row r="3405" spans="1:25" ht="30" customHeight="1" thickBot="1" x14ac:dyDescent="0.5">
      <c r="A3405" s="999"/>
      <c r="B3405" s="1000"/>
      <c r="C3405" s="1000"/>
      <c r="D3405" s="1000"/>
      <c r="E3405" s="1000"/>
      <c r="F3405" s="1000"/>
      <c r="G3405" s="1000"/>
      <c r="H3405" s="1000"/>
      <c r="I3405" s="1000"/>
      <c r="J3405" s="1000"/>
      <c r="K3405" s="1000"/>
      <c r="L3405" s="1001"/>
      <c r="M3405" s="25"/>
      <c r="N3405" s="26"/>
      <c r="O3405" s="2"/>
      <c r="P3405" s="27"/>
      <c r="Q3405" s="26"/>
      <c r="R3405" s="28"/>
    </row>
    <row r="3406" spans="1:25" ht="30" customHeight="1" x14ac:dyDescent="0.45">
      <c r="A3406" s="9" t="s">
        <v>4</v>
      </c>
      <c r="B3406" s="10">
        <v>7418</v>
      </c>
      <c r="C3406" s="983" t="s">
        <v>1807</v>
      </c>
      <c r="D3406" s="984"/>
      <c r="E3406" s="13" t="s">
        <v>7</v>
      </c>
      <c r="F3406" s="14" t="s">
        <v>35</v>
      </c>
      <c r="G3406" s="11" t="s">
        <v>6</v>
      </c>
      <c r="H3406" s="163">
        <v>23192</v>
      </c>
      <c r="I3406" s="13" t="s">
        <v>9</v>
      </c>
      <c r="J3406" s="985" t="s">
        <v>575</v>
      </c>
      <c r="K3406" s="985"/>
      <c r="L3406" s="986"/>
      <c r="M3406" s="25"/>
      <c r="N3406" s="26"/>
      <c r="O3406" s="2"/>
      <c r="P3406" s="27"/>
      <c r="Q3406" s="26"/>
      <c r="R3406" s="28"/>
      <c r="T3406" s="18"/>
    </row>
    <row r="3407" spans="1:25" ht="30" customHeight="1" x14ac:dyDescent="0.45">
      <c r="A3407" s="85" t="s">
        <v>277</v>
      </c>
      <c r="B3407" s="987" t="s">
        <v>293</v>
      </c>
      <c r="C3407" s="988"/>
      <c r="D3407" s="989"/>
      <c r="E3407" s="220" t="s">
        <v>13</v>
      </c>
      <c r="F3407" s="220" t="s">
        <v>14</v>
      </c>
      <c r="G3407" s="990" t="s">
        <v>15</v>
      </c>
      <c r="H3407" s="991"/>
      <c r="I3407" s="19" t="s">
        <v>278</v>
      </c>
      <c r="J3407" s="19"/>
      <c r="K3407" s="23" t="s">
        <v>17</v>
      </c>
      <c r="L3407" s="24"/>
      <c r="M3407" s="25"/>
      <c r="N3407" s="26"/>
      <c r="O3407" s="2"/>
      <c r="P3407" s="27"/>
      <c r="Q3407" s="26"/>
      <c r="R3407" s="28"/>
      <c r="T3407" s="18"/>
      <c r="U3407" s="18"/>
      <c r="V3407" s="18"/>
      <c r="W3407" s="18"/>
      <c r="X3407" s="18"/>
    </row>
    <row r="3408" spans="1:25" ht="30" customHeight="1" x14ac:dyDescent="0.45">
      <c r="A3408" s="426" t="s">
        <v>1808</v>
      </c>
      <c r="B3408" s="1008" t="s">
        <v>1809</v>
      </c>
      <c r="C3408" s="1009"/>
      <c r="D3408" s="1010"/>
      <c r="E3408" s="221">
        <v>99.5</v>
      </c>
      <c r="F3408" s="56" t="s">
        <v>35</v>
      </c>
      <c r="G3408" s="715"/>
      <c r="H3408" s="716"/>
      <c r="I3408" s="47">
        <v>1.06</v>
      </c>
      <c r="J3408" s="47"/>
      <c r="K3408" s="221">
        <f>+E3408*I3408</f>
        <v>105.47</v>
      </c>
      <c r="L3408" s="47" t="s">
        <v>35</v>
      </c>
      <c r="M3408" s="25"/>
      <c r="N3408" s="26"/>
      <c r="O3408" s="5"/>
      <c r="P3408" s="18"/>
      <c r="Q3408" s="18"/>
      <c r="R3408" s="18"/>
      <c r="S3408" s="18"/>
      <c r="Y3408" s="18"/>
    </row>
    <row r="3409" spans="1:25" ht="30" customHeight="1" x14ac:dyDescent="0.45">
      <c r="A3409" s="47" t="s">
        <v>1799</v>
      </c>
      <c r="B3409" s="1030" t="s">
        <v>1810</v>
      </c>
      <c r="C3409" s="1030"/>
      <c r="D3409" s="1030"/>
      <c r="E3409" s="221">
        <v>3.54</v>
      </c>
      <c r="F3409" s="47" t="s">
        <v>35</v>
      </c>
      <c r="G3409" s="47"/>
      <c r="H3409" s="47"/>
      <c r="I3409" s="47">
        <v>1.06</v>
      </c>
      <c r="J3409" s="47"/>
      <c r="K3409" s="221">
        <f>+E3409*I3409</f>
        <v>3.7524000000000002</v>
      </c>
      <c r="L3409" s="47" t="s">
        <v>35</v>
      </c>
      <c r="M3409" s="25"/>
      <c r="N3409" s="26"/>
      <c r="O3409" s="5"/>
      <c r="P3409" s="18"/>
      <c r="Q3409" s="18"/>
      <c r="R3409" s="18"/>
      <c r="S3409" s="18"/>
      <c r="T3409" s="41"/>
    </row>
    <row r="3410" spans="1:25" ht="30" customHeight="1" x14ac:dyDescent="0.45">
      <c r="A3410" s="702"/>
      <c r="B3410" s="1213"/>
      <c r="C3410" s="1214"/>
      <c r="D3410" s="1215"/>
      <c r="E3410" s="698"/>
      <c r="F3410" s="702"/>
      <c r="G3410" s="702"/>
      <c r="H3410" s="702"/>
      <c r="I3410" s="702"/>
      <c r="J3410" s="702" t="s">
        <v>38</v>
      </c>
      <c r="K3410" s="698">
        <f>SUM(K3408:K3409)</f>
        <v>109.22239999999999</v>
      </c>
      <c r="L3410" s="702" t="s">
        <v>35</v>
      </c>
      <c r="M3410" s="25"/>
      <c r="N3410" s="26"/>
      <c r="O3410" s="5"/>
      <c r="P3410" s="18"/>
      <c r="Q3410" s="18"/>
      <c r="R3410" s="18"/>
      <c r="S3410" s="18"/>
      <c r="T3410" s="41"/>
    </row>
    <row r="3411" spans="1:25" s="18" customFormat="1" ht="30" customHeight="1" x14ac:dyDescent="0.45">
      <c r="A3411" s="47"/>
      <c r="B3411" s="224"/>
      <c r="C3411" s="224"/>
      <c r="D3411" s="224"/>
      <c r="E3411" s="221"/>
      <c r="F3411" s="1011" t="s">
        <v>285</v>
      </c>
      <c r="G3411" s="1013" t="s">
        <v>286</v>
      </c>
      <c r="H3411" s="1013"/>
      <c r="I3411" s="1013"/>
      <c r="J3411" s="1013"/>
      <c r="K3411" s="278">
        <v>1.07</v>
      </c>
      <c r="L3411" s="47"/>
      <c r="M3411" s="25"/>
      <c r="N3411" s="26"/>
      <c r="O3411" s="3"/>
      <c r="P3411" s="2"/>
      <c r="Q3411" s="2"/>
      <c r="R3411" s="2"/>
      <c r="S3411" s="2"/>
      <c r="T3411" s="2"/>
      <c r="U3411" s="2"/>
      <c r="V3411" s="2"/>
      <c r="W3411" s="2"/>
      <c r="X3411" s="2"/>
      <c r="Y3411" s="2"/>
    </row>
    <row r="3412" spans="1:25" ht="30" customHeight="1" x14ac:dyDescent="0.45">
      <c r="A3412" s="47"/>
      <c r="B3412" s="224"/>
      <c r="C3412" s="224"/>
      <c r="D3412" s="224"/>
      <c r="E3412" s="221"/>
      <c r="F3412" s="1012"/>
      <c r="G3412" s="1014" t="s">
        <v>580</v>
      </c>
      <c r="H3412" s="1014"/>
      <c r="I3412" s="1014"/>
      <c r="J3412" s="1014"/>
      <c r="K3412" s="278">
        <v>1.08</v>
      </c>
      <c r="L3412" s="47"/>
      <c r="M3412" s="25"/>
      <c r="N3412" s="26"/>
      <c r="S3412" s="41"/>
    </row>
    <row r="3413" spans="1:25" ht="30" customHeight="1" x14ac:dyDescent="0.45">
      <c r="A3413" s="47"/>
      <c r="B3413" s="47"/>
      <c r="C3413" s="58"/>
      <c r="D3413" s="58"/>
      <c r="E3413" s="58"/>
      <c r="F3413" s="58"/>
      <c r="G3413" s="58"/>
      <c r="H3413" s="58"/>
      <c r="I3413" s="58"/>
      <c r="J3413" s="47" t="s">
        <v>39</v>
      </c>
      <c r="K3413" s="216">
        <f>+K3410*K3411/K3412</f>
        <v>108.21108148148147</v>
      </c>
      <c r="L3413" s="47" t="s">
        <v>35</v>
      </c>
      <c r="M3413" s="25"/>
      <c r="N3413" s="26"/>
      <c r="S3413" s="41"/>
    </row>
    <row r="3414" spans="1:25" ht="30" customHeight="1" x14ac:dyDescent="0.45">
      <c r="A3414" s="47"/>
      <c r="B3414" s="47"/>
      <c r="C3414" s="58"/>
      <c r="D3414" s="58"/>
      <c r="E3414" s="58"/>
      <c r="F3414" s="58"/>
      <c r="G3414" s="1021" t="s">
        <v>288</v>
      </c>
      <c r="H3414" s="1022"/>
      <c r="I3414" s="1023"/>
      <c r="J3414" s="213">
        <f>VLOOKUP(B3406,'[1]Mil Cost Premiums for PUCs'!$A$4:$R$278,18,FALSE)</f>
        <v>1.1896666233280813</v>
      </c>
      <c r="K3414" s="216">
        <f>+K3413*J3414</f>
        <v>128.73511191275392</v>
      </c>
      <c r="L3414" s="47" t="s">
        <v>35</v>
      </c>
      <c r="M3414" s="25"/>
      <c r="N3414" s="26"/>
      <c r="O3414" s="2"/>
      <c r="P3414" s="27"/>
      <c r="Q3414" s="26"/>
      <c r="R3414" s="28"/>
    </row>
    <row r="3415" spans="1:25" ht="30" customHeight="1" x14ac:dyDescent="0.45">
      <c r="A3415" s="541"/>
      <c r="B3415" s="541"/>
      <c r="C3415" s="542"/>
      <c r="D3415" s="542"/>
      <c r="E3415" s="552"/>
      <c r="F3415" s="1024" t="s">
        <v>581</v>
      </c>
      <c r="G3415" s="1024"/>
      <c r="H3415" s="1024"/>
      <c r="I3415" s="1024"/>
      <c r="J3415" s="543">
        <v>1.0833999999999999</v>
      </c>
      <c r="K3415" s="363">
        <f>K3414*J3415</f>
        <v>139.47162024627758</v>
      </c>
      <c r="L3415" s="225" t="s">
        <v>35</v>
      </c>
      <c r="M3415" s="25"/>
      <c r="N3415" s="26"/>
      <c r="O3415" s="2"/>
      <c r="P3415" s="27"/>
      <c r="Q3415" s="26"/>
      <c r="R3415" s="28"/>
    </row>
    <row r="3416" spans="1:25" ht="30" customHeight="1" thickBot="1" x14ac:dyDescent="0.5">
      <c r="A3416" s="225"/>
      <c r="B3416" s="225"/>
      <c r="C3416" s="150"/>
      <c r="D3416" s="150"/>
      <c r="E3416" s="150"/>
      <c r="F3416" s="150"/>
      <c r="G3416" s="1025" t="s">
        <v>299</v>
      </c>
      <c r="H3416" s="1026"/>
      <c r="I3416" s="1027"/>
      <c r="J3416" s="226">
        <v>1.1214</v>
      </c>
      <c r="K3416" s="227">
        <f>+K3415*J3416</f>
        <v>156.40347494417568</v>
      </c>
      <c r="L3416" s="225" t="s">
        <v>35</v>
      </c>
      <c r="M3416" s="25"/>
    </row>
    <row r="3417" spans="1:25" ht="30" customHeight="1" thickBot="1" x14ac:dyDescent="0.5">
      <c r="A3417" s="999"/>
      <c r="B3417" s="1000"/>
      <c r="C3417" s="1000"/>
      <c r="D3417" s="1000"/>
      <c r="E3417" s="1000"/>
      <c r="F3417" s="1000"/>
      <c r="G3417" s="1000"/>
      <c r="H3417" s="1000"/>
      <c r="I3417" s="1000"/>
      <c r="J3417" s="1000"/>
      <c r="K3417" s="1000"/>
      <c r="L3417" s="1001"/>
      <c r="M3417" s="25"/>
      <c r="N3417" s="26"/>
      <c r="O3417" s="2"/>
      <c r="P3417" s="27"/>
      <c r="Q3417" s="26"/>
      <c r="R3417" s="28"/>
    </row>
    <row r="3418" spans="1:25" ht="30" customHeight="1" x14ac:dyDescent="0.45">
      <c r="A3418" s="719" t="s">
        <v>4</v>
      </c>
      <c r="B3418" s="720">
        <v>7421</v>
      </c>
      <c r="C3418" s="1138" t="s">
        <v>1811</v>
      </c>
      <c r="D3418" s="1139"/>
      <c r="E3418" s="13" t="s">
        <v>7</v>
      </c>
      <c r="F3418" s="14" t="s">
        <v>35</v>
      </c>
      <c r="G3418" s="11" t="s">
        <v>6</v>
      </c>
      <c r="H3418" s="184">
        <v>22520.097089855</v>
      </c>
      <c r="I3418" s="13" t="s">
        <v>9</v>
      </c>
      <c r="J3418" s="985" t="s">
        <v>266</v>
      </c>
      <c r="K3418" s="985"/>
      <c r="L3418" s="986"/>
      <c r="N3418" s="26"/>
      <c r="O3418" s="2"/>
      <c r="P3418" s="27"/>
      <c r="Q3418" s="26"/>
      <c r="R3418" s="28"/>
    </row>
    <row r="3419" spans="1:25" ht="30" customHeight="1" x14ac:dyDescent="0.45">
      <c r="A3419" s="19" t="s">
        <v>11</v>
      </c>
      <c r="B3419" s="1005" t="s">
        <v>12</v>
      </c>
      <c r="C3419" s="1005"/>
      <c r="D3419" s="1005"/>
      <c r="E3419" s="19" t="s">
        <v>267</v>
      </c>
      <c r="F3419" s="19" t="s">
        <v>13</v>
      </c>
      <c r="G3419" s="1114" t="s">
        <v>15</v>
      </c>
      <c r="H3419" s="1115"/>
      <c r="I3419" s="1140" t="s">
        <v>60</v>
      </c>
      <c r="J3419" s="1141"/>
      <c r="K3419" s="23" t="s">
        <v>17</v>
      </c>
      <c r="L3419" s="24"/>
      <c r="M3419" s="25"/>
      <c r="N3419" s="26"/>
      <c r="O3419" s="2"/>
      <c r="P3419" s="27"/>
      <c r="Q3419" s="26"/>
      <c r="R3419" s="28"/>
    </row>
    <row r="3420" spans="1:25" ht="30" customHeight="1" x14ac:dyDescent="0.45">
      <c r="A3420" s="47" t="s">
        <v>268</v>
      </c>
      <c r="B3420" s="1008" t="s">
        <v>1812</v>
      </c>
      <c r="C3420" s="1009"/>
      <c r="D3420" s="1010"/>
      <c r="E3420" s="394">
        <v>64000</v>
      </c>
      <c r="F3420" s="620">
        <v>422</v>
      </c>
      <c r="G3420" s="167"/>
      <c r="H3420" s="29"/>
      <c r="I3420" s="1119" t="s">
        <v>270</v>
      </c>
      <c r="J3420" s="1120"/>
      <c r="K3420" s="36">
        <f>+F3420</f>
        <v>422</v>
      </c>
      <c r="L3420" s="29" t="s">
        <v>35</v>
      </c>
      <c r="M3420" s="25"/>
      <c r="N3420" s="26"/>
      <c r="O3420" s="2"/>
      <c r="P3420" s="27"/>
      <c r="Q3420" s="26"/>
      <c r="R3420" s="28"/>
    </row>
    <row r="3421" spans="1:25" ht="30" customHeight="1" thickBot="1" x14ac:dyDescent="0.5">
      <c r="A3421" s="47"/>
      <c r="B3421" s="1008"/>
      <c r="C3421" s="1009"/>
      <c r="D3421" s="1010"/>
      <c r="E3421" s="161"/>
      <c r="F3421" s="415"/>
      <c r="G3421" s="161"/>
      <c r="H3421" s="389"/>
      <c r="I3421" s="58"/>
      <c r="J3421" s="85" t="s">
        <v>39</v>
      </c>
      <c r="K3421" s="185">
        <f>SUM(K3420:K3420)</f>
        <v>422</v>
      </c>
      <c r="L3421" s="29" t="s">
        <v>35</v>
      </c>
      <c r="M3421" s="25"/>
      <c r="N3421" s="229"/>
      <c r="O3421" s="2"/>
      <c r="P3421" s="27"/>
      <c r="Q3421" s="26"/>
      <c r="R3421" s="28"/>
    </row>
    <row r="3422" spans="1:25" ht="30" customHeight="1" thickBot="1" x14ac:dyDescent="0.5">
      <c r="A3422" s="999"/>
      <c r="B3422" s="1000"/>
      <c r="C3422" s="1000"/>
      <c r="D3422" s="1000"/>
      <c r="E3422" s="1000"/>
      <c r="F3422" s="1000"/>
      <c r="G3422" s="1000"/>
      <c r="H3422" s="1000"/>
      <c r="I3422" s="1000"/>
      <c r="J3422" s="1000"/>
      <c r="K3422" s="1000"/>
      <c r="L3422" s="1001"/>
      <c r="M3422" s="25"/>
      <c r="N3422" s="363"/>
      <c r="O3422" s="2"/>
      <c r="P3422" s="27"/>
      <c r="Q3422" s="26"/>
      <c r="R3422" s="28"/>
    </row>
    <row r="3423" spans="1:25" ht="30" customHeight="1" x14ac:dyDescent="0.45">
      <c r="A3423" s="9" t="s">
        <v>4</v>
      </c>
      <c r="B3423" s="10">
        <v>7422</v>
      </c>
      <c r="C3423" s="983" t="s">
        <v>1813</v>
      </c>
      <c r="D3423" s="984"/>
      <c r="E3423" s="13" t="s">
        <v>7</v>
      </c>
      <c r="F3423" s="14" t="s">
        <v>35</v>
      </c>
      <c r="G3423" s="173" t="s">
        <v>1721</v>
      </c>
      <c r="H3423" s="163">
        <v>12410</v>
      </c>
      <c r="I3423" s="13" t="s">
        <v>9</v>
      </c>
      <c r="J3423" s="985" t="s">
        <v>575</v>
      </c>
      <c r="K3423" s="985"/>
      <c r="L3423" s="986"/>
      <c r="M3423" s="25"/>
      <c r="N3423" s="229"/>
      <c r="O3423" s="2"/>
      <c r="P3423" s="27"/>
      <c r="Q3423" s="26"/>
      <c r="R3423" s="28"/>
    </row>
    <row r="3424" spans="1:25" ht="30" customHeight="1" x14ac:dyDescent="0.45">
      <c r="A3424" s="85" t="s">
        <v>277</v>
      </c>
      <c r="B3424" s="987" t="s">
        <v>293</v>
      </c>
      <c r="C3424" s="988"/>
      <c r="D3424" s="989"/>
      <c r="E3424" s="220" t="s">
        <v>13</v>
      </c>
      <c r="F3424" s="220" t="s">
        <v>14</v>
      </c>
      <c r="G3424" s="990" t="s">
        <v>15</v>
      </c>
      <c r="H3424" s="991"/>
      <c r="I3424" s="19" t="s">
        <v>278</v>
      </c>
      <c r="J3424" s="19"/>
      <c r="K3424" s="23" t="s">
        <v>17</v>
      </c>
      <c r="L3424" s="24"/>
      <c r="M3424" s="25"/>
      <c r="O3424" s="2"/>
      <c r="P3424" s="27"/>
      <c r="Q3424" s="26"/>
      <c r="R3424" s="28"/>
    </row>
    <row r="3425" spans="1:20" ht="30" customHeight="1" x14ac:dyDescent="0.45">
      <c r="A3425" s="426" t="s">
        <v>1629</v>
      </c>
      <c r="B3425" s="1008" t="s">
        <v>1814</v>
      </c>
      <c r="C3425" s="1009"/>
      <c r="D3425" s="1010"/>
      <c r="E3425" s="221">
        <v>128</v>
      </c>
      <c r="F3425" s="56" t="s">
        <v>35</v>
      </c>
      <c r="G3425" s="715"/>
      <c r="H3425" s="716"/>
      <c r="I3425" s="47">
        <v>1.04</v>
      </c>
      <c r="J3425" s="365"/>
      <c r="K3425" s="221">
        <f>+E3425*I3425</f>
        <v>133.12</v>
      </c>
      <c r="L3425" s="47" t="s">
        <v>35</v>
      </c>
      <c r="M3425" s="25"/>
      <c r="O3425" s="2"/>
      <c r="P3425" s="27"/>
      <c r="Q3425" s="26"/>
      <c r="R3425" s="28"/>
    </row>
    <row r="3426" spans="1:20" ht="30" customHeight="1" x14ac:dyDescent="0.45">
      <c r="A3426" s="47" t="s">
        <v>1631</v>
      </c>
      <c r="B3426" s="1030" t="s">
        <v>1800</v>
      </c>
      <c r="C3426" s="1030"/>
      <c r="D3426" s="1030"/>
      <c r="E3426" s="221">
        <v>3.74</v>
      </c>
      <c r="F3426" s="47" t="s">
        <v>35</v>
      </c>
      <c r="G3426" s="47"/>
      <c r="H3426" s="47"/>
      <c r="I3426" s="47">
        <v>1.04</v>
      </c>
      <c r="J3426" s="365"/>
      <c r="K3426" s="221">
        <f>+E3426*I3426</f>
        <v>3.8896000000000002</v>
      </c>
      <c r="L3426" s="47" t="s">
        <v>35</v>
      </c>
      <c r="M3426" s="25"/>
      <c r="O3426" s="2"/>
      <c r="P3426" s="27"/>
      <c r="Q3426" s="26"/>
      <c r="R3426" s="28"/>
    </row>
    <row r="3427" spans="1:20" ht="30" customHeight="1" x14ac:dyDescent="0.45">
      <c r="A3427" s="702"/>
      <c r="B3427" s="1213"/>
      <c r="C3427" s="1214"/>
      <c r="D3427" s="1215"/>
      <c r="E3427" s="698"/>
      <c r="F3427" s="702"/>
      <c r="G3427" s="702"/>
      <c r="H3427" s="702"/>
      <c r="I3427" s="702"/>
      <c r="J3427" s="702" t="s">
        <v>38</v>
      </c>
      <c r="K3427" s="698">
        <f>SUM(K3425:K3426)</f>
        <v>137.00960000000001</v>
      </c>
      <c r="L3427" s="702" t="s">
        <v>35</v>
      </c>
      <c r="M3427" s="2"/>
      <c r="N3427" s="26"/>
      <c r="O3427" s="2"/>
      <c r="P3427" s="27"/>
      <c r="Q3427" s="26"/>
      <c r="R3427" s="28"/>
    </row>
    <row r="3428" spans="1:20" ht="30" customHeight="1" x14ac:dyDescent="0.45">
      <c r="A3428" s="47"/>
      <c r="B3428" s="224"/>
      <c r="C3428" s="224"/>
      <c r="D3428" s="224"/>
      <c r="E3428" s="221"/>
      <c r="F3428" s="1011" t="s">
        <v>285</v>
      </c>
      <c r="G3428" s="1013" t="s">
        <v>286</v>
      </c>
      <c r="H3428" s="1013"/>
      <c r="I3428" s="1013"/>
      <c r="J3428" s="1013"/>
      <c r="K3428" s="278">
        <v>1.07</v>
      </c>
      <c r="L3428" s="47"/>
      <c r="M3428" s="25"/>
      <c r="N3428" s="26"/>
      <c r="O3428" s="2"/>
      <c r="P3428" s="27"/>
      <c r="Q3428" s="26"/>
      <c r="R3428" s="28"/>
    </row>
    <row r="3429" spans="1:20" ht="30" customHeight="1" x14ac:dyDescent="0.45">
      <c r="A3429" s="47"/>
      <c r="B3429" s="224"/>
      <c r="C3429" s="224"/>
      <c r="D3429" s="224"/>
      <c r="E3429" s="221"/>
      <c r="F3429" s="1012"/>
      <c r="G3429" s="1014" t="s">
        <v>580</v>
      </c>
      <c r="H3429" s="1014"/>
      <c r="I3429" s="1014"/>
      <c r="J3429" s="1014"/>
      <c r="K3429" s="278">
        <v>1.08</v>
      </c>
      <c r="L3429" s="47"/>
      <c r="M3429" s="156"/>
      <c r="N3429" s="26"/>
      <c r="O3429" s="2"/>
      <c r="P3429" s="27"/>
      <c r="Q3429" s="26"/>
      <c r="R3429" s="28"/>
    </row>
    <row r="3430" spans="1:20" ht="30" customHeight="1" x14ac:dyDescent="0.45">
      <c r="A3430" s="47"/>
      <c r="B3430" s="47"/>
      <c r="C3430" s="58"/>
      <c r="D3430" s="58"/>
      <c r="E3430" s="58"/>
      <c r="F3430" s="58"/>
      <c r="G3430" s="58"/>
      <c r="H3430" s="58"/>
      <c r="I3430" s="58"/>
      <c r="J3430" s="47" t="s">
        <v>39</v>
      </c>
      <c r="K3430" s="216">
        <f>+K3427*K3428/K3429</f>
        <v>135.74099259259259</v>
      </c>
      <c r="L3430" s="47" t="s">
        <v>35</v>
      </c>
      <c r="N3430" s="144"/>
      <c r="O3430" s="2"/>
      <c r="P3430" s="27"/>
      <c r="Q3430" s="26"/>
      <c r="R3430" s="28"/>
    </row>
    <row r="3431" spans="1:20" ht="30" customHeight="1" x14ac:dyDescent="0.45">
      <c r="A3431" s="47"/>
      <c r="B3431" s="47"/>
      <c r="C3431" s="58"/>
      <c r="D3431" s="58"/>
      <c r="E3431" s="58"/>
      <c r="F3431" s="58"/>
      <c r="G3431" s="1021" t="s">
        <v>288</v>
      </c>
      <c r="H3431" s="1022"/>
      <c r="I3431" s="1023"/>
      <c r="J3431" s="213">
        <f>VLOOKUP(B3423,'[1]Mil Cost Premiums for PUCs'!$A$4:$R$278,18,FALSE)</f>
        <v>1.2051322894313463</v>
      </c>
      <c r="K3431" s="216">
        <f>+K3430*J3431</f>
        <v>163.58585317279454</v>
      </c>
      <c r="L3431" s="47" t="s">
        <v>35</v>
      </c>
      <c r="M3431" s="25"/>
      <c r="N3431" s="26"/>
      <c r="O3431" s="2"/>
      <c r="P3431" s="27"/>
      <c r="Q3431" s="26"/>
      <c r="R3431" s="28"/>
    </row>
    <row r="3432" spans="1:20" ht="30" customHeight="1" x14ac:dyDescent="0.45">
      <c r="A3432" s="541"/>
      <c r="B3432" s="541"/>
      <c r="C3432" s="542"/>
      <c r="D3432" s="542"/>
      <c r="E3432" s="552"/>
      <c r="F3432" s="1024" t="s">
        <v>581</v>
      </c>
      <c r="G3432" s="1024"/>
      <c r="H3432" s="1024"/>
      <c r="I3432" s="1024"/>
      <c r="J3432" s="543">
        <v>1.0833999999999999</v>
      </c>
      <c r="K3432" s="363">
        <f>K3431*J3432</f>
        <v>177.22891332740559</v>
      </c>
      <c r="L3432" s="225" t="s">
        <v>35</v>
      </c>
      <c r="M3432" s="25"/>
      <c r="O3432" s="2"/>
      <c r="P3432" s="27"/>
      <c r="Q3432" s="26"/>
      <c r="R3432" s="28"/>
    </row>
    <row r="3433" spans="1:20" ht="30" customHeight="1" thickBot="1" x14ac:dyDescent="0.5">
      <c r="A3433" s="225"/>
      <c r="B3433" s="225"/>
      <c r="C3433" s="150"/>
      <c r="D3433" s="150"/>
      <c r="E3433" s="150"/>
      <c r="F3433" s="150"/>
      <c r="G3433" s="1025" t="s">
        <v>299</v>
      </c>
      <c r="H3433" s="1026"/>
      <c r="I3433" s="1027"/>
      <c r="J3433" s="226">
        <v>1.1214</v>
      </c>
      <c r="K3433" s="227">
        <f>+K3432*J3433</f>
        <v>198.74450340535262</v>
      </c>
      <c r="L3433" s="225" t="s">
        <v>35</v>
      </c>
      <c r="M3433" s="25"/>
    </row>
    <row r="3434" spans="1:20" ht="30" customHeight="1" thickBot="1" x14ac:dyDescent="0.5">
      <c r="A3434" s="999"/>
      <c r="B3434" s="1000"/>
      <c r="C3434" s="1000"/>
      <c r="D3434" s="1000"/>
      <c r="E3434" s="1000"/>
      <c r="F3434" s="1000"/>
      <c r="G3434" s="1000"/>
      <c r="H3434" s="1000"/>
      <c r="I3434" s="1000"/>
      <c r="J3434" s="1000"/>
      <c r="K3434" s="1000"/>
      <c r="L3434" s="1001"/>
      <c r="M3434" s="25"/>
      <c r="N3434" s="26"/>
      <c r="O3434" s="2"/>
      <c r="P3434" s="27"/>
      <c r="Q3434" s="26"/>
      <c r="R3434" s="28"/>
    </row>
    <row r="3435" spans="1:20" ht="30" customHeight="1" x14ac:dyDescent="0.45">
      <c r="A3435" s="9" t="s">
        <v>4</v>
      </c>
      <c r="B3435" s="10">
        <v>7431</v>
      </c>
      <c r="C3435" s="983" t="s">
        <v>1815</v>
      </c>
      <c r="D3435" s="984"/>
      <c r="E3435" s="13" t="s">
        <v>7</v>
      </c>
      <c r="F3435" s="14" t="s">
        <v>35</v>
      </c>
      <c r="G3435" s="11" t="s">
        <v>6</v>
      </c>
      <c r="H3435" s="163">
        <v>10076.6069911504</v>
      </c>
      <c r="I3435" s="13" t="s">
        <v>9</v>
      </c>
      <c r="J3435" s="985" t="s">
        <v>276</v>
      </c>
      <c r="K3435" s="985"/>
      <c r="L3435" s="986"/>
      <c r="M3435" s="25"/>
      <c r="N3435" s="156"/>
      <c r="O3435" s="156"/>
      <c r="P3435" s="27"/>
      <c r="Q3435" s="26"/>
      <c r="R3435" s="28"/>
    </row>
    <row r="3436" spans="1:20" ht="30" customHeight="1" x14ac:dyDescent="0.45">
      <c r="A3436" s="85" t="s">
        <v>277</v>
      </c>
      <c r="B3436" s="987" t="s">
        <v>293</v>
      </c>
      <c r="C3436" s="988"/>
      <c r="D3436" s="989"/>
      <c r="E3436" s="220" t="s">
        <v>13</v>
      </c>
      <c r="F3436" s="220" t="s">
        <v>14</v>
      </c>
      <c r="G3436" s="990" t="s">
        <v>15</v>
      </c>
      <c r="H3436" s="991"/>
      <c r="I3436" s="19" t="s">
        <v>1316</v>
      </c>
      <c r="J3436" s="19" t="s">
        <v>278</v>
      </c>
      <c r="K3436" s="23" t="s">
        <v>17</v>
      </c>
      <c r="L3436" s="24"/>
      <c r="M3436" s="25"/>
      <c r="N3436" s="26"/>
      <c r="O3436" s="2"/>
      <c r="P3436" s="27"/>
      <c r="Q3436" s="26"/>
      <c r="R3436" s="28"/>
    </row>
    <row r="3437" spans="1:20" ht="30" customHeight="1" x14ac:dyDescent="0.45">
      <c r="A3437" s="721" t="s">
        <v>1816</v>
      </c>
      <c r="B3437" s="1218" t="s">
        <v>1817</v>
      </c>
      <c r="C3437" s="1219"/>
      <c r="D3437" s="1220"/>
      <c r="E3437" s="537">
        <v>131</v>
      </c>
      <c r="F3437" s="722" t="s">
        <v>35</v>
      </c>
      <c r="G3437" s="715"/>
      <c r="H3437" s="716"/>
      <c r="I3437" s="58"/>
      <c r="J3437" s="225">
        <v>1.21</v>
      </c>
      <c r="K3437" s="537">
        <f>+E3437*J3437</f>
        <v>158.51</v>
      </c>
      <c r="L3437" s="225" t="s">
        <v>35</v>
      </c>
      <c r="M3437" s="121"/>
      <c r="N3437" s="26"/>
      <c r="O3437" s="2"/>
      <c r="P3437" s="27"/>
      <c r="Q3437" s="26"/>
      <c r="R3437" s="28"/>
    </row>
    <row r="3438" spans="1:20" ht="30" customHeight="1" x14ac:dyDescent="0.45">
      <c r="A3438" s="47" t="s">
        <v>1799</v>
      </c>
      <c r="B3438" s="1030" t="s">
        <v>1791</v>
      </c>
      <c r="C3438" s="1030"/>
      <c r="D3438" s="1030"/>
      <c r="E3438" s="221">
        <v>4.7</v>
      </c>
      <c r="F3438" s="47" t="s">
        <v>35</v>
      </c>
      <c r="G3438" s="47"/>
      <c r="H3438" s="47"/>
      <c r="I3438" s="224"/>
      <c r="J3438" s="225">
        <v>1.21</v>
      </c>
      <c r="K3438" s="537">
        <f>E3438*J3438</f>
        <v>5.6870000000000003</v>
      </c>
      <c r="L3438" s="47" t="s">
        <v>35</v>
      </c>
      <c r="M3438" s="25"/>
      <c r="N3438" s="26"/>
      <c r="O3438" s="2"/>
      <c r="P3438" s="27"/>
      <c r="Q3438" s="26"/>
      <c r="R3438" s="28"/>
      <c r="T3438" s="18"/>
    </row>
    <row r="3439" spans="1:20" ht="30" customHeight="1" x14ac:dyDescent="0.45">
      <c r="A3439" s="676" t="s">
        <v>1818</v>
      </c>
      <c r="B3439" s="1018" t="s">
        <v>1819</v>
      </c>
      <c r="C3439" s="1019"/>
      <c r="D3439" s="1020"/>
      <c r="E3439" s="221">
        <f>(242+297)/2</f>
        <v>269.5</v>
      </c>
      <c r="F3439" s="47" t="s">
        <v>1820</v>
      </c>
      <c r="G3439" s="221">
        <f>1000*E3439/H3435</f>
        <v>26.745113730909974</v>
      </c>
      <c r="H3439" s="47" t="s">
        <v>1821</v>
      </c>
      <c r="J3439" s="47">
        <v>1.1200000000000001</v>
      </c>
      <c r="K3439" s="221">
        <f>G3439*J3439</f>
        <v>29.954527378619176</v>
      </c>
      <c r="L3439" s="47" t="s">
        <v>35</v>
      </c>
      <c r="M3439" s="25"/>
      <c r="N3439" s="26"/>
      <c r="O3439" s="2"/>
      <c r="P3439" s="27"/>
      <c r="Q3439" s="26"/>
      <c r="R3439" s="28"/>
      <c r="T3439" s="18"/>
    </row>
    <row r="3440" spans="1:20" ht="30" customHeight="1" x14ac:dyDescent="0.45">
      <c r="A3440" s="702"/>
      <c r="B3440" s="1213"/>
      <c r="C3440" s="1214"/>
      <c r="D3440" s="1215"/>
      <c r="E3440" s="698"/>
      <c r="F3440" s="702"/>
      <c r="G3440" s="702"/>
      <c r="H3440" s="702"/>
      <c r="I3440" s="702"/>
      <c r="J3440" s="702" t="s">
        <v>38</v>
      </c>
      <c r="K3440" s="698">
        <f>SUM(K3437:K3439)</f>
        <v>194.15152737861916</v>
      </c>
      <c r="L3440" s="702" t="s">
        <v>35</v>
      </c>
      <c r="M3440" s="25"/>
      <c r="N3440" s="26"/>
      <c r="O3440" s="2"/>
      <c r="P3440" s="27"/>
      <c r="Q3440" s="26"/>
      <c r="R3440" s="28"/>
      <c r="T3440" s="18"/>
    </row>
    <row r="3441" spans="1:25" ht="30" customHeight="1" x14ac:dyDescent="0.45">
      <c r="A3441" s="47"/>
      <c r="B3441" s="224"/>
      <c r="C3441" s="224"/>
      <c r="D3441" s="224"/>
      <c r="E3441" s="221"/>
      <c r="F3441" s="1011" t="s">
        <v>285</v>
      </c>
      <c r="G3441" s="1013" t="s">
        <v>286</v>
      </c>
      <c r="H3441" s="1013"/>
      <c r="I3441" s="1013"/>
      <c r="J3441" s="1013"/>
      <c r="K3441" s="278">
        <v>1.06</v>
      </c>
      <c r="L3441" s="47"/>
      <c r="M3441" s="25"/>
      <c r="N3441" s="26"/>
      <c r="O3441" s="5"/>
      <c r="P3441" s="18"/>
      <c r="Q3441" s="18"/>
      <c r="R3441" s="18"/>
      <c r="S3441" s="18"/>
      <c r="Y3441" s="18"/>
    </row>
    <row r="3442" spans="1:25" ht="30" customHeight="1" x14ac:dyDescent="0.45">
      <c r="A3442" s="47"/>
      <c r="B3442" s="224"/>
      <c r="C3442" s="224"/>
      <c r="D3442" s="224"/>
      <c r="E3442" s="221"/>
      <c r="F3442" s="1012"/>
      <c r="G3442" s="1014" t="s">
        <v>287</v>
      </c>
      <c r="H3442" s="1014"/>
      <c r="I3442" s="1014"/>
      <c r="J3442" s="1014"/>
      <c r="K3442" s="278">
        <v>1.05</v>
      </c>
      <c r="L3442" s="47"/>
      <c r="N3442" s="26"/>
      <c r="O3442" s="5"/>
      <c r="P3442" s="18"/>
      <c r="Q3442" s="18"/>
      <c r="R3442" s="18"/>
      <c r="S3442" s="18"/>
    </row>
    <row r="3443" spans="1:25" ht="30" customHeight="1" x14ac:dyDescent="0.45">
      <c r="A3443" s="47"/>
      <c r="B3443" s="47"/>
      <c r="C3443" s="58"/>
      <c r="D3443" s="58"/>
      <c r="E3443" s="58"/>
      <c r="F3443" s="58"/>
      <c r="G3443" s="58"/>
      <c r="H3443" s="58"/>
      <c r="I3443" s="58"/>
      <c r="J3443" s="47" t="s">
        <v>39</v>
      </c>
      <c r="K3443" s="216">
        <f>+K3440*K3441/K3442</f>
        <v>196.00058954412984</v>
      </c>
      <c r="L3443" s="47" t="s">
        <v>35</v>
      </c>
      <c r="M3443" s="25"/>
      <c r="N3443" s="26"/>
      <c r="O3443" s="2"/>
      <c r="P3443" s="27"/>
      <c r="Q3443" s="26"/>
      <c r="R3443" s="28"/>
      <c r="U3443" s="18"/>
      <c r="V3443" s="18"/>
      <c r="W3443" s="18"/>
      <c r="X3443" s="18"/>
    </row>
    <row r="3444" spans="1:25" ht="30" customHeight="1" thickBot="1" x14ac:dyDescent="0.5">
      <c r="A3444" s="47"/>
      <c r="B3444" s="47"/>
      <c r="C3444" s="58"/>
      <c r="D3444" s="58"/>
      <c r="E3444" s="58"/>
      <c r="F3444" s="58"/>
      <c r="G3444" s="1032" t="s">
        <v>288</v>
      </c>
      <c r="H3444" s="1033"/>
      <c r="I3444" s="1034"/>
      <c r="J3444" s="213">
        <f>VLOOKUP(B3435,'[1]Mil Cost Premiums for PUCs'!$A$4:$R$278,18,FALSE)</f>
        <v>1.3148549708569053</v>
      </c>
      <c r="K3444" s="216">
        <f>+K3443*J3444</f>
        <v>257.71234945298312</v>
      </c>
      <c r="L3444" s="47" t="s">
        <v>35</v>
      </c>
      <c r="M3444" s="25"/>
      <c r="N3444" s="26"/>
      <c r="O3444" s="5"/>
      <c r="P3444" s="18"/>
      <c r="Q3444" s="18"/>
      <c r="R3444" s="18"/>
      <c r="S3444" s="18"/>
      <c r="U3444" s="18"/>
      <c r="V3444" s="18"/>
      <c r="W3444" s="18"/>
      <c r="X3444" s="18"/>
      <c r="Y3444" s="18"/>
    </row>
    <row r="3445" spans="1:25" s="18" customFormat="1" ht="30" customHeight="1" thickBot="1" x14ac:dyDescent="0.5">
      <c r="A3445" s="999"/>
      <c r="B3445" s="1000"/>
      <c r="C3445" s="1000"/>
      <c r="D3445" s="1000"/>
      <c r="E3445" s="1000"/>
      <c r="F3445" s="1000"/>
      <c r="G3445" s="1000"/>
      <c r="H3445" s="1000"/>
      <c r="I3445" s="1000"/>
      <c r="J3445" s="1000"/>
      <c r="K3445" s="1000"/>
      <c r="L3445" s="1001"/>
      <c r="M3445" s="25"/>
      <c r="N3445" s="26"/>
      <c r="O3445" s="3"/>
      <c r="P3445" s="2"/>
      <c r="Q3445" s="2"/>
      <c r="R3445" s="2"/>
      <c r="S3445" s="2"/>
      <c r="T3445" s="2"/>
    </row>
    <row r="3446" spans="1:25" s="18" customFormat="1" ht="30" customHeight="1" x14ac:dyDescent="0.45">
      <c r="A3446" s="9" t="s">
        <v>4</v>
      </c>
      <c r="B3446" s="10">
        <v>7440</v>
      </c>
      <c r="C3446" s="983" t="s">
        <v>1822</v>
      </c>
      <c r="D3446" s="984"/>
      <c r="E3446" s="13" t="s">
        <v>7</v>
      </c>
      <c r="F3446" s="14" t="s">
        <v>35</v>
      </c>
      <c r="G3446" s="11" t="s">
        <v>6</v>
      </c>
      <c r="H3446" s="163">
        <v>8674.5400000000009</v>
      </c>
      <c r="I3446" s="13" t="s">
        <v>9</v>
      </c>
      <c r="J3446" s="985" t="s">
        <v>276</v>
      </c>
      <c r="K3446" s="985"/>
      <c r="L3446" s="986"/>
      <c r="M3446" s="25"/>
      <c r="N3446" s="26"/>
      <c r="O3446" s="3"/>
      <c r="P3446" s="2"/>
      <c r="Q3446" s="2"/>
      <c r="R3446" s="2"/>
      <c r="S3446" s="2"/>
      <c r="T3446" s="41"/>
      <c r="U3446" s="2"/>
      <c r="V3446" s="2"/>
      <c r="W3446" s="2"/>
      <c r="X3446" s="2"/>
      <c r="Y3446" s="2"/>
    </row>
    <row r="3447" spans="1:25" s="18" customFormat="1" ht="30" customHeight="1" x14ac:dyDescent="0.45">
      <c r="A3447" s="85" t="s">
        <v>277</v>
      </c>
      <c r="B3447" s="987" t="s">
        <v>293</v>
      </c>
      <c r="C3447" s="988"/>
      <c r="D3447" s="989"/>
      <c r="E3447" s="220" t="s">
        <v>13</v>
      </c>
      <c r="F3447" s="220" t="s">
        <v>14</v>
      </c>
      <c r="G3447" s="990" t="s">
        <v>15</v>
      </c>
      <c r="H3447" s="991"/>
      <c r="I3447" s="19" t="s">
        <v>1316</v>
      </c>
      <c r="J3447" s="19" t="s">
        <v>278</v>
      </c>
      <c r="K3447" s="23" t="s">
        <v>17</v>
      </c>
      <c r="L3447" s="24"/>
      <c r="M3447" s="25"/>
      <c r="N3447" s="26"/>
      <c r="O3447" s="3"/>
      <c r="P3447" s="2"/>
      <c r="Q3447" s="2"/>
      <c r="R3447" s="2"/>
      <c r="S3447" s="2"/>
      <c r="T3447" s="2"/>
      <c r="U3447" s="2"/>
      <c r="V3447" s="2"/>
      <c r="W3447" s="2"/>
      <c r="X3447" s="2"/>
      <c r="Y3447" s="2"/>
    </row>
    <row r="3448" spans="1:25" s="18" customFormat="1" ht="30" customHeight="1" x14ac:dyDescent="0.45">
      <c r="A3448" s="426" t="s">
        <v>1805</v>
      </c>
      <c r="B3448" s="1030" t="s">
        <v>1823</v>
      </c>
      <c r="C3448" s="1030"/>
      <c r="D3448" s="1030"/>
      <c r="E3448" s="221">
        <v>213</v>
      </c>
      <c r="F3448" s="47" t="s">
        <v>35</v>
      </c>
      <c r="G3448" s="47"/>
      <c r="H3448" s="47"/>
      <c r="I3448" s="58"/>
      <c r="J3448" s="47">
        <v>1.21</v>
      </c>
      <c r="K3448" s="221">
        <f>+E3448*J3448</f>
        <v>257.73</v>
      </c>
      <c r="L3448" s="47" t="s">
        <v>35</v>
      </c>
      <c r="M3448" s="25"/>
      <c r="N3448" s="26"/>
      <c r="O3448" s="3"/>
      <c r="P3448" s="2"/>
      <c r="Q3448" s="2"/>
      <c r="R3448" s="2"/>
      <c r="S3448" s="41"/>
      <c r="T3448" s="2"/>
      <c r="U3448" s="2"/>
      <c r="V3448" s="2"/>
      <c r="W3448" s="2"/>
      <c r="X3448" s="2"/>
      <c r="Y3448" s="2"/>
    </row>
    <row r="3449" spans="1:25" ht="30" customHeight="1" x14ac:dyDescent="0.45">
      <c r="A3449" s="426" t="s">
        <v>1799</v>
      </c>
      <c r="B3449" s="1030" t="s">
        <v>1824</v>
      </c>
      <c r="C3449" s="1030"/>
      <c r="D3449" s="1030"/>
      <c r="E3449" s="221">
        <v>5.46</v>
      </c>
      <c r="F3449" s="47" t="s">
        <v>35</v>
      </c>
      <c r="G3449" s="47"/>
      <c r="H3449" s="47"/>
      <c r="I3449" s="224"/>
      <c r="J3449" s="47">
        <v>1.21</v>
      </c>
      <c r="K3449" s="221">
        <f>+E3449*J3449</f>
        <v>6.6065999999999994</v>
      </c>
      <c r="L3449" s="47" t="s">
        <v>35</v>
      </c>
      <c r="M3449" s="156"/>
      <c r="N3449" s="26"/>
      <c r="S3449" s="41"/>
    </row>
    <row r="3450" spans="1:25" ht="30" customHeight="1" x14ac:dyDescent="0.45">
      <c r="A3450" s="702"/>
      <c r="B3450" s="1213"/>
      <c r="C3450" s="1214"/>
      <c r="D3450" s="1215"/>
      <c r="E3450" s="698"/>
      <c r="F3450" s="702"/>
      <c r="G3450" s="702"/>
      <c r="H3450" s="702"/>
      <c r="I3450" s="702"/>
      <c r="J3450" s="702" t="s">
        <v>38</v>
      </c>
      <c r="K3450" s="698">
        <f>SUM(K3448:K3449)</f>
        <v>264.33660000000003</v>
      </c>
      <c r="L3450" s="702" t="s">
        <v>35</v>
      </c>
      <c r="M3450" s="156"/>
      <c r="N3450" s="26"/>
      <c r="O3450" s="2"/>
      <c r="P3450" s="27"/>
      <c r="Q3450" s="26"/>
      <c r="R3450" s="28"/>
    </row>
    <row r="3451" spans="1:25" ht="30" customHeight="1" x14ac:dyDescent="0.45">
      <c r="A3451" s="47"/>
      <c r="B3451" s="224"/>
      <c r="C3451" s="224"/>
      <c r="D3451" s="224"/>
      <c r="E3451" s="221"/>
      <c r="F3451" s="1011" t="s">
        <v>285</v>
      </c>
      <c r="G3451" s="1013" t="s">
        <v>286</v>
      </c>
      <c r="H3451" s="1013"/>
      <c r="I3451" s="1013"/>
      <c r="J3451" s="1013"/>
      <c r="K3451" s="278">
        <v>1.06</v>
      </c>
      <c r="L3451" s="47"/>
      <c r="M3451" s="25"/>
      <c r="N3451" s="26"/>
      <c r="O3451" s="2"/>
      <c r="P3451" s="27"/>
      <c r="Q3451" s="26"/>
      <c r="R3451" s="28"/>
    </row>
    <row r="3452" spans="1:25" ht="30" customHeight="1" x14ac:dyDescent="0.45">
      <c r="A3452" s="47"/>
      <c r="B3452" s="224"/>
      <c r="C3452" s="224"/>
      <c r="D3452" s="224"/>
      <c r="E3452" s="221"/>
      <c r="F3452" s="1012"/>
      <c r="G3452" s="1014" t="s">
        <v>287</v>
      </c>
      <c r="H3452" s="1014"/>
      <c r="I3452" s="1014"/>
      <c r="J3452" s="1014"/>
      <c r="K3452" s="278">
        <v>1.05</v>
      </c>
      <c r="L3452" s="47"/>
      <c r="M3452" s="25"/>
      <c r="N3452" s="229"/>
      <c r="O3452" s="2"/>
      <c r="P3452" s="27"/>
      <c r="Q3452" s="26"/>
      <c r="R3452" s="28"/>
    </row>
    <row r="3453" spans="1:25" ht="30" customHeight="1" x14ac:dyDescent="0.45">
      <c r="A3453" s="47"/>
      <c r="B3453" s="47"/>
      <c r="C3453" s="58"/>
      <c r="D3453" s="58"/>
      <c r="E3453" s="58"/>
      <c r="F3453" s="58"/>
      <c r="G3453" s="58"/>
      <c r="H3453" s="58"/>
      <c r="I3453" s="58"/>
      <c r="J3453" s="47" t="s">
        <v>39</v>
      </c>
      <c r="K3453" s="216">
        <f>+K3450*K3451/K3452</f>
        <v>266.85409142857145</v>
      </c>
      <c r="L3453" s="47" t="s">
        <v>35</v>
      </c>
      <c r="M3453" s="25"/>
      <c r="N3453" s="156"/>
      <c r="O3453" s="156"/>
      <c r="P3453" s="27"/>
      <c r="Q3453" s="26"/>
      <c r="R3453" s="28"/>
    </row>
    <row r="3454" spans="1:25" ht="30" customHeight="1" thickBot="1" x14ac:dyDescent="0.5">
      <c r="A3454" s="47"/>
      <c r="B3454" s="47"/>
      <c r="C3454" s="58"/>
      <c r="D3454" s="58"/>
      <c r="E3454" s="58"/>
      <c r="F3454" s="58"/>
      <c r="G3454" s="1032" t="s">
        <v>288</v>
      </c>
      <c r="H3454" s="1033"/>
      <c r="I3454" s="1034"/>
      <c r="J3454" s="213">
        <f>VLOOKUP(B3446,'[1]Mil Cost Premiums for PUCs'!$A$4:$R$278,18,FALSE)</f>
        <v>1.3148549708569053</v>
      </c>
      <c r="K3454" s="216">
        <f>+K3453*J3454</f>
        <v>350.87442860836023</v>
      </c>
      <c r="L3454" s="47" t="s">
        <v>35</v>
      </c>
      <c r="M3454" s="25"/>
      <c r="N3454" s="156"/>
      <c r="O3454" s="2"/>
      <c r="P3454" s="27"/>
      <c r="Q3454" s="26"/>
      <c r="R3454" s="28"/>
    </row>
    <row r="3455" spans="1:25" ht="30" customHeight="1" thickBot="1" x14ac:dyDescent="0.5">
      <c r="A3455" s="999"/>
      <c r="B3455" s="1000"/>
      <c r="C3455" s="1000"/>
      <c r="D3455" s="1000"/>
      <c r="E3455" s="1000"/>
      <c r="F3455" s="1000"/>
      <c r="G3455" s="1000"/>
      <c r="H3455" s="1000"/>
      <c r="I3455" s="1000"/>
      <c r="J3455" s="1000"/>
      <c r="K3455" s="1000"/>
      <c r="L3455" s="1001"/>
      <c r="M3455" s="25"/>
      <c r="N3455" s="229"/>
      <c r="O3455" s="2"/>
      <c r="P3455" s="27"/>
      <c r="Q3455" s="26"/>
      <c r="R3455" s="28"/>
    </row>
    <row r="3456" spans="1:25" ht="30" customHeight="1" x14ac:dyDescent="0.45">
      <c r="A3456" s="9" t="s">
        <v>4</v>
      </c>
      <c r="B3456" s="10">
        <v>7441</v>
      </c>
      <c r="C3456" s="1138" t="s">
        <v>1825</v>
      </c>
      <c r="D3456" s="1139"/>
      <c r="E3456" s="13" t="s">
        <v>7</v>
      </c>
      <c r="F3456" s="14" t="s">
        <v>35</v>
      </c>
      <c r="G3456" s="11" t="s">
        <v>6</v>
      </c>
      <c r="H3456" s="163">
        <v>16917</v>
      </c>
      <c r="I3456" s="29" t="s">
        <v>9</v>
      </c>
      <c r="J3456" s="1217" t="s">
        <v>526</v>
      </c>
      <c r="K3456" s="985"/>
      <c r="L3456" s="986"/>
      <c r="M3456" s="121"/>
      <c r="O3456" s="2"/>
      <c r="P3456" s="27"/>
      <c r="Q3456" s="26"/>
      <c r="R3456" s="28"/>
    </row>
    <row r="3457" spans="1:18" ht="30" customHeight="1" x14ac:dyDescent="0.45">
      <c r="A3457" s="19" t="s">
        <v>11</v>
      </c>
      <c r="B3457" s="1005" t="s">
        <v>12</v>
      </c>
      <c r="C3457" s="1005"/>
      <c r="D3457" s="1005"/>
      <c r="E3457" s="20" t="s">
        <v>13</v>
      </c>
      <c r="F3457" s="19" t="s">
        <v>267</v>
      </c>
      <c r="G3457" s="1114" t="s">
        <v>15</v>
      </c>
      <c r="H3457" s="1115"/>
      <c r="I3457" s="1007" t="s">
        <v>1179</v>
      </c>
      <c r="J3457" s="1007"/>
      <c r="K3457" s="85" t="s">
        <v>17</v>
      </c>
      <c r="L3457" s="85"/>
      <c r="M3457" s="25"/>
      <c r="O3457" s="2"/>
      <c r="P3457" s="27"/>
      <c r="Q3457" s="26"/>
      <c r="R3457" s="28"/>
    </row>
    <row r="3458" spans="1:18" ht="30" customHeight="1" x14ac:dyDescent="0.45">
      <c r="A3458" s="47">
        <v>72412</v>
      </c>
      <c r="B3458" s="1018" t="s">
        <v>1826</v>
      </c>
      <c r="C3458" s="1019"/>
      <c r="D3458" s="1020"/>
      <c r="E3458" s="221">
        <v>377</v>
      </c>
      <c r="F3458" s="394">
        <v>51738</v>
      </c>
      <c r="G3458" s="167"/>
      <c r="H3458" s="29"/>
      <c r="I3458" s="1216">
        <f>+'[1]2023 MILCON Inflation Table'!$F$19</f>
        <v>1</v>
      </c>
      <c r="J3458" s="1216"/>
      <c r="K3458" s="36">
        <f>+E3458*I3458</f>
        <v>377</v>
      </c>
      <c r="L3458" s="29" t="s">
        <v>35</v>
      </c>
      <c r="O3458" s="2"/>
      <c r="P3458" s="27"/>
      <c r="Q3458" s="26"/>
      <c r="R3458" s="28"/>
    </row>
    <row r="3459" spans="1:18" ht="30" customHeight="1" x14ac:dyDescent="0.45">
      <c r="A3459" s="47">
        <v>72412</v>
      </c>
      <c r="B3459" s="1018" t="s">
        <v>1827</v>
      </c>
      <c r="C3459" s="1019"/>
      <c r="D3459" s="1020"/>
      <c r="E3459" s="221">
        <v>305</v>
      </c>
      <c r="F3459" s="394">
        <v>28000</v>
      </c>
      <c r="G3459" s="167"/>
      <c r="H3459" s="29"/>
      <c r="I3459" s="1161">
        <f>+'[1]2023 MILCON Inflation Table'!$F$15</f>
        <v>1.2839611975731238</v>
      </c>
      <c r="J3459" s="1162"/>
      <c r="K3459" s="36">
        <f>+E3459*I3459</f>
        <v>391.60816525980277</v>
      </c>
      <c r="L3459" s="29" t="s">
        <v>35</v>
      </c>
      <c r="M3459" s="25"/>
      <c r="N3459" s="26"/>
      <c r="O3459" s="2"/>
      <c r="P3459" s="27"/>
      <c r="Q3459" s="26"/>
      <c r="R3459" s="28"/>
    </row>
    <row r="3460" spans="1:18" ht="30" customHeight="1" x14ac:dyDescent="0.45">
      <c r="A3460" s="47"/>
      <c r="B3460" s="197"/>
      <c r="C3460" s="198"/>
      <c r="D3460" s="199"/>
      <c r="E3460" s="353"/>
      <c r="F3460" s="434"/>
      <c r="G3460" s="370"/>
      <c r="H3460" s="167"/>
      <c r="I3460" s="232"/>
      <c r="J3460" s="233" t="s">
        <v>56</v>
      </c>
      <c r="K3460" s="36">
        <f>AVERAGE(K3458:K3459)</f>
        <v>384.30408262990136</v>
      </c>
      <c r="L3460" s="29" t="s">
        <v>35</v>
      </c>
      <c r="M3460" s="25"/>
      <c r="O3460" s="2"/>
      <c r="P3460" s="27"/>
      <c r="Q3460" s="26"/>
      <c r="R3460" s="28"/>
    </row>
    <row r="3461" spans="1:18" ht="30" customHeight="1" thickBot="1" x14ac:dyDescent="0.5">
      <c r="A3461" s="47"/>
      <c r="B3461" s="1008"/>
      <c r="C3461" s="1009"/>
      <c r="D3461" s="1010"/>
      <c r="E3461" s="161"/>
      <c r="F3461" s="415"/>
      <c r="G3461" s="161"/>
      <c r="H3461" s="389"/>
      <c r="I3461" s="58"/>
      <c r="J3461" s="85" t="s">
        <v>39</v>
      </c>
      <c r="K3461" s="185">
        <f>+K3460</f>
        <v>384.30408262990136</v>
      </c>
      <c r="L3461" s="29" t="s">
        <v>35</v>
      </c>
      <c r="M3461" s="25"/>
      <c r="N3461" s="26"/>
      <c r="O3461" s="2"/>
      <c r="P3461" s="27"/>
      <c r="Q3461" s="26"/>
      <c r="R3461" s="28"/>
    </row>
    <row r="3462" spans="1:18" ht="30" customHeight="1" thickBot="1" x14ac:dyDescent="0.5">
      <c r="A3462" s="999"/>
      <c r="B3462" s="1000"/>
      <c r="C3462" s="1000"/>
      <c r="D3462" s="1000"/>
      <c r="E3462" s="1000"/>
      <c r="F3462" s="1000"/>
      <c r="G3462" s="1000"/>
      <c r="H3462" s="1000"/>
      <c r="I3462" s="1000"/>
      <c r="J3462" s="1000"/>
      <c r="K3462" s="1000"/>
      <c r="L3462" s="1001"/>
      <c r="M3462" s="25"/>
      <c r="N3462" s="26"/>
      <c r="O3462" s="2"/>
      <c r="P3462" s="27"/>
      <c r="Q3462" s="26"/>
      <c r="R3462" s="28"/>
    </row>
    <row r="3463" spans="1:18" ht="30" customHeight="1" x14ac:dyDescent="0.45">
      <c r="A3463" s="9" t="s">
        <v>4</v>
      </c>
      <c r="B3463" s="10">
        <v>7442</v>
      </c>
      <c r="C3463" s="983" t="s">
        <v>1828</v>
      </c>
      <c r="D3463" s="984"/>
      <c r="E3463" s="13" t="s">
        <v>7</v>
      </c>
      <c r="F3463" s="14" t="s">
        <v>35</v>
      </c>
      <c r="G3463" s="11" t="s">
        <v>6</v>
      </c>
      <c r="H3463" s="163">
        <v>3423.8619273927302</v>
      </c>
      <c r="I3463" s="13" t="s">
        <v>9</v>
      </c>
      <c r="J3463" s="985" t="s">
        <v>276</v>
      </c>
      <c r="K3463" s="985"/>
      <c r="L3463" s="986"/>
      <c r="M3463" s="363"/>
      <c r="P3463" s="27"/>
      <c r="Q3463" s="26"/>
      <c r="R3463" s="28"/>
    </row>
    <row r="3464" spans="1:18" ht="30" customHeight="1" x14ac:dyDescent="0.45">
      <c r="A3464" s="85" t="s">
        <v>277</v>
      </c>
      <c r="B3464" s="987" t="s">
        <v>293</v>
      </c>
      <c r="C3464" s="988"/>
      <c r="D3464" s="989"/>
      <c r="E3464" s="220" t="s">
        <v>13</v>
      </c>
      <c r="F3464" s="220" t="s">
        <v>14</v>
      </c>
      <c r="G3464" s="990" t="s">
        <v>15</v>
      </c>
      <c r="H3464" s="991"/>
      <c r="I3464" s="19" t="s">
        <v>1316</v>
      </c>
      <c r="J3464" s="19" t="s">
        <v>278</v>
      </c>
      <c r="K3464" s="23" t="s">
        <v>17</v>
      </c>
      <c r="L3464" s="24"/>
      <c r="M3464" s="25"/>
      <c r="N3464" s="26"/>
      <c r="O3464" s="2"/>
      <c r="P3464" s="27"/>
      <c r="Q3464" s="26"/>
      <c r="R3464" s="28"/>
    </row>
    <row r="3465" spans="1:18" ht="30" customHeight="1" x14ac:dyDescent="0.45">
      <c r="A3465" s="426" t="s">
        <v>1829</v>
      </c>
      <c r="B3465" s="1030" t="s">
        <v>1830</v>
      </c>
      <c r="C3465" s="1030"/>
      <c r="D3465" s="1030"/>
      <c r="E3465" s="221">
        <v>147</v>
      </c>
      <c r="F3465" s="47" t="s">
        <v>35</v>
      </c>
      <c r="G3465" s="47"/>
      <c r="H3465" s="47"/>
      <c r="I3465" s="58"/>
      <c r="J3465" s="47">
        <v>1.01</v>
      </c>
      <c r="K3465" s="221">
        <f>+E3465*J3465</f>
        <v>148.47</v>
      </c>
      <c r="L3465" s="47" t="s">
        <v>35</v>
      </c>
      <c r="M3465" s="25"/>
      <c r="N3465" s="26"/>
      <c r="O3465" s="2"/>
      <c r="P3465" s="27"/>
      <c r="Q3465" s="26"/>
      <c r="R3465" s="28"/>
    </row>
    <row r="3466" spans="1:18" ht="30" customHeight="1" x14ac:dyDescent="0.45">
      <c r="A3466" s="426" t="s">
        <v>1831</v>
      </c>
      <c r="B3466" s="1030" t="s">
        <v>1614</v>
      </c>
      <c r="C3466" s="1030"/>
      <c r="D3466" s="1030"/>
      <c r="E3466" s="221">
        <v>5.28</v>
      </c>
      <c r="F3466" s="47" t="s">
        <v>35</v>
      </c>
      <c r="G3466" s="47"/>
      <c r="H3466" s="47"/>
      <c r="I3466" s="224"/>
      <c r="J3466" s="47">
        <v>1.01</v>
      </c>
      <c r="K3466" s="221">
        <f>+E3466*J3466</f>
        <v>5.3328000000000007</v>
      </c>
      <c r="L3466" s="47" t="s">
        <v>35</v>
      </c>
      <c r="M3466" s="25"/>
      <c r="N3466" s="26"/>
      <c r="O3466" s="2"/>
      <c r="P3466" s="27"/>
      <c r="Q3466" s="26"/>
      <c r="R3466" s="28"/>
    </row>
    <row r="3467" spans="1:18" ht="30" customHeight="1" x14ac:dyDescent="0.45">
      <c r="A3467" s="702"/>
      <c r="B3467" s="1213"/>
      <c r="C3467" s="1214"/>
      <c r="D3467" s="1215"/>
      <c r="E3467" s="698"/>
      <c r="F3467" s="702"/>
      <c r="G3467" s="702"/>
      <c r="H3467" s="702"/>
      <c r="I3467" s="702"/>
      <c r="J3467" s="702" t="s">
        <v>38</v>
      </c>
      <c r="K3467" s="698">
        <f>SUM(K3465:K3466)</f>
        <v>153.80279999999999</v>
      </c>
      <c r="L3467" s="702" t="s">
        <v>35</v>
      </c>
      <c r="N3467" s="26"/>
      <c r="O3467" s="2"/>
      <c r="P3467" s="27"/>
      <c r="Q3467" s="26"/>
      <c r="R3467" s="28"/>
    </row>
    <row r="3468" spans="1:18" ht="30" customHeight="1" x14ac:dyDescent="0.45">
      <c r="A3468" s="47"/>
      <c r="B3468" s="224"/>
      <c r="C3468" s="224"/>
      <c r="D3468" s="224"/>
      <c r="E3468" s="221"/>
      <c r="F3468" s="1011" t="s">
        <v>285</v>
      </c>
      <c r="G3468" s="1013" t="s">
        <v>286</v>
      </c>
      <c r="H3468" s="1013"/>
      <c r="I3468" s="1013"/>
      <c r="J3468" s="1013"/>
      <c r="K3468" s="278">
        <v>1.06</v>
      </c>
      <c r="L3468" s="47"/>
      <c r="M3468" s="25"/>
      <c r="N3468" s="26"/>
      <c r="O3468" s="2"/>
      <c r="P3468" s="27"/>
      <c r="Q3468" s="26"/>
      <c r="R3468" s="28"/>
    </row>
    <row r="3469" spans="1:18" ht="30" customHeight="1" x14ac:dyDescent="0.45">
      <c r="A3469" s="47"/>
      <c r="B3469" s="224"/>
      <c r="C3469" s="224"/>
      <c r="D3469" s="224"/>
      <c r="E3469" s="221"/>
      <c r="F3469" s="1012"/>
      <c r="G3469" s="1014" t="s">
        <v>287</v>
      </c>
      <c r="H3469" s="1014"/>
      <c r="I3469" s="1014"/>
      <c r="J3469" s="1014"/>
      <c r="K3469" s="278">
        <v>1.05</v>
      </c>
      <c r="L3469" s="47"/>
      <c r="M3469" s="25"/>
      <c r="N3469" s="26"/>
      <c r="O3469" s="2"/>
      <c r="P3469" s="27"/>
      <c r="Q3469" s="26"/>
      <c r="R3469" s="28"/>
    </row>
    <row r="3470" spans="1:18" ht="30" customHeight="1" x14ac:dyDescent="0.45">
      <c r="A3470" s="47"/>
      <c r="B3470" s="47"/>
      <c r="C3470" s="58"/>
      <c r="D3470" s="58"/>
      <c r="E3470" s="58"/>
      <c r="F3470" s="58"/>
      <c r="G3470" s="58"/>
      <c r="H3470" s="58"/>
      <c r="I3470" s="58"/>
      <c r="J3470" s="47" t="s">
        <v>39</v>
      </c>
      <c r="K3470" s="216">
        <f>+K3467*K3468/K3469</f>
        <v>155.26758857142858</v>
      </c>
      <c r="L3470" s="47" t="s">
        <v>35</v>
      </c>
      <c r="M3470" s="25"/>
      <c r="N3470" s="26"/>
      <c r="O3470" s="2"/>
      <c r="P3470" s="27"/>
      <c r="Q3470" s="26"/>
      <c r="R3470" s="28"/>
    </row>
    <row r="3471" spans="1:18" ht="30" customHeight="1" thickBot="1" x14ac:dyDescent="0.5">
      <c r="A3471" s="47"/>
      <c r="B3471" s="47"/>
      <c r="C3471" s="58"/>
      <c r="D3471" s="58"/>
      <c r="E3471" s="58"/>
      <c r="F3471" s="58"/>
      <c r="G3471" s="1032" t="s">
        <v>288</v>
      </c>
      <c r="H3471" s="1033"/>
      <c r="I3471" s="1034"/>
      <c r="J3471" s="213">
        <f>VLOOKUP(B3463,'[1]Mil Cost Premiums for PUCs'!$A$4:$R$278,18,FALSE)</f>
        <v>1.12897214704308</v>
      </c>
      <c r="K3471" s="216">
        <f>+K3470*J3471</f>
        <v>175.29278283568732</v>
      </c>
      <c r="L3471" s="47" t="s">
        <v>35</v>
      </c>
      <c r="M3471" s="25"/>
      <c r="N3471" s="26"/>
      <c r="O3471" s="2"/>
      <c r="P3471" s="27"/>
      <c r="Q3471" s="26"/>
      <c r="R3471" s="28"/>
    </row>
    <row r="3472" spans="1:18" ht="30" customHeight="1" thickBot="1" x14ac:dyDescent="0.5">
      <c r="A3472" s="999"/>
      <c r="B3472" s="1000"/>
      <c r="C3472" s="1000"/>
      <c r="D3472" s="1000"/>
      <c r="E3472" s="1000"/>
      <c r="F3472" s="1000"/>
      <c r="G3472" s="1000"/>
      <c r="H3472" s="1000"/>
      <c r="I3472" s="1000"/>
      <c r="J3472" s="1000"/>
      <c r="K3472" s="1000"/>
      <c r="L3472" s="1001"/>
      <c r="M3472" s="25"/>
      <c r="N3472" s="26"/>
      <c r="O3472" s="2"/>
      <c r="P3472" s="27"/>
      <c r="Q3472" s="26"/>
      <c r="R3472" s="28"/>
    </row>
    <row r="3473" spans="1:18" ht="30" customHeight="1" x14ac:dyDescent="0.45">
      <c r="A3473" s="9" t="s">
        <v>4</v>
      </c>
      <c r="B3473" s="10">
        <v>7443</v>
      </c>
      <c r="C3473" s="1138" t="s">
        <v>1832</v>
      </c>
      <c r="D3473" s="1139"/>
      <c r="E3473" s="13" t="s">
        <v>7</v>
      </c>
      <c r="F3473" s="14" t="s">
        <v>35</v>
      </c>
      <c r="G3473" s="11" t="s">
        <v>6</v>
      </c>
      <c r="H3473" s="163">
        <v>1875</v>
      </c>
      <c r="I3473" s="13" t="s">
        <v>9</v>
      </c>
      <c r="J3473" s="985" t="s">
        <v>575</v>
      </c>
      <c r="K3473" s="985"/>
      <c r="L3473" s="986"/>
      <c r="M3473" s="25"/>
      <c r="N3473" s="26"/>
      <c r="O3473" s="2"/>
      <c r="P3473" s="27"/>
      <c r="Q3473" s="26"/>
      <c r="R3473" s="28"/>
    </row>
    <row r="3474" spans="1:18" ht="30" customHeight="1" x14ac:dyDescent="0.45">
      <c r="A3474" s="85" t="s">
        <v>277</v>
      </c>
      <c r="B3474" s="987" t="s">
        <v>293</v>
      </c>
      <c r="C3474" s="988"/>
      <c r="D3474" s="989"/>
      <c r="E3474" s="220" t="s">
        <v>13</v>
      </c>
      <c r="F3474" s="220" t="s">
        <v>14</v>
      </c>
      <c r="G3474" s="990" t="s">
        <v>15</v>
      </c>
      <c r="H3474" s="991"/>
      <c r="I3474" s="19" t="s">
        <v>278</v>
      </c>
      <c r="J3474" s="19"/>
      <c r="K3474" s="23" t="s">
        <v>17</v>
      </c>
      <c r="L3474" s="24"/>
      <c r="M3474" s="25"/>
      <c r="N3474" s="26"/>
      <c r="O3474" s="2"/>
      <c r="P3474" s="27"/>
      <c r="Q3474" s="26"/>
      <c r="R3474" s="28"/>
    </row>
    <row r="3475" spans="1:18" ht="30" customHeight="1" x14ac:dyDescent="0.45">
      <c r="A3475" s="426" t="s">
        <v>1573</v>
      </c>
      <c r="B3475" s="1008" t="s">
        <v>1574</v>
      </c>
      <c r="C3475" s="1009"/>
      <c r="D3475" s="1010"/>
      <c r="E3475" s="221">
        <v>27.5</v>
      </c>
      <c r="F3475" s="56" t="s">
        <v>35</v>
      </c>
      <c r="G3475" s="715"/>
      <c r="H3475" s="716"/>
      <c r="I3475" s="365">
        <v>1.06</v>
      </c>
      <c r="J3475" s="47"/>
      <c r="K3475" s="221">
        <f>+E3475*I3475</f>
        <v>29.150000000000002</v>
      </c>
      <c r="L3475" s="47" t="s">
        <v>35</v>
      </c>
      <c r="N3475" s="26"/>
      <c r="O3475" s="2"/>
      <c r="P3475" s="27"/>
      <c r="Q3475" s="26"/>
      <c r="R3475" s="28"/>
    </row>
    <row r="3476" spans="1:18" ht="30" customHeight="1" x14ac:dyDescent="0.45">
      <c r="A3476" s="47"/>
      <c r="B3476" s="224"/>
      <c r="C3476" s="224"/>
      <c r="D3476" s="224"/>
      <c r="E3476" s="221"/>
      <c r="F3476" s="1011" t="s">
        <v>285</v>
      </c>
      <c r="G3476" s="1013" t="s">
        <v>286</v>
      </c>
      <c r="H3476" s="1013"/>
      <c r="I3476" s="1013"/>
      <c r="J3476" s="1013"/>
      <c r="K3476" s="278">
        <v>1.07</v>
      </c>
      <c r="L3476" s="47"/>
      <c r="M3476" s="25"/>
      <c r="N3476" s="26"/>
      <c r="O3476" s="2"/>
      <c r="P3476" s="27"/>
      <c r="Q3476" s="26"/>
      <c r="R3476" s="28"/>
    </row>
    <row r="3477" spans="1:18" ht="30" customHeight="1" x14ac:dyDescent="0.45">
      <c r="A3477" s="47"/>
      <c r="B3477" s="224"/>
      <c r="C3477" s="224"/>
      <c r="D3477" s="224"/>
      <c r="E3477" s="221"/>
      <c r="F3477" s="1012"/>
      <c r="G3477" s="1014" t="s">
        <v>580</v>
      </c>
      <c r="H3477" s="1014"/>
      <c r="I3477" s="1014"/>
      <c r="J3477" s="1014"/>
      <c r="K3477" s="278">
        <v>1.08</v>
      </c>
      <c r="L3477" s="47"/>
      <c r="M3477" s="25"/>
      <c r="N3477" s="26"/>
      <c r="O3477" s="2"/>
      <c r="P3477" s="27"/>
      <c r="Q3477" s="26"/>
      <c r="R3477" s="28"/>
    </row>
    <row r="3478" spans="1:18" ht="30" customHeight="1" x14ac:dyDescent="0.45">
      <c r="A3478" s="426"/>
      <c r="B3478" s="1008"/>
      <c r="C3478" s="1009"/>
      <c r="D3478" s="1010"/>
      <c r="E3478" s="221"/>
      <c r="F3478" s="348"/>
      <c r="G3478" s="222"/>
      <c r="H3478" s="223"/>
      <c r="I3478" s="47"/>
      <c r="J3478" s="47" t="s">
        <v>39</v>
      </c>
      <c r="K3478" s="216">
        <f>+K3475*K3476/K3477</f>
        <v>28.880092592592593</v>
      </c>
      <c r="L3478" s="47" t="s">
        <v>35</v>
      </c>
      <c r="M3478" s="25"/>
      <c r="N3478" s="26"/>
      <c r="O3478" s="2"/>
      <c r="P3478" s="27"/>
      <c r="Q3478" s="26"/>
      <c r="R3478" s="28"/>
    </row>
    <row r="3479" spans="1:18" ht="30" customHeight="1" x14ac:dyDescent="0.45">
      <c r="A3479" s="47"/>
      <c r="B3479" s="47"/>
      <c r="C3479" s="58"/>
      <c r="D3479" s="58"/>
      <c r="E3479" s="58"/>
      <c r="F3479" s="58"/>
      <c r="G3479" s="1021" t="s">
        <v>288</v>
      </c>
      <c r="H3479" s="1022"/>
      <c r="I3479" s="1023"/>
      <c r="J3479" s="213">
        <f>VLOOKUP(B3473,'[1]Mil Cost Premiums for PUCs'!$A$4:$R$278,18,FALSE)</f>
        <v>1.0590296311349996</v>
      </c>
      <c r="K3479" s="216">
        <f>+K3478*J3479</f>
        <v>30.584873805477969</v>
      </c>
      <c r="L3479" s="47" t="s">
        <v>35</v>
      </c>
      <c r="M3479" s="25"/>
      <c r="N3479" s="26"/>
      <c r="O3479" s="2"/>
      <c r="P3479" s="27"/>
      <c r="Q3479" s="26"/>
      <c r="R3479" s="28"/>
    </row>
    <row r="3480" spans="1:18" ht="30" customHeight="1" x14ac:dyDescent="0.45">
      <c r="A3480" s="541"/>
      <c r="B3480" s="541"/>
      <c r="C3480" s="542"/>
      <c r="D3480" s="542"/>
      <c r="E3480" s="552"/>
      <c r="F3480" s="1024" t="s">
        <v>581</v>
      </c>
      <c r="G3480" s="1024"/>
      <c r="H3480" s="1024"/>
      <c r="I3480" s="1024"/>
      <c r="J3480" s="543">
        <v>1.0833999999999999</v>
      </c>
      <c r="K3480" s="363">
        <f>K3479*J3480</f>
        <v>33.135652280854828</v>
      </c>
      <c r="L3480" s="225" t="s">
        <v>35</v>
      </c>
      <c r="M3480" s="25"/>
      <c r="N3480" s="26"/>
      <c r="O3480" s="2"/>
      <c r="P3480" s="27"/>
      <c r="Q3480" s="26"/>
      <c r="R3480" s="28"/>
    </row>
    <row r="3481" spans="1:18" ht="30" customHeight="1" thickBot="1" x14ac:dyDescent="0.5">
      <c r="A3481" s="225"/>
      <c r="B3481" s="225"/>
      <c r="C3481" s="150"/>
      <c r="D3481" s="150"/>
      <c r="E3481" s="150"/>
      <c r="F3481" s="150"/>
      <c r="G3481" s="1025" t="s">
        <v>299</v>
      </c>
      <c r="H3481" s="1026"/>
      <c r="I3481" s="1027"/>
      <c r="J3481" s="226">
        <v>1.1214</v>
      </c>
      <c r="K3481" s="227">
        <f>+K3480*J3481</f>
        <v>37.158320467750599</v>
      </c>
      <c r="L3481" s="225" t="s">
        <v>35</v>
      </c>
      <c r="M3481" s="25"/>
    </row>
    <row r="3482" spans="1:18" ht="30" customHeight="1" thickBot="1" x14ac:dyDescent="0.5">
      <c r="A3482" s="999"/>
      <c r="B3482" s="1000"/>
      <c r="C3482" s="1000"/>
      <c r="D3482" s="1000"/>
      <c r="E3482" s="1000"/>
      <c r="F3482" s="1000"/>
      <c r="G3482" s="1000"/>
      <c r="H3482" s="1000"/>
      <c r="I3482" s="1000"/>
      <c r="J3482" s="1000"/>
      <c r="K3482" s="1000"/>
      <c r="L3482" s="1001"/>
      <c r="M3482" s="25"/>
      <c r="N3482" s="26"/>
      <c r="O3482" s="2"/>
      <c r="P3482" s="27"/>
      <c r="Q3482" s="26"/>
      <c r="R3482" s="28"/>
    </row>
    <row r="3483" spans="1:18" ht="30" customHeight="1" x14ac:dyDescent="0.45">
      <c r="A3483" s="9" t="s">
        <v>4</v>
      </c>
      <c r="B3483" s="10">
        <v>7444</v>
      </c>
      <c r="C3483" s="983" t="s">
        <v>1833</v>
      </c>
      <c r="D3483" s="984"/>
      <c r="E3483" s="13" t="s">
        <v>7</v>
      </c>
      <c r="F3483" s="14" t="s">
        <v>35</v>
      </c>
      <c r="G3483" s="11" t="s">
        <v>6</v>
      </c>
      <c r="H3483" s="163">
        <v>2504</v>
      </c>
      <c r="I3483" s="13" t="s">
        <v>9</v>
      </c>
      <c r="J3483" s="985" t="s">
        <v>575</v>
      </c>
      <c r="K3483" s="985"/>
      <c r="L3483" s="986"/>
      <c r="M3483" s="25"/>
      <c r="N3483" s="26"/>
      <c r="O3483" s="2"/>
      <c r="P3483" s="27"/>
      <c r="Q3483" s="26"/>
      <c r="R3483" s="28"/>
    </row>
    <row r="3484" spans="1:18" ht="30" customHeight="1" x14ac:dyDescent="0.45">
      <c r="A3484" s="85" t="s">
        <v>277</v>
      </c>
      <c r="B3484" s="987" t="s">
        <v>293</v>
      </c>
      <c r="C3484" s="988"/>
      <c r="D3484" s="989"/>
      <c r="E3484" s="220" t="s">
        <v>13</v>
      </c>
      <c r="F3484" s="220" t="s">
        <v>14</v>
      </c>
      <c r="G3484" s="990" t="s">
        <v>15</v>
      </c>
      <c r="H3484" s="991"/>
      <c r="I3484" s="19" t="s">
        <v>278</v>
      </c>
      <c r="J3484" s="19"/>
      <c r="K3484" s="23" t="s">
        <v>17</v>
      </c>
      <c r="L3484" s="24"/>
      <c r="M3484" s="25"/>
      <c r="N3484" s="26"/>
      <c r="O3484" s="2"/>
      <c r="P3484" s="27"/>
      <c r="Q3484" s="26"/>
      <c r="R3484" s="28"/>
    </row>
    <row r="3485" spans="1:18" ht="30" customHeight="1" x14ac:dyDescent="0.45">
      <c r="A3485" s="426" t="s">
        <v>1834</v>
      </c>
      <c r="B3485" s="1030" t="s">
        <v>1835</v>
      </c>
      <c r="C3485" s="1030"/>
      <c r="D3485" s="1030"/>
      <c r="E3485" s="221">
        <v>36.25</v>
      </c>
      <c r="F3485" s="47" t="s">
        <v>35</v>
      </c>
      <c r="G3485" s="47"/>
      <c r="H3485" s="47"/>
      <c r="I3485" s="365">
        <v>1.06</v>
      </c>
      <c r="J3485" s="47"/>
      <c r="K3485" s="221">
        <f>+E3485*I3485</f>
        <v>38.425000000000004</v>
      </c>
      <c r="L3485" s="47" t="s">
        <v>35</v>
      </c>
      <c r="N3485" s="26"/>
      <c r="O3485" s="2"/>
      <c r="P3485" s="27"/>
      <c r="Q3485" s="26"/>
      <c r="R3485" s="28"/>
    </row>
    <row r="3486" spans="1:18" ht="30" customHeight="1" x14ac:dyDescent="0.45">
      <c r="A3486" s="47"/>
      <c r="B3486" s="224"/>
      <c r="C3486" s="224"/>
      <c r="D3486" s="224"/>
      <c r="E3486" s="221"/>
      <c r="F3486" s="1011" t="s">
        <v>285</v>
      </c>
      <c r="G3486" s="1013" t="s">
        <v>286</v>
      </c>
      <c r="H3486" s="1013"/>
      <c r="I3486" s="1013"/>
      <c r="J3486" s="1013"/>
      <c r="K3486" s="278">
        <v>1.07</v>
      </c>
      <c r="L3486" s="47"/>
      <c r="M3486" s="25"/>
      <c r="N3486" s="26"/>
      <c r="O3486" s="2"/>
      <c r="P3486" s="27"/>
      <c r="Q3486" s="26"/>
      <c r="R3486" s="28"/>
    </row>
    <row r="3487" spans="1:18" ht="30" customHeight="1" x14ac:dyDescent="0.45">
      <c r="A3487" s="47"/>
      <c r="B3487" s="224"/>
      <c r="C3487" s="224"/>
      <c r="D3487" s="224"/>
      <c r="E3487" s="221"/>
      <c r="F3487" s="1012"/>
      <c r="G3487" s="1014" t="s">
        <v>580</v>
      </c>
      <c r="H3487" s="1014"/>
      <c r="I3487" s="1014"/>
      <c r="J3487" s="1014"/>
      <c r="K3487" s="278">
        <v>1.08</v>
      </c>
      <c r="L3487" s="47"/>
      <c r="M3487" s="25"/>
      <c r="N3487" s="26"/>
      <c r="O3487" s="2"/>
      <c r="P3487" s="27"/>
      <c r="Q3487" s="26"/>
      <c r="R3487" s="28"/>
    </row>
    <row r="3488" spans="1:18" ht="30" customHeight="1" x14ac:dyDescent="0.45">
      <c r="A3488" s="47"/>
      <c r="B3488" s="47"/>
      <c r="C3488" s="58"/>
      <c r="D3488" s="58"/>
      <c r="E3488" s="58"/>
      <c r="F3488" s="58"/>
      <c r="G3488" s="58"/>
      <c r="H3488" s="58"/>
      <c r="I3488" s="58"/>
      <c r="J3488" s="47" t="s">
        <v>39</v>
      </c>
      <c r="K3488" s="216">
        <f>+K3485*K3486/K3487</f>
        <v>38.069212962962965</v>
      </c>
      <c r="L3488" s="47" t="s">
        <v>35</v>
      </c>
      <c r="M3488" s="25"/>
      <c r="N3488" s="26"/>
      <c r="O3488" s="2"/>
      <c r="P3488" s="27"/>
      <c r="Q3488" s="26"/>
      <c r="R3488" s="28"/>
    </row>
    <row r="3489" spans="1:18" ht="30" customHeight="1" x14ac:dyDescent="0.45">
      <c r="A3489" s="47"/>
      <c r="B3489" s="47"/>
      <c r="C3489" s="58"/>
      <c r="D3489" s="58"/>
      <c r="E3489" s="58"/>
      <c r="F3489" s="58"/>
      <c r="G3489" s="1021" t="s">
        <v>288</v>
      </c>
      <c r="H3489" s="1022"/>
      <c r="I3489" s="1023"/>
      <c r="J3489" s="213">
        <f>VLOOKUP(B3483,'[1]Mil Cost Premiums for PUCs'!$A$4:$R$278,18,FALSE)</f>
        <v>1.0209999999999999</v>
      </c>
      <c r="K3489" s="216">
        <f>+K3488*J3489</f>
        <v>38.868666435185183</v>
      </c>
      <c r="L3489" s="47" t="s">
        <v>35</v>
      </c>
      <c r="M3489" s="121"/>
      <c r="N3489" s="26"/>
      <c r="O3489" s="2"/>
      <c r="P3489" s="27"/>
      <c r="Q3489" s="26"/>
      <c r="R3489" s="28"/>
    </row>
    <row r="3490" spans="1:18" ht="30" customHeight="1" x14ac:dyDescent="0.45">
      <c r="A3490" s="541"/>
      <c r="B3490" s="541"/>
      <c r="C3490" s="542"/>
      <c r="D3490" s="542"/>
      <c r="E3490" s="552"/>
      <c r="F3490" s="1024" t="s">
        <v>581</v>
      </c>
      <c r="G3490" s="1024"/>
      <c r="H3490" s="1024"/>
      <c r="I3490" s="1024"/>
      <c r="J3490" s="543">
        <v>1.0833999999999999</v>
      </c>
      <c r="K3490" s="363">
        <f>K3489*J3490</f>
        <v>42.110313215879621</v>
      </c>
      <c r="L3490" s="225" t="s">
        <v>35</v>
      </c>
      <c r="M3490" s="25"/>
      <c r="N3490" s="26"/>
      <c r="O3490" s="2"/>
      <c r="P3490" s="27"/>
      <c r="Q3490" s="26"/>
      <c r="R3490" s="28"/>
    </row>
    <row r="3491" spans="1:18" ht="30" customHeight="1" thickBot="1" x14ac:dyDescent="0.5">
      <c r="A3491" s="225"/>
      <c r="B3491" s="225"/>
      <c r="C3491" s="150"/>
      <c r="D3491" s="150"/>
      <c r="E3491" s="150"/>
      <c r="F3491" s="150"/>
      <c r="G3491" s="1025" t="s">
        <v>299</v>
      </c>
      <c r="H3491" s="1026"/>
      <c r="I3491" s="1027"/>
      <c r="J3491" s="226">
        <v>1.1214</v>
      </c>
      <c r="K3491" s="227">
        <f>+K3490*J3491</f>
        <v>47.222505240287404</v>
      </c>
      <c r="L3491" s="225" t="s">
        <v>35</v>
      </c>
      <c r="M3491" s="25"/>
    </row>
    <row r="3492" spans="1:18" ht="30" customHeight="1" thickBot="1" x14ac:dyDescent="0.5">
      <c r="A3492" s="999"/>
      <c r="B3492" s="1000"/>
      <c r="C3492" s="1000"/>
      <c r="D3492" s="1000"/>
      <c r="E3492" s="1000"/>
      <c r="F3492" s="1000"/>
      <c r="G3492" s="1000"/>
      <c r="H3492" s="1000"/>
      <c r="I3492" s="1000"/>
      <c r="J3492" s="1000"/>
      <c r="K3492" s="1000"/>
      <c r="L3492" s="1001"/>
      <c r="M3492" s="25"/>
      <c r="N3492" s="26"/>
      <c r="O3492" s="2"/>
      <c r="P3492" s="27"/>
      <c r="Q3492" s="26"/>
      <c r="R3492" s="28"/>
    </row>
    <row r="3493" spans="1:18" ht="30" customHeight="1" x14ac:dyDescent="0.45">
      <c r="A3493" s="9" t="s">
        <v>4</v>
      </c>
      <c r="B3493" s="10">
        <v>7445</v>
      </c>
      <c r="C3493" s="983" t="s">
        <v>1836</v>
      </c>
      <c r="D3493" s="984"/>
      <c r="E3493" s="13" t="s">
        <v>7</v>
      </c>
      <c r="F3493" s="14" t="s">
        <v>35</v>
      </c>
      <c r="G3493" s="11" t="s">
        <v>6</v>
      </c>
      <c r="H3493" s="713">
        <v>3094</v>
      </c>
      <c r="I3493" s="13" t="s">
        <v>9</v>
      </c>
      <c r="J3493" s="985" t="s">
        <v>575</v>
      </c>
      <c r="K3493" s="985"/>
      <c r="L3493" s="986"/>
      <c r="M3493" s="25"/>
      <c r="N3493" s="26"/>
      <c r="O3493" s="2"/>
      <c r="P3493" s="27"/>
      <c r="Q3493" s="26"/>
      <c r="R3493" s="28"/>
    </row>
    <row r="3494" spans="1:18" ht="30" customHeight="1" x14ac:dyDescent="0.45">
      <c r="A3494" s="85" t="s">
        <v>277</v>
      </c>
      <c r="B3494" s="987" t="s">
        <v>293</v>
      </c>
      <c r="C3494" s="988"/>
      <c r="D3494" s="989"/>
      <c r="E3494" s="220" t="s">
        <v>13</v>
      </c>
      <c r="F3494" s="220" t="s">
        <v>14</v>
      </c>
      <c r="G3494" s="990" t="s">
        <v>15</v>
      </c>
      <c r="H3494" s="991"/>
      <c r="I3494" s="19" t="s">
        <v>278</v>
      </c>
      <c r="J3494" s="19"/>
      <c r="K3494" s="23" t="s">
        <v>17</v>
      </c>
      <c r="L3494" s="24"/>
      <c r="M3494" s="25"/>
      <c r="N3494" s="26"/>
      <c r="O3494" s="2"/>
      <c r="P3494" s="27"/>
      <c r="Q3494" s="26"/>
      <c r="R3494" s="28"/>
    </row>
    <row r="3495" spans="1:18" ht="30" customHeight="1" x14ac:dyDescent="0.45">
      <c r="A3495" s="426" t="s">
        <v>554</v>
      </c>
      <c r="B3495" s="1008" t="s">
        <v>1837</v>
      </c>
      <c r="C3495" s="1009"/>
      <c r="D3495" s="1010"/>
      <c r="E3495" s="221">
        <v>32.25</v>
      </c>
      <c r="F3495" s="56" t="s">
        <v>35</v>
      </c>
      <c r="G3495" s="715"/>
      <c r="H3495" s="716"/>
      <c r="I3495" s="365">
        <v>1.06</v>
      </c>
      <c r="J3495" s="47"/>
      <c r="K3495" s="221">
        <f>+E3495*I3495</f>
        <v>34.185000000000002</v>
      </c>
      <c r="L3495" s="47" t="s">
        <v>35</v>
      </c>
      <c r="M3495" s="25"/>
      <c r="N3495" s="26"/>
      <c r="O3495" s="2"/>
      <c r="P3495" s="27"/>
      <c r="Q3495" s="26"/>
      <c r="R3495" s="28"/>
    </row>
    <row r="3496" spans="1:18" ht="30" customHeight="1" x14ac:dyDescent="0.45">
      <c r="A3496" s="47"/>
      <c r="B3496" s="224"/>
      <c r="C3496" s="224"/>
      <c r="D3496" s="224"/>
      <c r="E3496" s="221"/>
      <c r="F3496" s="1011" t="s">
        <v>285</v>
      </c>
      <c r="G3496" s="1013" t="s">
        <v>286</v>
      </c>
      <c r="H3496" s="1013"/>
      <c r="I3496" s="1013"/>
      <c r="J3496" s="1013"/>
      <c r="K3496" s="278">
        <v>1.07</v>
      </c>
      <c r="L3496" s="47"/>
      <c r="M3496" s="25"/>
      <c r="N3496" s="26"/>
      <c r="O3496" s="2"/>
      <c r="P3496" s="27"/>
      <c r="Q3496" s="26"/>
      <c r="R3496" s="28"/>
    </row>
    <row r="3497" spans="1:18" ht="30" customHeight="1" x14ac:dyDescent="0.45">
      <c r="A3497" s="47"/>
      <c r="B3497" s="224"/>
      <c r="C3497" s="224"/>
      <c r="D3497" s="224"/>
      <c r="E3497" s="221"/>
      <c r="F3497" s="1012"/>
      <c r="G3497" s="1014" t="s">
        <v>580</v>
      </c>
      <c r="H3497" s="1014"/>
      <c r="I3497" s="1014"/>
      <c r="J3497" s="1014"/>
      <c r="K3497" s="278">
        <v>1.08</v>
      </c>
      <c r="L3497" s="47"/>
      <c r="N3497" s="26"/>
      <c r="O3497" s="2"/>
      <c r="P3497" s="27"/>
      <c r="Q3497" s="26"/>
      <c r="R3497" s="28"/>
    </row>
    <row r="3498" spans="1:18" ht="30" customHeight="1" x14ac:dyDescent="0.45">
      <c r="A3498" s="47"/>
      <c r="B3498" s="47"/>
      <c r="C3498" s="58"/>
      <c r="D3498" s="58"/>
      <c r="E3498" s="58"/>
      <c r="F3498" s="58"/>
      <c r="G3498" s="58"/>
      <c r="H3498" s="58"/>
      <c r="I3498" s="58"/>
      <c r="J3498" s="47" t="s">
        <v>39</v>
      </c>
      <c r="K3498" s="216">
        <f>+K3495*K3496/K3497</f>
        <v>33.868472222222223</v>
      </c>
      <c r="L3498" s="47" t="s">
        <v>35</v>
      </c>
      <c r="M3498" s="25"/>
      <c r="N3498" s="26"/>
      <c r="O3498" s="2"/>
      <c r="P3498" s="27"/>
      <c r="Q3498" s="26"/>
      <c r="R3498" s="28"/>
    </row>
    <row r="3499" spans="1:18" ht="30" customHeight="1" x14ac:dyDescent="0.45">
      <c r="A3499" s="47"/>
      <c r="B3499" s="47"/>
      <c r="C3499" s="58"/>
      <c r="D3499" s="58"/>
      <c r="E3499" s="58"/>
      <c r="F3499" s="58"/>
      <c r="G3499" s="1021" t="s">
        <v>288</v>
      </c>
      <c r="H3499" s="1022"/>
      <c r="I3499" s="1023"/>
      <c r="J3499" s="213">
        <f>VLOOKUP(B3493,'[1]Mil Cost Premiums for PUCs'!$A$4:$R$278,18,FALSE)</f>
        <v>1.0209999999999999</v>
      </c>
      <c r="K3499" s="216">
        <f>+K3498*J3499</f>
        <v>34.579710138888885</v>
      </c>
      <c r="L3499" s="47" t="s">
        <v>35</v>
      </c>
      <c r="M3499" s="25"/>
      <c r="N3499" s="26"/>
      <c r="O3499" s="2"/>
      <c r="P3499" s="27"/>
      <c r="Q3499" s="26"/>
      <c r="R3499" s="28"/>
    </row>
    <row r="3500" spans="1:18" ht="30" customHeight="1" x14ac:dyDescent="0.45">
      <c r="A3500" s="541"/>
      <c r="B3500" s="541"/>
      <c r="C3500" s="542"/>
      <c r="D3500" s="542"/>
      <c r="E3500" s="552"/>
      <c r="F3500" s="1024" t="s">
        <v>581</v>
      </c>
      <c r="G3500" s="1024"/>
      <c r="H3500" s="1024"/>
      <c r="I3500" s="1024"/>
      <c r="J3500" s="543">
        <v>1.0833999999999999</v>
      </c>
      <c r="K3500" s="363">
        <f>K3499*J3500</f>
        <v>37.463657964472212</v>
      </c>
      <c r="L3500" s="225" t="s">
        <v>35</v>
      </c>
      <c r="M3500" s="25"/>
      <c r="N3500" s="26"/>
      <c r="O3500" s="2"/>
      <c r="P3500" s="27"/>
      <c r="Q3500" s="26"/>
      <c r="R3500" s="28"/>
    </row>
    <row r="3501" spans="1:18" ht="30" customHeight="1" thickBot="1" x14ac:dyDescent="0.5">
      <c r="A3501" s="225"/>
      <c r="B3501" s="225"/>
      <c r="C3501" s="150"/>
      <c r="D3501" s="150"/>
      <c r="E3501" s="150"/>
      <c r="F3501" s="150"/>
      <c r="G3501" s="1025" t="s">
        <v>299</v>
      </c>
      <c r="H3501" s="1026"/>
      <c r="I3501" s="1027"/>
      <c r="J3501" s="226">
        <v>1.1214</v>
      </c>
      <c r="K3501" s="227">
        <f>+K3500*J3501</f>
        <v>42.011746041359139</v>
      </c>
      <c r="L3501" s="225" t="s">
        <v>35</v>
      </c>
      <c r="M3501" s="25"/>
    </row>
    <row r="3502" spans="1:18" ht="30" customHeight="1" thickBot="1" x14ac:dyDescent="0.5">
      <c r="A3502" s="999"/>
      <c r="B3502" s="1000"/>
      <c r="C3502" s="1000"/>
      <c r="D3502" s="1000"/>
      <c r="E3502" s="1000"/>
      <c r="F3502" s="1000"/>
      <c r="G3502" s="1000"/>
      <c r="H3502" s="1000"/>
      <c r="I3502" s="1000"/>
      <c r="J3502" s="1000"/>
      <c r="K3502" s="1000"/>
      <c r="L3502" s="1001"/>
      <c r="M3502" s="25"/>
      <c r="N3502" s="26"/>
      <c r="O3502" s="2"/>
      <c r="P3502" s="27"/>
      <c r="Q3502" s="26"/>
      <c r="R3502" s="28"/>
    </row>
    <row r="3503" spans="1:18" ht="30" customHeight="1" x14ac:dyDescent="0.45">
      <c r="A3503" s="9" t="s">
        <v>4</v>
      </c>
      <c r="B3503" s="10">
        <v>7446</v>
      </c>
      <c r="C3503" s="983" t="s">
        <v>1838</v>
      </c>
      <c r="D3503" s="984"/>
      <c r="E3503" s="13" t="s">
        <v>7</v>
      </c>
      <c r="F3503" s="14" t="s">
        <v>35</v>
      </c>
      <c r="G3503" s="11" t="s">
        <v>6</v>
      </c>
      <c r="H3503" s="723">
        <v>3309</v>
      </c>
      <c r="I3503" s="13" t="s">
        <v>9</v>
      </c>
      <c r="J3503" s="985" t="s">
        <v>575</v>
      </c>
      <c r="K3503" s="985"/>
      <c r="L3503" s="986"/>
      <c r="M3503" s="25"/>
      <c r="N3503" s="26"/>
      <c r="O3503" s="2"/>
      <c r="P3503" s="27"/>
      <c r="Q3503" s="26"/>
      <c r="R3503" s="28"/>
    </row>
    <row r="3504" spans="1:18" ht="30" customHeight="1" x14ac:dyDescent="0.45">
      <c r="A3504" s="85" t="s">
        <v>277</v>
      </c>
      <c r="B3504" s="987" t="s">
        <v>293</v>
      </c>
      <c r="C3504" s="988"/>
      <c r="D3504" s="989"/>
      <c r="E3504" s="220" t="s">
        <v>13</v>
      </c>
      <c r="F3504" s="220" t="s">
        <v>14</v>
      </c>
      <c r="G3504" s="990" t="s">
        <v>15</v>
      </c>
      <c r="H3504" s="991"/>
      <c r="I3504" s="19" t="s">
        <v>278</v>
      </c>
      <c r="J3504" s="19"/>
      <c r="K3504" s="23" t="s">
        <v>17</v>
      </c>
      <c r="L3504" s="24"/>
      <c r="M3504" s="25"/>
      <c r="N3504" s="26"/>
      <c r="O3504" s="2"/>
      <c r="P3504" s="27"/>
      <c r="Q3504" s="26"/>
      <c r="R3504" s="28"/>
    </row>
    <row r="3505" spans="1:18" ht="30" customHeight="1" x14ac:dyDescent="0.45">
      <c r="A3505" s="426" t="s">
        <v>1758</v>
      </c>
      <c r="B3505" s="1008" t="s">
        <v>1759</v>
      </c>
      <c r="C3505" s="1009"/>
      <c r="D3505" s="1010"/>
      <c r="E3505" s="221">
        <v>128</v>
      </c>
      <c r="F3505" s="56" t="s">
        <v>35</v>
      </c>
      <c r="G3505" s="58"/>
      <c r="H3505" s="58"/>
      <c r="I3505" s="47">
        <v>1.05</v>
      </c>
      <c r="J3505" s="47"/>
      <c r="K3505" s="221">
        <f>+E3505*I3505</f>
        <v>134.4</v>
      </c>
      <c r="L3505" s="47" t="s">
        <v>35</v>
      </c>
      <c r="M3505" s="25"/>
      <c r="N3505" s="26"/>
      <c r="O3505" s="2"/>
      <c r="P3505" s="27"/>
      <c r="Q3505" s="26"/>
      <c r="R3505" s="28"/>
    </row>
    <row r="3506" spans="1:18" ht="30" customHeight="1" x14ac:dyDescent="0.45">
      <c r="A3506" s="426" t="s">
        <v>397</v>
      </c>
      <c r="B3506" s="1030" t="s">
        <v>1839</v>
      </c>
      <c r="C3506" s="1030"/>
      <c r="D3506" s="1030"/>
      <c r="E3506" s="221">
        <v>4.8600000000000003</v>
      </c>
      <c r="F3506" s="56" t="s">
        <v>35</v>
      </c>
      <c r="G3506" s="58"/>
      <c r="H3506" s="58"/>
      <c r="I3506" s="47">
        <v>1.05</v>
      </c>
      <c r="J3506" s="47"/>
      <c r="K3506" s="221">
        <f>+E3506*I3506</f>
        <v>5.1030000000000006</v>
      </c>
      <c r="L3506" s="47" t="s">
        <v>35</v>
      </c>
      <c r="M3506" s="25"/>
      <c r="N3506" s="26"/>
      <c r="O3506" s="2"/>
      <c r="P3506" s="27"/>
      <c r="Q3506" s="26"/>
      <c r="R3506" s="28"/>
    </row>
    <row r="3507" spans="1:18" ht="30" customHeight="1" x14ac:dyDescent="0.45">
      <c r="A3507" s="702"/>
      <c r="B3507" s="1213"/>
      <c r="C3507" s="1214"/>
      <c r="D3507" s="1215"/>
      <c r="E3507" s="698"/>
      <c r="F3507" s="702"/>
      <c r="G3507" s="702"/>
      <c r="H3507" s="702"/>
      <c r="I3507" s="702"/>
      <c r="J3507" s="702" t="s">
        <v>38</v>
      </c>
      <c r="K3507" s="698">
        <f>SUM(K3505:K3506)</f>
        <v>139.50300000000001</v>
      </c>
      <c r="L3507" s="702" t="s">
        <v>35</v>
      </c>
      <c r="M3507" s="25"/>
      <c r="N3507" s="26"/>
      <c r="O3507" s="2"/>
      <c r="P3507" s="27"/>
      <c r="Q3507" s="26"/>
      <c r="R3507" s="28"/>
    </row>
    <row r="3508" spans="1:18" ht="30" customHeight="1" x14ac:dyDescent="0.45">
      <c r="A3508" s="47"/>
      <c r="B3508" s="224"/>
      <c r="C3508" s="224"/>
      <c r="D3508" s="224"/>
      <c r="E3508" s="221"/>
      <c r="F3508" s="1011" t="s">
        <v>285</v>
      </c>
      <c r="G3508" s="1013" t="s">
        <v>286</v>
      </c>
      <c r="H3508" s="1013"/>
      <c r="I3508" s="1013"/>
      <c r="J3508" s="1013"/>
      <c r="K3508" s="278">
        <v>1.07</v>
      </c>
      <c r="L3508" s="47"/>
      <c r="M3508" s="25"/>
      <c r="N3508" s="26"/>
      <c r="O3508" s="2"/>
      <c r="P3508" s="27"/>
      <c r="Q3508" s="26"/>
      <c r="R3508" s="28"/>
    </row>
    <row r="3509" spans="1:18" ht="30" customHeight="1" x14ac:dyDescent="0.45">
      <c r="A3509" s="47"/>
      <c r="B3509" s="224"/>
      <c r="C3509" s="224"/>
      <c r="D3509" s="224"/>
      <c r="E3509" s="221"/>
      <c r="F3509" s="1012"/>
      <c r="G3509" s="1014" t="s">
        <v>580</v>
      </c>
      <c r="H3509" s="1014"/>
      <c r="I3509" s="1014"/>
      <c r="J3509" s="1014"/>
      <c r="K3509" s="278">
        <v>1.08</v>
      </c>
      <c r="L3509" s="47"/>
      <c r="M3509" s="25"/>
      <c r="N3509" s="26"/>
      <c r="O3509" s="2"/>
      <c r="P3509" s="27"/>
      <c r="Q3509" s="26"/>
      <c r="R3509" s="28"/>
    </row>
    <row r="3510" spans="1:18" ht="30" customHeight="1" x14ac:dyDescent="0.45">
      <c r="A3510" s="47"/>
      <c r="B3510" s="47"/>
      <c r="C3510" s="58"/>
      <c r="D3510" s="58"/>
      <c r="E3510" s="58"/>
      <c r="F3510" s="58"/>
      <c r="G3510" s="58"/>
      <c r="H3510" s="58"/>
      <c r="I3510" s="58"/>
      <c r="J3510" s="47" t="s">
        <v>39</v>
      </c>
      <c r="K3510" s="216">
        <f>+K3507*K3508/K3509</f>
        <v>138.21130555555555</v>
      </c>
      <c r="L3510" s="47" t="s">
        <v>35</v>
      </c>
      <c r="M3510" s="25"/>
      <c r="N3510" s="26"/>
      <c r="O3510" s="2"/>
      <c r="P3510" s="27"/>
      <c r="Q3510" s="26"/>
      <c r="R3510" s="28"/>
    </row>
    <row r="3511" spans="1:18" ht="30" customHeight="1" x14ac:dyDescent="0.45">
      <c r="A3511" s="47"/>
      <c r="B3511" s="47"/>
      <c r="C3511" s="58"/>
      <c r="D3511" s="58"/>
      <c r="E3511" s="58"/>
      <c r="F3511" s="58"/>
      <c r="G3511" s="1021" t="s">
        <v>288</v>
      </c>
      <c r="H3511" s="1022"/>
      <c r="I3511" s="1023"/>
      <c r="J3511" s="213">
        <f>VLOOKUP(B3503,'[1]Mil Cost Premiums for PUCs'!$A$4:$R$278,18,FALSE)</f>
        <v>1.0209999999999999</v>
      </c>
      <c r="K3511" s="216">
        <f>+K3510*J3511</f>
        <v>141.11374297222221</v>
      </c>
      <c r="L3511" s="47" t="s">
        <v>35</v>
      </c>
      <c r="M3511" s="25"/>
      <c r="N3511" s="26"/>
      <c r="O3511" s="2"/>
      <c r="P3511" s="27"/>
      <c r="Q3511" s="26"/>
      <c r="R3511" s="28"/>
    </row>
    <row r="3512" spans="1:18" ht="30" customHeight="1" x14ac:dyDescent="0.45">
      <c r="A3512" s="541"/>
      <c r="B3512" s="541"/>
      <c r="C3512" s="542"/>
      <c r="D3512" s="542"/>
      <c r="E3512" s="552"/>
      <c r="F3512" s="1024" t="s">
        <v>581</v>
      </c>
      <c r="G3512" s="1024"/>
      <c r="H3512" s="1024"/>
      <c r="I3512" s="1024"/>
      <c r="J3512" s="543">
        <v>1.0833999999999999</v>
      </c>
      <c r="K3512" s="363">
        <f>K3511*J3512</f>
        <v>152.88262913610552</v>
      </c>
      <c r="L3512" s="225" t="s">
        <v>35</v>
      </c>
      <c r="M3512" s="25"/>
      <c r="N3512" s="26"/>
      <c r="O3512" s="2"/>
      <c r="P3512" s="27"/>
      <c r="Q3512" s="26"/>
      <c r="R3512" s="28"/>
    </row>
    <row r="3513" spans="1:18" ht="30" customHeight="1" thickBot="1" x14ac:dyDescent="0.5">
      <c r="A3513" s="225"/>
      <c r="B3513" s="225"/>
      <c r="C3513" s="150"/>
      <c r="D3513" s="150"/>
      <c r="E3513" s="150"/>
      <c r="F3513" s="150"/>
      <c r="G3513" s="1025" t="s">
        <v>299</v>
      </c>
      <c r="H3513" s="1026"/>
      <c r="I3513" s="1027"/>
      <c r="J3513" s="226">
        <v>1.1214</v>
      </c>
      <c r="K3513" s="227">
        <f>+K3512*J3513</f>
        <v>171.44258031322872</v>
      </c>
      <c r="L3513" s="225" t="s">
        <v>35</v>
      </c>
      <c r="M3513" s="25"/>
    </row>
    <row r="3514" spans="1:18" ht="30" customHeight="1" thickBot="1" x14ac:dyDescent="0.5">
      <c r="A3514" s="999"/>
      <c r="B3514" s="1000"/>
      <c r="C3514" s="1000"/>
      <c r="D3514" s="1000"/>
      <c r="E3514" s="1000"/>
      <c r="F3514" s="1000"/>
      <c r="G3514" s="1000"/>
      <c r="H3514" s="1000"/>
      <c r="I3514" s="1000"/>
      <c r="J3514" s="1000"/>
      <c r="K3514" s="1000"/>
      <c r="L3514" s="1001"/>
      <c r="M3514" s="25"/>
      <c r="N3514" s="26"/>
      <c r="O3514" s="2"/>
      <c r="P3514" s="27"/>
      <c r="Q3514" s="26"/>
      <c r="R3514" s="28"/>
    </row>
    <row r="3515" spans="1:18" ht="30" customHeight="1" x14ac:dyDescent="0.45">
      <c r="A3515" s="9" t="s">
        <v>4</v>
      </c>
      <c r="B3515" s="10">
        <v>7447</v>
      </c>
      <c r="C3515" s="1138" t="s">
        <v>1840</v>
      </c>
      <c r="D3515" s="1139"/>
      <c r="E3515" s="13" t="s">
        <v>7</v>
      </c>
      <c r="F3515" s="14" t="s">
        <v>35</v>
      </c>
      <c r="G3515" s="11" t="s">
        <v>6</v>
      </c>
      <c r="H3515" s="184">
        <v>4039.6623844731898</v>
      </c>
      <c r="I3515" s="13" t="s">
        <v>9</v>
      </c>
      <c r="J3515" s="985" t="s">
        <v>10</v>
      </c>
      <c r="K3515" s="985"/>
      <c r="L3515" s="986"/>
      <c r="M3515" s="25"/>
      <c r="N3515" s="26"/>
      <c r="O3515" s="2"/>
      <c r="P3515" s="27"/>
      <c r="Q3515" s="26"/>
      <c r="R3515" s="28"/>
    </row>
    <row r="3516" spans="1:18" ht="30" customHeight="1" x14ac:dyDescent="0.45">
      <c r="A3516" s="19" t="s">
        <v>11</v>
      </c>
      <c r="B3516" s="1005" t="s">
        <v>12</v>
      </c>
      <c r="C3516" s="1005"/>
      <c r="D3516" s="1005"/>
      <c r="E3516" s="19" t="s">
        <v>13</v>
      </c>
      <c r="F3516" s="19" t="s">
        <v>267</v>
      </c>
      <c r="G3516" s="1007" t="s">
        <v>15</v>
      </c>
      <c r="H3516" s="1007"/>
      <c r="I3516" s="1068" t="s">
        <v>16</v>
      </c>
      <c r="J3516" s="1069"/>
      <c r="K3516" s="23" t="s">
        <v>17</v>
      </c>
      <c r="L3516" s="24"/>
      <c r="N3516" s="26"/>
      <c r="O3516" s="2"/>
      <c r="P3516" s="27"/>
      <c r="Q3516" s="26"/>
      <c r="R3516" s="28"/>
    </row>
    <row r="3517" spans="1:18" ht="30" customHeight="1" x14ac:dyDescent="0.45">
      <c r="A3517" s="47">
        <v>44220</v>
      </c>
      <c r="B3517" s="1008" t="s">
        <v>1841</v>
      </c>
      <c r="C3517" s="1009"/>
      <c r="D3517" s="1010"/>
      <c r="E3517" s="221">
        <v>209</v>
      </c>
      <c r="F3517" s="394">
        <v>3000</v>
      </c>
      <c r="G3517" s="29"/>
      <c r="H3517" s="29"/>
      <c r="I3517" s="1161">
        <f>+'[1]2023 MILCON Inflation Table'!F22</f>
        <v>0.93771935922451721</v>
      </c>
      <c r="J3517" s="1162"/>
      <c r="K3517" s="36">
        <f>+E3517*I3517</f>
        <v>195.9833460779241</v>
      </c>
      <c r="L3517" s="29" t="s">
        <v>35</v>
      </c>
      <c r="M3517" s="25"/>
      <c r="N3517" s="26"/>
      <c r="O3517" s="2"/>
      <c r="P3517" s="27"/>
      <c r="Q3517" s="26"/>
      <c r="R3517" s="28"/>
    </row>
    <row r="3518" spans="1:18" ht="30" customHeight="1" x14ac:dyDescent="0.45">
      <c r="A3518" s="47">
        <v>44220</v>
      </c>
      <c r="B3518" s="1018" t="s">
        <v>1842</v>
      </c>
      <c r="C3518" s="1019"/>
      <c r="D3518" s="1020"/>
      <c r="E3518" s="221">
        <v>367</v>
      </c>
      <c r="F3518" s="394">
        <v>5300</v>
      </c>
      <c r="G3518" s="29"/>
      <c r="H3518" s="29"/>
      <c r="I3518" s="1161">
        <f>+I3517</f>
        <v>0.93771935922451721</v>
      </c>
      <c r="J3518" s="1162"/>
      <c r="K3518" s="36">
        <f>+E3518*I3518</f>
        <v>344.14300483539779</v>
      </c>
      <c r="L3518" s="29" t="s">
        <v>35</v>
      </c>
      <c r="M3518" s="25"/>
      <c r="N3518" s="26"/>
      <c r="O3518" s="2"/>
      <c r="P3518" s="27"/>
      <c r="Q3518" s="26"/>
      <c r="R3518" s="28"/>
    </row>
    <row r="3519" spans="1:18" ht="30" customHeight="1" thickBot="1" x14ac:dyDescent="0.5">
      <c r="A3519" s="47"/>
      <c r="B3519" s="1008"/>
      <c r="C3519" s="1009"/>
      <c r="D3519" s="1010"/>
      <c r="E3519" s="398"/>
      <c r="F3519" s="724"/>
      <c r="G3519" s="398"/>
      <c r="H3519" s="398" t="s">
        <v>56</v>
      </c>
      <c r="I3519" s="58"/>
      <c r="J3519" s="85" t="s">
        <v>39</v>
      </c>
      <c r="K3519" s="185">
        <f>AVERAGE(K3517:K3518)</f>
        <v>270.06317545666093</v>
      </c>
      <c r="L3519" s="29" t="s">
        <v>35</v>
      </c>
      <c r="M3519" s="25"/>
      <c r="N3519" s="26"/>
      <c r="O3519" s="2"/>
      <c r="P3519" s="27"/>
      <c r="Q3519" s="26"/>
      <c r="R3519" s="28"/>
    </row>
    <row r="3520" spans="1:18" ht="30" customHeight="1" thickBot="1" x14ac:dyDescent="0.5">
      <c r="A3520" s="999"/>
      <c r="B3520" s="1000"/>
      <c r="C3520" s="1000"/>
      <c r="D3520" s="1000"/>
      <c r="E3520" s="1000"/>
      <c r="F3520" s="1000"/>
      <c r="G3520" s="1000"/>
      <c r="H3520" s="1000"/>
      <c r="I3520" s="1000"/>
      <c r="J3520" s="1000"/>
      <c r="K3520" s="1000"/>
      <c r="L3520" s="1001"/>
      <c r="M3520" s="25"/>
      <c r="N3520" s="26"/>
      <c r="O3520" s="2"/>
      <c r="P3520" s="27"/>
      <c r="Q3520" s="26"/>
      <c r="R3520" s="28"/>
    </row>
    <row r="3521" spans="1:25" ht="30" customHeight="1" x14ac:dyDescent="0.45">
      <c r="A3521" s="690" t="s">
        <v>4</v>
      </c>
      <c r="B3521" s="691">
        <v>7448</v>
      </c>
      <c r="C3521" s="1053" t="s">
        <v>1843</v>
      </c>
      <c r="D3521" s="1054"/>
      <c r="E3521" s="692" t="s">
        <v>7</v>
      </c>
      <c r="F3521" s="708" t="s">
        <v>35</v>
      </c>
      <c r="G3521" s="11" t="s">
        <v>6</v>
      </c>
      <c r="H3521" s="694">
        <v>1360</v>
      </c>
      <c r="I3521" s="692" t="s">
        <v>9</v>
      </c>
      <c r="J3521" s="985" t="s">
        <v>575</v>
      </c>
      <c r="K3521" s="985"/>
      <c r="L3521" s="986"/>
      <c r="M3521" s="25"/>
      <c r="N3521" s="26"/>
      <c r="O3521" s="2"/>
      <c r="P3521" s="27"/>
      <c r="Q3521" s="26"/>
      <c r="R3521" s="28"/>
    </row>
    <row r="3522" spans="1:25" ht="30" customHeight="1" x14ac:dyDescent="0.45">
      <c r="A3522" s="695" t="s">
        <v>277</v>
      </c>
      <c r="B3522" s="1055" t="s">
        <v>293</v>
      </c>
      <c r="C3522" s="1056"/>
      <c r="D3522" s="1057"/>
      <c r="E3522" s="696" t="s">
        <v>13</v>
      </c>
      <c r="F3522" s="696" t="s">
        <v>14</v>
      </c>
      <c r="G3522" s="1058" t="s">
        <v>15</v>
      </c>
      <c r="H3522" s="1059"/>
      <c r="I3522" s="710" t="s">
        <v>1750</v>
      </c>
      <c r="J3522" s="19" t="s">
        <v>16</v>
      </c>
      <c r="K3522" s="23" t="s">
        <v>17</v>
      </c>
      <c r="L3522" s="24"/>
      <c r="M3522" s="25"/>
      <c r="N3522" s="26"/>
      <c r="O3522" s="2"/>
      <c r="P3522" s="27"/>
      <c r="Q3522" s="26"/>
      <c r="R3522" s="28"/>
    </row>
    <row r="3523" spans="1:25" ht="30" customHeight="1" x14ac:dyDescent="0.45">
      <c r="A3523" s="702" t="s">
        <v>1664</v>
      </c>
      <c r="B3523" s="1060" t="s">
        <v>1844</v>
      </c>
      <c r="C3523" s="1061"/>
      <c r="D3523" s="1062"/>
      <c r="E3523" s="725">
        <v>61.5</v>
      </c>
      <c r="F3523" s="699" t="s">
        <v>35</v>
      </c>
      <c r="G3523" s="726"/>
      <c r="H3523" s="701"/>
      <c r="I3523" s="702">
        <v>1.04</v>
      </c>
      <c r="J3523" s="681">
        <f>+'[1]2023 MILCON Inflation Table'!$F$13</f>
        <v>1.4090525299662979</v>
      </c>
      <c r="K3523" s="707">
        <f>+E3523*I3523*J3523</f>
        <v>90.122999816644423</v>
      </c>
      <c r="L3523" s="699" t="s">
        <v>35</v>
      </c>
      <c r="M3523" s="25"/>
      <c r="N3523" s="26"/>
      <c r="O3523" s="2"/>
      <c r="P3523" s="27"/>
      <c r="Q3523" s="26"/>
      <c r="R3523" s="28"/>
    </row>
    <row r="3524" spans="1:25" ht="30" customHeight="1" x14ac:dyDescent="0.45">
      <c r="A3524" s="697" t="s">
        <v>358</v>
      </c>
      <c r="B3524" s="1213" t="s">
        <v>1845</v>
      </c>
      <c r="C3524" s="1214"/>
      <c r="D3524" s="1215"/>
      <c r="E3524" s="698">
        <v>4.1500000000000004</v>
      </c>
      <c r="F3524" s="699" t="s">
        <v>35</v>
      </c>
      <c r="G3524" s="727">
        <v>1.1499999999999999</v>
      </c>
      <c r="H3524" s="728" t="s">
        <v>1846</v>
      </c>
      <c r="I3524" s="702">
        <v>1.04</v>
      </c>
      <c r="J3524" s="699"/>
      <c r="K3524" s="707">
        <f>+E3524*G3524*I3524</f>
        <v>4.9634</v>
      </c>
      <c r="L3524" s="702"/>
      <c r="M3524" s="25"/>
      <c r="N3524" s="26"/>
      <c r="O3524" s="2"/>
      <c r="P3524" s="27"/>
      <c r="Q3524" s="26"/>
      <c r="R3524" s="28"/>
    </row>
    <row r="3525" spans="1:25" ht="30" customHeight="1" x14ac:dyDescent="0.45">
      <c r="A3525" s="729"/>
      <c r="B3525" s="706"/>
      <c r="C3525" s="706"/>
      <c r="D3525" s="706"/>
      <c r="E3525" s="698"/>
      <c r="F3525" s="702"/>
      <c r="G3525" s="702"/>
      <c r="H3525" s="702"/>
      <c r="I3525" s="702"/>
      <c r="J3525" s="702" t="s">
        <v>38</v>
      </c>
      <c r="K3525" s="698">
        <f>SUM(K3523:K3524)</f>
        <v>95.086399816644416</v>
      </c>
      <c r="L3525" s="702" t="s">
        <v>35</v>
      </c>
      <c r="M3525" s="25"/>
      <c r="N3525" s="26"/>
      <c r="O3525" s="2"/>
      <c r="P3525" s="27"/>
      <c r="Q3525" s="26"/>
      <c r="R3525" s="28"/>
    </row>
    <row r="3526" spans="1:25" ht="30" customHeight="1" x14ac:dyDescent="0.45">
      <c r="A3526" s="47"/>
      <c r="B3526" s="224"/>
      <c r="C3526" s="224"/>
      <c r="D3526" s="224"/>
      <c r="E3526" s="221"/>
      <c r="F3526" s="1011" t="s">
        <v>285</v>
      </c>
      <c r="G3526" s="1013" t="s">
        <v>286</v>
      </c>
      <c r="H3526" s="1013"/>
      <c r="I3526" s="1013"/>
      <c r="J3526" s="1013"/>
      <c r="K3526" s="278">
        <v>1.07</v>
      </c>
      <c r="L3526" s="47"/>
      <c r="M3526" s="25"/>
      <c r="N3526" s="26"/>
      <c r="O3526" s="2"/>
      <c r="P3526" s="27"/>
      <c r="Q3526" s="26"/>
      <c r="R3526" s="28"/>
    </row>
    <row r="3527" spans="1:25" ht="30" customHeight="1" x14ac:dyDescent="0.45">
      <c r="A3527" s="47"/>
      <c r="B3527" s="224"/>
      <c r="C3527" s="224"/>
      <c r="D3527" s="224"/>
      <c r="E3527" s="221"/>
      <c r="F3527" s="1012"/>
      <c r="G3527" s="1014" t="s">
        <v>580</v>
      </c>
      <c r="H3527" s="1014"/>
      <c r="I3527" s="1014"/>
      <c r="J3527" s="1014"/>
      <c r="K3527" s="278">
        <v>1.08</v>
      </c>
      <c r="L3527" s="47"/>
      <c r="M3527" s="25"/>
      <c r="N3527" s="26"/>
      <c r="O3527" s="2"/>
      <c r="P3527" s="27"/>
      <c r="Q3527" s="26"/>
      <c r="R3527" s="28"/>
    </row>
    <row r="3528" spans="1:25" ht="30" customHeight="1" x14ac:dyDescent="0.45">
      <c r="A3528" s="702"/>
      <c r="B3528" s="702"/>
      <c r="C3528" s="706"/>
      <c r="D3528" s="706"/>
      <c r="E3528" s="706"/>
      <c r="F3528" s="706"/>
      <c r="G3528" s="706"/>
      <c r="H3528" s="706"/>
      <c r="I3528" s="706"/>
      <c r="J3528" s="702" t="s">
        <v>39</v>
      </c>
      <c r="K3528" s="707">
        <f>+K3525*K3526/K3527</f>
        <v>94.205970188712513</v>
      </c>
      <c r="L3528" s="702" t="s">
        <v>35</v>
      </c>
      <c r="M3528" s="25"/>
      <c r="N3528" s="26"/>
      <c r="O3528" s="2"/>
      <c r="P3528" s="27"/>
      <c r="Q3528" s="26"/>
      <c r="R3528" s="28"/>
    </row>
    <row r="3529" spans="1:25" ht="30" customHeight="1" x14ac:dyDescent="0.45">
      <c r="A3529" s="702"/>
      <c r="B3529" s="702"/>
      <c r="C3529" s="706"/>
      <c r="D3529" s="706"/>
      <c r="E3529" s="706"/>
      <c r="F3529" s="706"/>
      <c r="G3529" s="1021" t="s">
        <v>288</v>
      </c>
      <c r="H3529" s="1022"/>
      <c r="I3529" s="1023"/>
      <c r="J3529" s="213">
        <f>VLOOKUP(B3521,'[1]Mil Cost Premiums for PUCs'!$A$4:$R$278,18,FALSE)</f>
        <v>1.1379589900046172</v>
      </c>
      <c r="K3529" s="707">
        <f>+K3528*J3529</f>
        <v>107.20253068835237</v>
      </c>
      <c r="L3529" s="702" t="s">
        <v>35</v>
      </c>
      <c r="M3529" s="25"/>
      <c r="N3529" s="26"/>
      <c r="O3529" s="2"/>
      <c r="P3529" s="27"/>
      <c r="Q3529" s="26"/>
      <c r="R3529" s="28"/>
    </row>
    <row r="3530" spans="1:25" ht="30" customHeight="1" x14ac:dyDescent="0.45">
      <c r="A3530" s="541"/>
      <c r="B3530" s="541"/>
      <c r="C3530" s="542"/>
      <c r="D3530" s="542"/>
      <c r="E3530" s="552"/>
      <c r="F3530" s="1024" t="s">
        <v>581</v>
      </c>
      <c r="G3530" s="1024"/>
      <c r="H3530" s="1024"/>
      <c r="I3530" s="1024"/>
      <c r="J3530" s="543">
        <v>1.0833999999999999</v>
      </c>
      <c r="K3530" s="363">
        <f>K3529*J3530</f>
        <v>116.14322174776095</v>
      </c>
      <c r="L3530" s="225" t="s">
        <v>35</v>
      </c>
      <c r="N3530" s="26"/>
      <c r="O3530" s="5"/>
      <c r="P3530" s="27"/>
      <c r="Q3530" s="26"/>
      <c r="R3530" s="28"/>
    </row>
    <row r="3531" spans="1:25" ht="30" customHeight="1" thickBot="1" x14ac:dyDescent="0.5">
      <c r="A3531" s="225"/>
      <c r="B3531" s="225"/>
      <c r="C3531" s="150"/>
      <c r="D3531" s="150"/>
      <c r="E3531" s="150"/>
      <c r="F3531" s="150"/>
      <c r="G3531" s="1025" t="s">
        <v>299</v>
      </c>
      <c r="H3531" s="1026"/>
      <c r="I3531" s="1027"/>
      <c r="J3531" s="226">
        <v>1.1214</v>
      </c>
      <c r="K3531" s="227">
        <f>+K3530*J3531</f>
        <v>130.24300886793912</v>
      </c>
      <c r="L3531" s="225" t="s">
        <v>35</v>
      </c>
      <c r="M3531" s="25"/>
    </row>
    <row r="3532" spans="1:25" ht="30" customHeight="1" thickBot="1" x14ac:dyDescent="0.5">
      <c r="A3532" s="999"/>
      <c r="B3532" s="1000"/>
      <c r="C3532" s="1000"/>
      <c r="D3532" s="1000"/>
      <c r="E3532" s="1000"/>
      <c r="F3532" s="1000"/>
      <c r="G3532" s="1000"/>
      <c r="H3532" s="1000"/>
      <c r="I3532" s="1000"/>
      <c r="J3532" s="1000"/>
      <c r="K3532" s="1000"/>
      <c r="L3532" s="1001"/>
      <c r="M3532" s="121"/>
      <c r="N3532" s="26"/>
      <c r="O3532" s="2"/>
      <c r="P3532" s="27"/>
      <c r="Q3532" s="26"/>
      <c r="R3532" s="28"/>
      <c r="T3532" s="18"/>
    </row>
    <row r="3533" spans="1:25" ht="30" customHeight="1" x14ac:dyDescent="0.45">
      <c r="A3533" s="9" t="s">
        <v>4</v>
      </c>
      <c r="B3533" s="10">
        <v>7449</v>
      </c>
      <c r="C3533" s="983" t="s">
        <v>1847</v>
      </c>
      <c r="D3533" s="984"/>
      <c r="E3533" s="13" t="s">
        <v>7</v>
      </c>
      <c r="F3533" s="14" t="s">
        <v>35</v>
      </c>
      <c r="G3533" s="11" t="s">
        <v>6</v>
      </c>
      <c r="H3533" s="300">
        <v>2543</v>
      </c>
      <c r="I3533" s="13" t="s">
        <v>9</v>
      </c>
      <c r="J3533" s="985" t="s">
        <v>575</v>
      </c>
      <c r="K3533" s="985"/>
      <c r="L3533" s="986"/>
      <c r="M3533" s="25"/>
      <c r="N3533" s="26"/>
      <c r="P3533" s="27"/>
      <c r="Q3533" s="26"/>
      <c r="R3533" s="28"/>
    </row>
    <row r="3534" spans="1:25" ht="30" customHeight="1" x14ac:dyDescent="0.45">
      <c r="A3534" s="85" t="s">
        <v>277</v>
      </c>
      <c r="B3534" s="987" t="s">
        <v>293</v>
      </c>
      <c r="C3534" s="988"/>
      <c r="D3534" s="989"/>
      <c r="E3534" s="220" t="s">
        <v>13</v>
      </c>
      <c r="F3534" s="220" t="s">
        <v>14</v>
      </c>
      <c r="G3534" s="990" t="s">
        <v>15</v>
      </c>
      <c r="H3534" s="991"/>
      <c r="I3534" s="19" t="s">
        <v>278</v>
      </c>
      <c r="J3534" s="19"/>
      <c r="K3534" s="23" t="s">
        <v>17</v>
      </c>
      <c r="L3534" s="24"/>
      <c r="M3534" s="25"/>
      <c r="N3534" s="26"/>
      <c r="P3534" s="27"/>
      <c r="Q3534" s="26"/>
      <c r="R3534" s="28"/>
      <c r="U3534" s="18"/>
      <c r="V3534" s="18"/>
      <c r="W3534" s="18"/>
      <c r="X3534" s="18"/>
    </row>
    <row r="3535" spans="1:25" ht="30" customHeight="1" x14ac:dyDescent="0.45">
      <c r="A3535" s="642" t="s">
        <v>1848</v>
      </c>
      <c r="B3535" s="1008" t="s">
        <v>1849</v>
      </c>
      <c r="C3535" s="1009"/>
      <c r="D3535" s="1010"/>
      <c r="E3535" s="221">
        <v>134</v>
      </c>
      <c r="F3535" s="47" t="s">
        <v>35</v>
      </c>
      <c r="G3535" s="47"/>
      <c r="H3535" s="47"/>
      <c r="I3535" s="47">
        <v>1.05</v>
      </c>
      <c r="J3535" s="47"/>
      <c r="K3535" s="221">
        <f>+E3535*I3535</f>
        <v>140.70000000000002</v>
      </c>
      <c r="L3535" s="47" t="s">
        <v>35</v>
      </c>
      <c r="M3535" s="25"/>
      <c r="N3535" s="26"/>
      <c r="P3535" s="18"/>
      <c r="Q3535" s="18"/>
      <c r="R3535" s="18"/>
      <c r="S3535" s="18"/>
      <c r="T3535" s="90"/>
      <c r="Y3535" s="18"/>
    </row>
    <row r="3536" spans="1:25" ht="30" customHeight="1" x14ac:dyDescent="0.45">
      <c r="A3536" s="642" t="s">
        <v>397</v>
      </c>
      <c r="B3536" s="1018" t="s">
        <v>1850</v>
      </c>
      <c r="C3536" s="1019"/>
      <c r="D3536" s="1020"/>
      <c r="E3536" s="216">
        <v>4.8600000000000003</v>
      </c>
      <c r="F3536" s="47" t="s">
        <v>35</v>
      </c>
      <c r="G3536" s="515"/>
      <c r="H3536" s="179"/>
      <c r="I3536" s="47">
        <v>1.05</v>
      </c>
      <c r="J3536" s="47"/>
      <c r="K3536" s="221">
        <f>+E3536*I3536</f>
        <v>5.1030000000000006</v>
      </c>
      <c r="L3536" s="47" t="s">
        <v>35</v>
      </c>
      <c r="M3536" s="25"/>
      <c r="N3536" s="26"/>
      <c r="T3536" s="41"/>
    </row>
    <row r="3537" spans="1:25" ht="30" customHeight="1" x14ac:dyDescent="0.45">
      <c r="A3537" s="642" t="s">
        <v>1851</v>
      </c>
      <c r="B3537" s="1018" t="s">
        <v>1852</v>
      </c>
      <c r="C3537" s="1019"/>
      <c r="D3537" s="1020"/>
      <c r="E3537" s="216">
        <f>((3.54+6.61)/2)*960</f>
        <v>4872</v>
      </c>
      <c r="F3537" s="47" t="s">
        <v>88</v>
      </c>
      <c r="G3537" s="544">
        <f>+H3533</f>
        <v>2543</v>
      </c>
      <c r="H3537" s="105" t="s">
        <v>621</v>
      </c>
      <c r="I3537" s="47">
        <v>1.02</v>
      </c>
      <c r="J3537" s="47"/>
      <c r="K3537" s="221">
        <f>+E3537/G3537*I3537</f>
        <v>1.9541643727880458</v>
      </c>
      <c r="L3537" s="47" t="s">
        <v>35</v>
      </c>
      <c r="M3537" s="25"/>
      <c r="N3537" s="26"/>
      <c r="O3537" s="2"/>
    </row>
    <row r="3538" spans="1:25" s="18" customFormat="1" ht="30" customHeight="1" x14ac:dyDescent="0.45">
      <c r="A3538" s="642" t="s">
        <v>1851</v>
      </c>
      <c r="B3538" s="1018" t="s">
        <v>1853</v>
      </c>
      <c r="C3538" s="1019"/>
      <c r="D3538" s="1020"/>
      <c r="E3538" s="216">
        <f>((4.41+8.11)/2)*800</f>
        <v>5008</v>
      </c>
      <c r="F3538" s="47" t="s">
        <v>88</v>
      </c>
      <c r="G3538" s="544">
        <f>H3533</f>
        <v>2543</v>
      </c>
      <c r="H3538" s="105" t="s">
        <v>621</v>
      </c>
      <c r="I3538" s="47">
        <v>1.02</v>
      </c>
      <c r="J3538" s="47"/>
      <c r="K3538" s="221">
        <f>+E3538/G3538*I3538</f>
        <v>2.0087141171844278</v>
      </c>
      <c r="L3538" s="47" t="s">
        <v>35</v>
      </c>
      <c r="M3538" s="25"/>
      <c r="N3538" s="26"/>
      <c r="O3538" s="2"/>
      <c r="P3538" s="2"/>
      <c r="Q3538" s="2"/>
      <c r="R3538" s="2"/>
      <c r="S3538" s="90"/>
      <c r="T3538" s="2"/>
      <c r="U3538" s="2"/>
      <c r="V3538" s="2"/>
      <c r="W3538" s="2"/>
      <c r="X3538" s="2"/>
      <c r="Y3538" s="2"/>
    </row>
    <row r="3539" spans="1:25" ht="30" customHeight="1" x14ac:dyDescent="0.45">
      <c r="A3539" s="47" t="s">
        <v>1851</v>
      </c>
      <c r="B3539" s="1018" t="s">
        <v>1854</v>
      </c>
      <c r="C3539" s="1019"/>
      <c r="D3539" s="1020"/>
      <c r="E3539" s="216">
        <f>((185+353)/2)</f>
        <v>269</v>
      </c>
      <c r="F3539" s="47" t="s">
        <v>88</v>
      </c>
      <c r="G3539" s="544">
        <f>H3533</f>
        <v>2543</v>
      </c>
      <c r="H3539" s="105" t="s">
        <v>621</v>
      </c>
      <c r="I3539" s="47">
        <v>1.02</v>
      </c>
      <c r="J3539" s="47"/>
      <c r="K3539" s="221">
        <f>+(E3539*4)/G3539*I3539</f>
        <v>0.43158474243020056</v>
      </c>
      <c r="L3539" s="47" t="s">
        <v>35</v>
      </c>
      <c r="M3539" s="25"/>
      <c r="N3539" s="26"/>
      <c r="O3539" s="2"/>
      <c r="S3539" s="41"/>
    </row>
    <row r="3540" spans="1:25" ht="30" customHeight="1" x14ac:dyDescent="0.45">
      <c r="B3540" s="1092"/>
      <c r="C3540" s="1092"/>
      <c r="D3540" s="1092"/>
      <c r="E3540" s="221"/>
      <c r="F3540" s="47"/>
      <c r="G3540" s="58"/>
      <c r="H3540" s="179"/>
      <c r="I3540" s="47"/>
      <c r="J3540" s="47" t="s">
        <v>38</v>
      </c>
      <c r="K3540" s="221">
        <f>SUM(K3535:K3539)</f>
        <v>150.19746323240273</v>
      </c>
      <c r="L3540" s="47" t="s">
        <v>35</v>
      </c>
      <c r="M3540" s="25"/>
      <c r="N3540" s="26"/>
      <c r="O3540" s="2"/>
      <c r="P3540" s="27"/>
      <c r="Q3540" s="26"/>
      <c r="R3540" s="28"/>
    </row>
    <row r="3541" spans="1:25" ht="30" customHeight="1" x14ac:dyDescent="0.45">
      <c r="A3541" s="47"/>
      <c r="B3541" s="224"/>
      <c r="C3541" s="224"/>
      <c r="D3541" s="224"/>
      <c r="E3541" s="221"/>
      <c r="F3541" s="1011" t="s">
        <v>285</v>
      </c>
      <c r="G3541" s="1013" t="s">
        <v>286</v>
      </c>
      <c r="H3541" s="1013"/>
      <c r="I3541" s="1013"/>
      <c r="J3541" s="1013"/>
      <c r="K3541" s="278">
        <v>1.07</v>
      </c>
      <c r="L3541" s="47"/>
      <c r="M3541" s="25"/>
      <c r="N3541" s="26"/>
      <c r="O3541" s="2"/>
      <c r="P3541" s="27"/>
      <c r="Q3541" s="26"/>
      <c r="R3541" s="28"/>
    </row>
    <row r="3542" spans="1:25" ht="30" customHeight="1" x14ac:dyDescent="0.45">
      <c r="A3542" s="47"/>
      <c r="B3542" s="224"/>
      <c r="C3542" s="224"/>
      <c r="D3542" s="224"/>
      <c r="E3542" s="221"/>
      <c r="F3542" s="1012"/>
      <c r="G3542" s="1014" t="s">
        <v>580</v>
      </c>
      <c r="H3542" s="1014"/>
      <c r="I3542" s="1014"/>
      <c r="J3542" s="1014"/>
      <c r="K3542" s="278">
        <v>1.08</v>
      </c>
      <c r="L3542" s="47"/>
      <c r="M3542" s="25"/>
      <c r="N3542" s="26"/>
      <c r="O3542" s="2"/>
      <c r="P3542" s="27"/>
      <c r="Q3542" s="26"/>
      <c r="R3542" s="28"/>
    </row>
    <row r="3543" spans="1:25" ht="30" customHeight="1" x14ac:dyDescent="0.45">
      <c r="A3543" s="47"/>
      <c r="B3543" s="47"/>
      <c r="C3543" s="58"/>
      <c r="D3543" s="58"/>
      <c r="E3543" s="58"/>
      <c r="F3543" s="58"/>
      <c r="G3543" s="58"/>
      <c r="H3543" s="58"/>
      <c r="I3543" s="58"/>
      <c r="J3543" s="47" t="s">
        <v>39</v>
      </c>
      <c r="K3543" s="216">
        <f>+K3540*K3541/K3542</f>
        <v>148.80674598025087</v>
      </c>
      <c r="L3543" s="47" t="s">
        <v>35</v>
      </c>
      <c r="M3543" s="25"/>
      <c r="N3543" s="229"/>
      <c r="O3543" s="2"/>
      <c r="P3543" s="27"/>
      <c r="Q3543" s="26"/>
      <c r="R3543" s="28"/>
    </row>
    <row r="3544" spans="1:25" ht="30" customHeight="1" x14ac:dyDescent="0.45">
      <c r="A3544" s="47"/>
      <c r="B3544" s="47"/>
      <c r="C3544" s="58"/>
      <c r="D3544" s="58"/>
      <c r="E3544" s="58"/>
      <c r="F3544" s="58"/>
      <c r="G3544" s="1021" t="s">
        <v>288</v>
      </c>
      <c r="H3544" s="1022"/>
      <c r="I3544" s="1023"/>
      <c r="J3544" s="213">
        <f>VLOOKUP(B3533,'[1]Mil Cost Premiums for PUCs'!$A$4:$R$278,18,FALSE)</f>
        <v>1.3319480854780448</v>
      </c>
      <c r="K3544" s="216">
        <f>+K3543*J3544</f>
        <v>198.20286041461287</v>
      </c>
      <c r="L3544" s="47" t="s">
        <v>35</v>
      </c>
      <c r="M3544" s="25"/>
      <c r="O3544" s="2"/>
      <c r="P3544" s="27"/>
      <c r="Q3544" s="26"/>
      <c r="R3544" s="28"/>
    </row>
    <row r="3545" spans="1:25" ht="30" customHeight="1" x14ac:dyDescent="0.45">
      <c r="A3545" s="541"/>
      <c r="B3545" s="541"/>
      <c r="C3545" s="542"/>
      <c r="D3545" s="542"/>
      <c r="E3545" s="552"/>
      <c r="F3545" s="1024" t="s">
        <v>581</v>
      </c>
      <c r="G3545" s="1024"/>
      <c r="H3545" s="1024"/>
      <c r="I3545" s="1024"/>
      <c r="J3545" s="543">
        <v>1.0833999999999999</v>
      </c>
      <c r="K3545" s="363">
        <f>K3544*J3545</f>
        <v>214.73297897319156</v>
      </c>
      <c r="L3545" s="225" t="s">
        <v>35</v>
      </c>
      <c r="M3545" s="25"/>
      <c r="O3545" s="2"/>
      <c r="P3545" s="27"/>
      <c r="Q3545" s="26"/>
      <c r="R3545" s="28"/>
    </row>
    <row r="3546" spans="1:25" ht="30" customHeight="1" thickBot="1" x14ac:dyDescent="0.5">
      <c r="A3546" s="225"/>
      <c r="B3546" s="225"/>
      <c r="C3546" s="150"/>
      <c r="D3546" s="150"/>
      <c r="E3546" s="150"/>
      <c r="F3546" s="150"/>
      <c r="G3546" s="1025" t="s">
        <v>299</v>
      </c>
      <c r="H3546" s="1026"/>
      <c r="I3546" s="1027"/>
      <c r="J3546" s="226">
        <v>1.1214</v>
      </c>
      <c r="K3546" s="227">
        <f>+K3545*J3546</f>
        <v>240.801562620537</v>
      </c>
      <c r="L3546" s="225" t="s">
        <v>35</v>
      </c>
      <c r="M3546" s="25"/>
    </row>
    <row r="3547" spans="1:25" ht="30" customHeight="1" thickBot="1" x14ac:dyDescent="0.5">
      <c r="A3547" s="999"/>
      <c r="B3547" s="1000"/>
      <c r="C3547" s="1000"/>
      <c r="D3547" s="1000"/>
      <c r="E3547" s="1000"/>
      <c r="F3547" s="1000"/>
      <c r="G3547" s="1000"/>
      <c r="H3547" s="1000"/>
      <c r="I3547" s="1000"/>
      <c r="J3547" s="1000"/>
      <c r="K3547" s="1000"/>
      <c r="L3547" s="1001"/>
      <c r="M3547" s="84"/>
      <c r="O3547" s="2"/>
      <c r="P3547" s="27"/>
      <c r="Q3547" s="26"/>
      <c r="R3547" s="28"/>
    </row>
    <row r="3548" spans="1:25" ht="30" customHeight="1" x14ac:dyDescent="0.45">
      <c r="A3548" s="9" t="s">
        <v>4</v>
      </c>
      <c r="B3548" s="10">
        <v>7511</v>
      </c>
      <c r="C3548" s="1138" t="s">
        <v>1855</v>
      </c>
      <c r="D3548" s="1139"/>
      <c r="E3548" s="13" t="s">
        <v>7</v>
      </c>
      <c r="F3548" s="14" t="s">
        <v>88</v>
      </c>
      <c r="G3548" s="173" t="s">
        <v>148</v>
      </c>
      <c r="H3548" s="184">
        <v>1</v>
      </c>
      <c r="I3548" s="13" t="s">
        <v>9</v>
      </c>
      <c r="J3548" s="985" t="s">
        <v>526</v>
      </c>
      <c r="K3548" s="985"/>
      <c r="L3548" s="986"/>
      <c r="M3548" s="25"/>
      <c r="O3548" s="2"/>
      <c r="P3548" s="27"/>
      <c r="Q3548" s="26"/>
      <c r="R3548" s="28"/>
    </row>
    <row r="3549" spans="1:25" ht="30" customHeight="1" x14ac:dyDescent="0.45">
      <c r="A3549" s="19" t="s">
        <v>11</v>
      </c>
      <c r="B3549" s="1005" t="s">
        <v>12</v>
      </c>
      <c r="C3549" s="1005"/>
      <c r="D3549" s="1005"/>
      <c r="E3549" s="20" t="s">
        <v>1856</v>
      </c>
      <c r="F3549" s="19" t="s">
        <v>267</v>
      </c>
      <c r="G3549" s="1114" t="s">
        <v>15</v>
      </c>
      <c r="H3549" s="1115"/>
      <c r="I3549" s="1068" t="s">
        <v>16</v>
      </c>
      <c r="J3549" s="1069"/>
      <c r="K3549" s="23" t="s">
        <v>17</v>
      </c>
      <c r="L3549" s="24"/>
      <c r="M3549" s="25"/>
      <c r="N3549" s="26"/>
      <c r="O3549" s="2"/>
      <c r="P3549" s="27"/>
      <c r="Q3549" s="26"/>
      <c r="R3549" s="28"/>
    </row>
    <row r="3550" spans="1:25" ht="30" customHeight="1" x14ac:dyDescent="0.45">
      <c r="A3550" s="47">
        <v>75018</v>
      </c>
      <c r="B3550" s="1092" t="s">
        <v>1857</v>
      </c>
      <c r="C3550" s="1092"/>
      <c r="D3550" s="1092"/>
      <c r="E3550" s="221">
        <v>16</v>
      </c>
      <c r="F3550" s="394">
        <v>38311</v>
      </c>
      <c r="G3550" s="167" t="s">
        <v>518</v>
      </c>
      <c r="H3550" s="29"/>
      <c r="I3550" s="1161">
        <f>+'[1]2023 MILCON Inflation Table'!F22</f>
        <v>0.93771935922451721</v>
      </c>
      <c r="J3550" s="1162"/>
      <c r="K3550" s="36">
        <f>+E3550*F3550*I3550</f>
        <v>574799.46194000763</v>
      </c>
      <c r="L3550" s="29" t="s">
        <v>88</v>
      </c>
      <c r="M3550" s="25"/>
      <c r="N3550" s="26"/>
      <c r="O3550" s="2"/>
      <c r="P3550" s="27"/>
      <c r="Q3550" s="26"/>
      <c r="R3550" s="28"/>
    </row>
    <row r="3551" spans="1:25" ht="30" customHeight="1" x14ac:dyDescent="0.45">
      <c r="A3551" s="47">
        <v>75018</v>
      </c>
      <c r="B3551" s="1092" t="s">
        <v>1858</v>
      </c>
      <c r="C3551" s="1092"/>
      <c r="D3551" s="1092"/>
      <c r="E3551" s="730">
        <v>16</v>
      </c>
      <c r="F3551" s="394">
        <v>23900</v>
      </c>
      <c r="G3551" s="167" t="s">
        <v>518</v>
      </c>
      <c r="H3551" s="29"/>
      <c r="I3551" s="1161">
        <f>+'[1]2023 MILCON Inflation Table'!$F$15</f>
        <v>1.2839611975731238</v>
      </c>
      <c r="J3551" s="1162"/>
      <c r="K3551" s="36">
        <f>+E3551*F3551*I3551</f>
        <v>490986.76195196254</v>
      </c>
      <c r="L3551" s="29" t="s">
        <v>88</v>
      </c>
      <c r="M3551" s="25"/>
      <c r="N3551" s="26"/>
      <c r="O3551" s="2"/>
      <c r="P3551" s="27"/>
      <c r="Q3551" s="26"/>
      <c r="R3551" s="28"/>
    </row>
    <row r="3552" spans="1:25" ht="30" customHeight="1" x14ac:dyDescent="0.45">
      <c r="A3552" s="47">
        <v>75018</v>
      </c>
      <c r="B3552" s="1092" t="s">
        <v>1859</v>
      </c>
      <c r="C3552" s="1092"/>
      <c r="D3552" s="1092"/>
      <c r="E3552" s="221">
        <v>20</v>
      </c>
      <c r="F3552" s="394">
        <v>16700</v>
      </c>
      <c r="G3552" s="167" t="s">
        <v>518</v>
      </c>
      <c r="H3552" s="29"/>
      <c r="I3552" s="1161">
        <f>+'[1]2023 MILCON Inflation Table'!$F$15</f>
        <v>1.2839611975731238</v>
      </c>
      <c r="J3552" s="1162"/>
      <c r="K3552" s="36">
        <f>+E3552*F3552*I3552</f>
        <v>428843.03998942336</v>
      </c>
      <c r="L3552" s="29" t="s">
        <v>88</v>
      </c>
      <c r="M3552" s="25"/>
      <c r="N3552" s="26"/>
      <c r="O3552" s="2"/>
      <c r="P3552" s="27"/>
      <c r="Q3552" s="26"/>
      <c r="R3552" s="28"/>
    </row>
    <row r="3553" spans="1:18" ht="30" customHeight="1" x14ac:dyDescent="0.45">
      <c r="A3553" s="47">
        <v>75018</v>
      </c>
      <c r="B3553" s="1030" t="s">
        <v>1860</v>
      </c>
      <c r="C3553" s="1030"/>
      <c r="D3553" s="1030"/>
      <c r="E3553" s="221">
        <v>8.3000000000000007</v>
      </c>
      <c r="F3553" s="394">
        <v>113400</v>
      </c>
      <c r="G3553" s="167" t="s">
        <v>518</v>
      </c>
      <c r="H3553" s="29"/>
      <c r="I3553" s="1161">
        <f>+'[1]2023 MILCON Inflation Table'!$F$15</f>
        <v>1.2839611975731238</v>
      </c>
      <c r="J3553" s="1162"/>
      <c r="K3553" s="36">
        <f>+E3553*F3553*I3553</f>
        <v>1208489.9583797758</v>
      </c>
      <c r="L3553" s="29" t="s">
        <v>88</v>
      </c>
      <c r="M3553" s="25"/>
      <c r="N3553" s="26"/>
      <c r="O3553" s="2"/>
      <c r="P3553" s="27"/>
      <c r="Q3553" s="26"/>
      <c r="R3553" s="28"/>
    </row>
    <row r="3554" spans="1:18" ht="30" customHeight="1" thickBot="1" x14ac:dyDescent="0.5">
      <c r="A3554" s="47"/>
      <c r="B3554" s="1008"/>
      <c r="C3554" s="1009"/>
      <c r="D3554" s="1010"/>
      <c r="E3554" s="161"/>
      <c r="F3554" s="415"/>
      <c r="G3554" s="161"/>
      <c r="I3554" s="16" t="s">
        <v>56</v>
      </c>
      <c r="J3554" s="85" t="s">
        <v>39</v>
      </c>
      <c r="K3554" s="185">
        <f>AVERAGE(K3550:K3553)</f>
        <v>675779.80556529236</v>
      </c>
      <c r="L3554" s="29" t="s">
        <v>88</v>
      </c>
      <c r="M3554" s="25"/>
      <c r="N3554" s="26"/>
      <c r="O3554" s="2"/>
      <c r="P3554" s="27"/>
      <c r="Q3554" s="26"/>
      <c r="R3554" s="28"/>
    </row>
    <row r="3555" spans="1:18" ht="30" customHeight="1" thickBot="1" x14ac:dyDescent="0.5">
      <c r="A3555" s="999"/>
      <c r="B3555" s="1000"/>
      <c r="C3555" s="1000"/>
      <c r="D3555" s="1000"/>
      <c r="E3555" s="1000"/>
      <c r="F3555" s="1000"/>
      <c r="G3555" s="1000"/>
      <c r="H3555" s="1000"/>
      <c r="I3555" s="1000"/>
      <c r="J3555" s="1000"/>
      <c r="K3555" s="1000"/>
      <c r="L3555" s="1001"/>
      <c r="M3555" s="25"/>
      <c r="N3555" s="26"/>
      <c r="O3555" s="2"/>
      <c r="P3555" s="27"/>
      <c r="Q3555" s="26"/>
      <c r="R3555" s="28"/>
    </row>
    <row r="3556" spans="1:18" ht="30" customHeight="1" x14ac:dyDescent="0.45">
      <c r="A3556" s="9" t="s">
        <v>4</v>
      </c>
      <c r="B3556" s="10">
        <v>7512</v>
      </c>
      <c r="C3556" s="983" t="s">
        <v>1861</v>
      </c>
      <c r="D3556" s="984"/>
      <c r="E3556" s="13" t="s">
        <v>7</v>
      </c>
      <c r="F3556" s="14" t="s">
        <v>88</v>
      </c>
      <c r="G3556" s="161" t="s">
        <v>148</v>
      </c>
      <c r="H3556" s="163">
        <v>1</v>
      </c>
      <c r="I3556" s="13" t="s">
        <v>9</v>
      </c>
      <c r="J3556" s="985" t="s">
        <v>276</v>
      </c>
      <c r="K3556" s="985"/>
      <c r="L3556" s="986"/>
      <c r="N3556" s="26"/>
      <c r="O3556" s="2"/>
      <c r="P3556" s="27"/>
      <c r="Q3556" s="26"/>
      <c r="R3556" s="28"/>
    </row>
    <row r="3557" spans="1:18" ht="30" customHeight="1" x14ac:dyDescent="0.45">
      <c r="A3557" s="85" t="s">
        <v>277</v>
      </c>
      <c r="B3557" s="987" t="s">
        <v>293</v>
      </c>
      <c r="C3557" s="988"/>
      <c r="D3557" s="989"/>
      <c r="E3557" s="220" t="s">
        <v>13</v>
      </c>
      <c r="F3557" s="220" t="s">
        <v>14</v>
      </c>
      <c r="G3557" s="990" t="s">
        <v>15</v>
      </c>
      <c r="H3557" s="991"/>
      <c r="I3557" s="19" t="s">
        <v>1316</v>
      </c>
      <c r="J3557" s="19" t="s">
        <v>278</v>
      </c>
      <c r="K3557" s="23" t="s">
        <v>17</v>
      </c>
      <c r="L3557" s="24"/>
      <c r="M3557" s="25"/>
      <c r="N3557" s="26"/>
      <c r="O3557" s="2"/>
      <c r="P3557" s="27"/>
      <c r="Q3557" s="26"/>
      <c r="R3557" s="28"/>
    </row>
    <row r="3558" spans="1:18" ht="30" customHeight="1" x14ac:dyDescent="0.45">
      <c r="A3558" s="85"/>
      <c r="B3558" s="1018" t="s">
        <v>1862</v>
      </c>
      <c r="C3558" s="1019"/>
      <c r="D3558" s="1020"/>
      <c r="E3558" s="220"/>
      <c r="F3558" s="220"/>
      <c r="G3558" s="98"/>
      <c r="H3558" s="99"/>
      <c r="I3558" s="58"/>
      <c r="J3558" s="460"/>
      <c r="K3558" s="220"/>
      <c r="L3558" s="220"/>
      <c r="M3558" s="25"/>
      <c r="N3558" s="26"/>
      <c r="O3558" s="2"/>
      <c r="P3558" s="27"/>
      <c r="Q3558" s="26"/>
      <c r="R3558" s="28"/>
    </row>
    <row r="3559" spans="1:18" ht="30" customHeight="1" x14ac:dyDescent="0.45">
      <c r="A3559" s="47" t="s">
        <v>617</v>
      </c>
      <c r="B3559" s="1008" t="s">
        <v>1863</v>
      </c>
      <c r="C3559" s="1009"/>
      <c r="D3559" s="1010"/>
      <c r="E3559" s="221">
        <f>+(83+102)/2</f>
        <v>92.5</v>
      </c>
      <c r="F3559" s="56" t="s">
        <v>35</v>
      </c>
      <c r="G3559" s="394">
        <v>13455</v>
      </c>
      <c r="H3559" s="223" t="s">
        <v>518</v>
      </c>
      <c r="I3559" s="221">
        <f>+E3559*G3559</f>
        <v>1244587.5</v>
      </c>
      <c r="J3559" s="47">
        <v>1.1100000000000001</v>
      </c>
      <c r="K3559" s="221">
        <f t="shared" ref="K3559:K3564" si="62">+J3559*G3559*E3559</f>
        <v>1381492.125</v>
      </c>
      <c r="L3559" s="56" t="s">
        <v>88</v>
      </c>
      <c r="M3559" s="25"/>
      <c r="N3559" s="26"/>
      <c r="O3559" s="2"/>
      <c r="P3559" s="27"/>
      <c r="Q3559" s="26"/>
      <c r="R3559" s="28"/>
    </row>
    <row r="3560" spans="1:18" ht="30" customHeight="1" x14ac:dyDescent="0.45">
      <c r="A3560" s="47"/>
      <c r="B3560" s="1008" t="s">
        <v>1864</v>
      </c>
      <c r="C3560" s="1009"/>
      <c r="D3560" s="1010"/>
      <c r="E3560" s="221">
        <f>-E3559*0.2</f>
        <v>-18.5</v>
      </c>
      <c r="F3560" s="56" t="s">
        <v>35</v>
      </c>
      <c r="G3560" s="394">
        <v>13455</v>
      </c>
      <c r="H3560" s="223" t="s">
        <v>518</v>
      </c>
      <c r="I3560" s="221">
        <f>+E3560*G3560</f>
        <v>-248917.5</v>
      </c>
      <c r="J3560" s="47">
        <v>1.1100000000000001</v>
      </c>
      <c r="K3560" s="221">
        <f t="shared" si="62"/>
        <v>-276298.42500000005</v>
      </c>
      <c r="L3560" s="56" t="s">
        <v>88</v>
      </c>
      <c r="M3560" s="25"/>
      <c r="N3560" s="26"/>
      <c r="O3560" s="2"/>
      <c r="P3560" s="27"/>
      <c r="Q3560" s="26"/>
      <c r="R3560" s="28"/>
    </row>
    <row r="3561" spans="1:18" ht="30" customHeight="1" x14ac:dyDescent="0.45">
      <c r="A3561" s="676" t="s">
        <v>646</v>
      </c>
      <c r="B3561" s="1008" t="s">
        <v>1865</v>
      </c>
      <c r="C3561" s="1009"/>
      <c r="D3561" s="1010"/>
      <c r="E3561" s="221">
        <f>+(5.87+8.77)/2</f>
        <v>7.32</v>
      </c>
      <c r="F3561" s="56" t="s">
        <v>35</v>
      </c>
      <c r="G3561" s="394">
        <v>11238</v>
      </c>
      <c r="H3561" s="223" t="s">
        <v>518</v>
      </c>
      <c r="I3561" s="58"/>
      <c r="J3561" s="47">
        <v>1.1100000000000001</v>
      </c>
      <c r="K3561" s="221">
        <f t="shared" si="62"/>
        <v>91310.997600000002</v>
      </c>
      <c r="L3561" s="56" t="s">
        <v>88</v>
      </c>
      <c r="M3561" s="25"/>
      <c r="N3561" s="26"/>
      <c r="O3561" s="2"/>
      <c r="P3561" s="27"/>
      <c r="Q3561" s="26"/>
      <c r="R3561" s="28"/>
    </row>
    <row r="3562" spans="1:18" ht="30" customHeight="1" x14ac:dyDescent="0.45">
      <c r="A3562" s="676" t="s">
        <v>646</v>
      </c>
      <c r="B3562" s="1008" t="s">
        <v>1866</v>
      </c>
      <c r="C3562" s="1009"/>
      <c r="D3562" s="1010"/>
      <c r="E3562" s="221">
        <f>+(0.53+1.39)/2</f>
        <v>0.96</v>
      </c>
      <c r="F3562" s="56" t="s">
        <v>35</v>
      </c>
      <c r="G3562" s="394">
        <v>11238</v>
      </c>
      <c r="H3562" s="223" t="s">
        <v>518</v>
      </c>
      <c r="I3562" s="58"/>
      <c r="J3562" s="47">
        <v>1.1100000000000001</v>
      </c>
      <c r="K3562" s="221">
        <f t="shared" si="62"/>
        <v>11975.212799999999</v>
      </c>
      <c r="L3562" s="56" t="s">
        <v>88</v>
      </c>
      <c r="M3562" s="25"/>
      <c r="N3562" s="26"/>
      <c r="O3562" s="2"/>
      <c r="P3562" s="27"/>
      <c r="Q3562" s="26"/>
      <c r="R3562" s="28"/>
    </row>
    <row r="3563" spans="1:18" ht="30" customHeight="1" x14ac:dyDescent="0.45">
      <c r="A3563" s="676" t="s">
        <v>1851</v>
      </c>
      <c r="B3563" s="1008" t="s">
        <v>1867</v>
      </c>
      <c r="C3563" s="1009"/>
      <c r="D3563" s="1010"/>
      <c r="E3563" s="221">
        <f>21.75+2.86</f>
        <v>24.61</v>
      </c>
      <c r="F3563" s="222" t="s">
        <v>113</v>
      </c>
      <c r="G3563" s="394">
        <v>650</v>
      </c>
      <c r="H3563" s="223" t="s">
        <v>1868</v>
      </c>
      <c r="I3563" s="58"/>
      <c r="J3563" s="47">
        <v>1.1100000000000001</v>
      </c>
      <c r="K3563" s="221">
        <f t="shared" si="62"/>
        <v>17756.115000000002</v>
      </c>
      <c r="L3563" s="47" t="s">
        <v>88</v>
      </c>
      <c r="M3563" s="25"/>
      <c r="N3563" s="26"/>
      <c r="O3563" s="2"/>
      <c r="P3563" s="27"/>
      <c r="Q3563" s="26"/>
      <c r="R3563" s="28"/>
    </row>
    <row r="3564" spans="1:18" ht="30" customHeight="1" x14ac:dyDescent="0.45">
      <c r="A3564" s="676" t="s">
        <v>1851</v>
      </c>
      <c r="B3564" s="1018" t="s">
        <v>1869</v>
      </c>
      <c r="C3564" s="1019"/>
      <c r="D3564" s="1020"/>
      <c r="E3564" s="221">
        <v>605</v>
      </c>
      <c r="F3564" s="222" t="s">
        <v>88</v>
      </c>
      <c r="G3564" s="394">
        <v>4</v>
      </c>
      <c r="H3564" s="349" t="s">
        <v>88</v>
      </c>
      <c r="I3564" s="58"/>
      <c r="J3564" s="47">
        <v>1.1100000000000001</v>
      </c>
      <c r="K3564" s="221">
        <f t="shared" si="62"/>
        <v>2686.2000000000003</v>
      </c>
      <c r="L3564" s="47" t="s">
        <v>88</v>
      </c>
      <c r="M3564" s="25"/>
      <c r="N3564" s="26"/>
      <c r="O3564" s="2"/>
      <c r="P3564" s="27"/>
      <c r="Q3564" s="26"/>
      <c r="R3564" s="28"/>
    </row>
    <row r="3565" spans="1:18" ht="30" customHeight="1" x14ac:dyDescent="0.45">
      <c r="A3565" s="426"/>
      <c r="B3565" s="1030"/>
      <c r="C3565" s="1030"/>
      <c r="D3565" s="1030"/>
      <c r="E3565" s="221"/>
      <c r="F3565" s="47"/>
      <c r="G3565" s="56"/>
      <c r="H3565" s="56"/>
      <c r="I3565" s="47"/>
      <c r="J3565" s="47" t="s">
        <v>38</v>
      </c>
      <c r="K3565" s="221">
        <f>SUM(K3559:K3564)</f>
        <v>1228922.2254000001</v>
      </c>
      <c r="L3565" s="47" t="s">
        <v>88</v>
      </c>
      <c r="M3565" s="25"/>
      <c r="N3565" s="26"/>
      <c r="O3565" s="2"/>
      <c r="P3565" s="27"/>
      <c r="Q3565" s="26"/>
      <c r="R3565" s="28"/>
    </row>
    <row r="3566" spans="1:18" ht="30" customHeight="1" x14ac:dyDescent="0.45">
      <c r="A3566" s="47"/>
      <c r="B3566" s="224"/>
      <c r="C3566" s="224"/>
      <c r="D3566" s="224"/>
      <c r="E3566" s="221"/>
      <c r="F3566" s="1011" t="s">
        <v>285</v>
      </c>
      <c r="G3566" s="1013" t="s">
        <v>286</v>
      </c>
      <c r="H3566" s="1013"/>
      <c r="I3566" s="1013"/>
      <c r="J3566" s="1013"/>
      <c r="K3566" s="278">
        <v>1.06</v>
      </c>
      <c r="L3566" s="47"/>
      <c r="M3566" s="25"/>
      <c r="N3566" s="26"/>
      <c r="O3566" s="2"/>
      <c r="P3566" s="27"/>
      <c r="Q3566" s="26"/>
      <c r="R3566" s="28"/>
    </row>
    <row r="3567" spans="1:18" ht="30" customHeight="1" x14ac:dyDescent="0.45">
      <c r="A3567" s="47"/>
      <c r="B3567" s="224"/>
      <c r="C3567" s="224"/>
      <c r="D3567" s="224"/>
      <c r="E3567" s="221"/>
      <c r="F3567" s="1012"/>
      <c r="G3567" s="1014" t="s">
        <v>287</v>
      </c>
      <c r="H3567" s="1014"/>
      <c r="I3567" s="1014"/>
      <c r="J3567" s="1014"/>
      <c r="K3567" s="278">
        <v>1.05</v>
      </c>
      <c r="L3567" s="47"/>
      <c r="M3567" s="25"/>
      <c r="N3567" s="26"/>
      <c r="O3567" s="2"/>
      <c r="P3567" s="27"/>
      <c r="Q3567" s="26"/>
      <c r="R3567" s="28"/>
    </row>
    <row r="3568" spans="1:18" ht="30" customHeight="1" x14ac:dyDescent="0.45">
      <c r="A3568" s="47"/>
      <c r="B3568" s="47"/>
      <c r="C3568" s="58"/>
      <c r="D3568" s="58"/>
      <c r="E3568" s="58"/>
      <c r="F3568" s="58"/>
      <c r="G3568" s="58"/>
      <c r="H3568" s="58"/>
      <c r="I3568" s="58"/>
      <c r="J3568" s="47" t="s">
        <v>39</v>
      </c>
      <c r="K3568" s="383">
        <f>+K3565*K3566/K3567</f>
        <v>1240626.2465942858</v>
      </c>
      <c r="L3568" s="47" t="s">
        <v>88</v>
      </c>
      <c r="N3568" s="26"/>
      <c r="O3568" s="2"/>
      <c r="P3568" s="27"/>
      <c r="Q3568" s="26"/>
      <c r="R3568" s="28"/>
    </row>
    <row r="3569" spans="1:18" ht="30" customHeight="1" thickBot="1" x14ac:dyDescent="0.5">
      <c r="A3569" s="47"/>
      <c r="B3569" s="47"/>
      <c r="C3569" s="58"/>
      <c r="D3569" s="58"/>
      <c r="E3569" s="58"/>
      <c r="F3569" s="58"/>
      <c r="G3569" s="1032" t="s">
        <v>288</v>
      </c>
      <c r="H3569" s="1033"/>
      <c r="I3569" s="1034"/>
      <c r="J3569" s="213">
        <f>VLOOKUP(B3556,'[1]Mil Cost Premiums for PUCs'!$A$4:$R$278,18,FALSE)</f>
        <v>1.1379589900046172</v>
      </c>
      <c r="K3569" s="216">
        <f>+K3568*J3569</f>
        <v>1411781.7905476526</v>
      </c>
      <c r="L3569" s="47" t="s">
        <v>88</v>
      </c>
      <c r="M3569" s="25"/>
      <c r="N3569" s="26"/>
      <c r="O3569" s="2"/>
      <c r="P3569" s="27"/>
      <c r="Q3569" s="26"/>
      <c r="R3569" s="28"/>
    </row>
    <row r="3570" spans="1:18" ht="30" customHeight="1" thickBot="1" x14ac:dyDescent="0.5">
      <c r="A3570" s="999"/>
      <c r="B3570" s="1000"/>
      <c r="C3570" s="1000"/>
      <c r="D3570" s="1000"/>
      <c r="E3570" s="1000"/>
      <c r="F3570" s="1000"/>
      <c r="G3570" s="1000"/>
      <c r="H3570" s="1000"/>
      <c r="I3570" s="1000"/>
      <c r="J3570" s="1000"/>
      <c r="K3570" s="1000"/>
      <c r="L3570" s="1001"/>
      <c r="M3570" s="25"/>
      <c r="N3570" s="26"/>
      <c r="O3570" s="2"/>
      <c r="P3570" s="27"/>
      <c r="Q3570" s="26"/>
      <c r="R3570" s="28"/>
    </row>
    <row r="3571" spans="1:18" ht="30" customHeight="1" x14ac:dyDescent="0.45">
      <c r="A3571" s="9" t="s">
        <v>4</v>
      </c>
      <c r="B3571" s="10">
        <v>7513</v>
      </c>
      <c r="C3571" s="983" t="s">
        <v>1870</v>
      </c>
      <c r="D3571" s="984"/>
      <c r="E3571" s="13" t="s">
        <v>7</v>
      </c>
      <c r="F3571" s="14" t="s">
        <v>88</v>
      </c>
      <c r="G3571" s="161" t="s">
        <v>148</v>
      </c>
      <c r="H3571" s="713">
        <v>1</v>
      </c>
      <c r="I3571" s="13" t="s">
        <v>9</v>
      </c>
      <c r="J3571" s="985" t="s">
        <v>276</v>
      </c>
      <c r="K3571" s="985"/>
      <c r="L3571" s="986"/>
      <c r="M3571" s="25"/>
      <c r="N3571" s="26"/>
      <c r="O3571" s="2"/>
      <c r="P3571" s="27"/>
      <c r="Q3571" s="26"/>
      <c r="R3571" s="28"/>
    </row>
    <row r="3572" spans="1:18" ht="30" customHeight="1" x14ac:dyDescent="0.45">
      <c r="A3572" s="85" t="s">
        <v>277</v>
      </c>
      <c r="B3572" s="987" t="s">
        <v>293</v>
      </c>
      <c r="C3572" s="988"/>
      <c r="D3572" s="989"/>
      <c r="E3572" s="220" t="s">
        <v>13</v>
      </c>
      <c r="F3572" s="220" t="s">
        <v>14</v>
      </c>
      <c r="G3572" s="990" t="s">
        <v>15</v>
      </c>
      <c r="H3572" s="991"/>
      <c r="I3572" s="19" t="s">
        <v>1316</v>
      </c>
      <c r="J3572" s="19" t="s">
        <v>278</v>
      </c>
      <c r="K3572" s="23" t="s">
        <v>17</v>
      </c>
      <c r="L3572" s="24"/>
      <c r="M3572" s="25"/>
      <c r="N3572" s="26"/>
      <c r="O3572" s="2"/>
      <c r="P3572" s="27"/>
      <c r="Q3572" s="26"/>
      <c r="R3572" s="28"/>
    </row>
    <row r="3573" spans="1:18" ht="30" customHeight="1" x14ac:dyDescent="0.45">
      <c r="A3573" s="85"/>
      <c r="B3573" s="197" t="s">
        <v>1871</v>
      </c>
      <c r="C3573" s="218"/>
      <c r="D3573" s="219"/>
      <c r="E3573" s="220"/>
      <c r="F3573" s="220"/>
      <c r="G3573" s="98"/>
      <c r="H3573" s="99"/>
      <c r="I3573" s="58"/>
      <c r="J3573" s="460"/>
      <c r="K3573" s="220"/>
      <c r="L3573" s="220"/>
      <c r="M3573" s="25"/>
      <c r="N3573" s="26"/>
      <c r="O3573" s="2"/>
      <c r="P3573" s="27"/>
      <c r="Q3573" s="26"/>
      <c r="R3573" s="28"/>
    </row>
    <row r="3574" spans="1:18" ht="30" customHeight="1" x14ac:dyDescent="0.45">
      <c r="A3574" s="426" t="s">
        <v>1872</v>
      </c>
      <c r="B3574" s="1008" t="s">
        <v>1873</v>
      </c>
      <c r="C3574" s="1009"/>
      <c r="D3574" s="1010"/>
      <c r="E3574" s="221">
        <f>+(136000+195000)/2</f>
        <v>165500</v>
      </c>
      <c r="F3574" s="56" t="s">
        <v>1874</v>
      </c>
      <c r="G3574" s="222">
        <v>18</v>
      </c>
      <c r="H3574" s="223" t="s">
        <v>1875</v>
      </c>
      <c r="I3574" s="58"/>
      <c r="J3574" s="365">
        <v>1.1100000000000001</v>
      </c>
      <c r="K3574" s="221">
        <f>+E3574*G3574*J3574</f>
        <v>3306690.0000000005</v>
      </c>
      <c r="L3574" s="47" t="s">
        <v>88</v>
      </c>
      <c r="M3574" s="25"/>
      <c r="N3574" s="26"/>
      <c r="O3574" s="2"/>
      <c r="P3574" s="27"/>
      <c r="Q3574" s="26"/>
      <c r="R3574" s="28"/>
    </row>
    <row r="3575" spans="1:18" ht="30" customHeight="1" x14ac:dyDescent="0.45">
      <c r="A3575" s="426" t="s">
        <v>1872</v>
      </c>
      <c r="B3575" s="1008" t="s">
        <v>1876</v>
      </c>
      <c r="C3575" s="1009"/>
      <c r="D3575" s="1010"/>
      <c r="E3575" s="221">
        <f>+(136000+195000)/2</f>
        <v>165500</v>
      </c>
      <c r="F3575" s="56" t="s">
        <v>1874</v>
      </c>
      <c r="G3575" s="222">
        <v>9</v>
      </c>
      <c r="H3575" s="223" t="s">
        <v>1875</v>
      </c>
      <c r="I3575" s="58"/>
      <c r="J3575" s="365">
        <v>1.1100000000000001</v>
      </c>
      <c r="K3575" s="221">
        <f>+E3575*G3575*J3575</f>
        <v>1653345.0000000002</v>
      </c>
      <c r="L3575" s="47" t="s">
        <v>88</v>
      </c>
      <c r="M3575" s="25"/>
      <c r="N3575" s="26"/>
      <c r="O3575" s="2"/>
      <c r="P3575" s="27"/>
      <c r="Q3575" s="26"/>
      <c r="R3575" s="28"/>
    </row>
    <row r="3576" spans="1:18" ht="30" customHeight="1" x14ac:dyDescent="0.45">
      <c r="A3576" s="426"/>
      <c r="B3576" s="47"/>
      <c r="C3576" s="58"/>
      <c r="D3576" s="58"/>
      <c r="E3576" s="221"/>
      <c r="F3576" s="47"/>
      <c r="G3576" s="47"/>
      <c r="H3576" s="47"/>
      <c r="I3576" s="47"/>
      <c r="J3576" s="47" t="s">
        <v>56</v>
      </c>
      <c r="K3576" s="221">
        <f>AVERAGE(K3574:K3575)</f>
        <v>2480017.5000000005</v>
      </c>
      <c r="L3576" s="47" t="s">
        <v>88</v>
      </c>
      <c r="N3576" s="26"/>
      <c r="O3576" s="2"/>
      <c r="P3576" s="27"/>
      <c r="Q3576" s="26"/>
      <c r="R3576" s="28"/>
    </row>
    <row r="3577" spans="1:18" ht="30" customHeight="1" x14ac:dyDescent="0.45">
      <c r="A3577" s="47"/>
      <c r="B3577" s="224"/>
      <c r="C3577" s="224"/>
      <c r="D3577" s="224"/>
      <c r="E3577" s="221"/>
      <c r="F3577" s="1011" t="s">
        <v>285</v>
      </c>
      <c r="G3577" s="1013" t="s">
        <v>286</v>
      </c>
      <c r="H3577" s="1013"/>
      <c r="I3577" s="1013"/>
      <c r="J3577" s="1013"/>
      <c r="K3577" s="278">
        <v>1.06</v>
      </c>
      <c r="L3577" s="47"/>
      <c r="M3577" s="25"/>
      <c r="N3577" s="26"/>
      <c r="O3577" s="2"/>
      <c r="P3577" s="27"/>
      <c r="Q3577" s="26"/>
      <c r="R3577" s="28"/>
    </row>
    <row r="3578" spans="1:18" ht="30" customHeight="1" x14ac:dyDescent="0.45">
      <c r="A3578" s="47"/>
      <c r="B3578" s="224"/>
      <c r="C3578" s="224"/>
      <c r="D3578" s="224"/>
      <c r="E3578" s="221"/>
      <c r="F3578" s="1012"/>
      <c r="G3578" s="1014" t="s">
        <v>287</v>
      </c>
      <c r="H3578" s="1014"/>
      <c r="I3578" s="1014"/>
      <c r="J3578" s="1014"/>
      <c r="K3578" s="278">
        <v>1.05</v>
      </c>
      <c r="L3578" s="47"/>
      <c r="M3578" s="25"/>
      <c r="N3578" s="26"/>
      <c r="O3578" s="2"/>
      <c r="P3578" s="27"/>
      <c r="Q3578" s="26"/>
      <c r="R3578" s="28"/>
    </row>
    <row r="3579" spans="1:18" ht="30" customHeight="1" x14ac:dyDescent="0.45">
      <c r="A3579" s="47"/>
      <c r="B3579" s="47"/>
      <c r="C3579" s="58"/>
      <c r="D3579" s="58"/>
      <c r="E3579" s="58"/>
      <c r="F3579" s="58"/>
      <c r="G3579" s="58"/>
      <c r="H3579" s="58"/>
      <c r="I3579" s="58"/>
      <c r="J3579" s="47" t="s">
        <v>39</v>
      </c>
      <c r="K3579" s="216">
        <f>+K3576*K3577/K3578</f>
        <v>2503636.714285715</v>
      </c>
      <c r="L3579" s="47" t="s">
        <v>88</v>
      </c>
      <c r="M3579" s="25"/>
      <c r="N3579" s="26"/>
      <c r="O3579" s="2"/>
      <c r="P3579" s="27"/>
      <c r="Q3579" s="26"/>
      <c r="R3579" s="28"/>
    </row>
    <row r="3580" spans="1:18" ht="30" customHeight="1" thickBot="1" x14ac:dyDescent="0.5">
      <c r="A3580" s="47"/>
      <c r="B3580" s="47"/>
      <c r="C3580" s="58"/>
      <c r="D3580" s="58"/>
      <c r="E3580" s="58"/>
      <c r="F3580" s="58"/>
      <c r="G3580" s="557" t="s">
        <v>288</v>
      </c>
      <c r="H3580" s="58"/>
      <c r="I3580" s="58"/>
      <c r="J3580" s="213">
        <f>VLOOKUP(B3571,'[1]Mil Cost Premiums for PUCs'!$A$4:$R$278,18,FALSE)</f>
        <v>1.1199953840399997</v>
      </c>
      <c r="K3580" s="216">
        <f>+K3579*J3580</f>
        <v>2804061.5633130721</v>
      </c>
      <c r="L3580" s="47" t="s">
        <v>88</v>
      </c>
      <c r="M3580" s="25"/>
      <c r="N3580" s="26"/>
      <c r="O3580" s="2"/>
      <c r="P3580" s="27"/>
      <c r="Q3580" s="26"/>
      <c r="R3580" s="28"/>
    </row>
    <row r="3581" spans="1:18" ht="30" customHeight="1" thickBot="1" x14ac:dyDescent="0.5">
      <c r="A3581" s="999"/>
      <c r="B3581" s="1000"/>
      <c r="C3581" s="1000"/>
      <c r="D3581" s="1000"/>
      <c r="E3581" s="1000"/>
      <c r="F3581" s="1000"/>
      <c r="G3581" s="1000"/>
      <c r="H3581" s="1000"/>
      <c r="I3581" s="1000"/>
      <c r="J3581" s="1000"/>
      <c r="K3581" s="1000"/>
      <c r="L3581" s="1001"/>
      <c r="M3581" s="25"/>
      <c r="N3581" s="26"/>
      <c r="O3581" s="2"/>
      <c r="P3581" s="27"/>
      <c r="Q3581" s="26"/>
      <c r="R3581" s="28"/>
    </row>
    <row r="3582" spans="1:18" ht="30" customHeight="1" x14ac:dyDescent="0.45">
      <c r="A3582" s="9" t="s">
        <v>4</v>
      </c>
      <c r="B3582" s="10">
        <v>7514</v>
      </c>
      <c r="C3582" s="983" t="s">
        <v>1877</v>
      </c>
      <c r="D3582" s="984"/>
      <c r="E3582" s="13" t="s">
        <v>7</v>
      </c>
      <c r="F3582" s="14" t="s">
        <v>88</v>
      </c>
      <c r="G3582" s="161" t="s">
        <v>148</v>
      </c>
      <c r="H3582" s="713">
        <v>1</v>
      </c>
      <c r="I3582" s="13" t="s">
        <v>9</v>
      </c>
      <c r="J3582" s="985" t="s">
        <v>575</v>
      </c>
      <c r="K3582" s="985"/>
      <c r="L3582" s="986"/>
      <c r="M3582" s="25"/>
      <c r="N3582" s="26"/>
      <c r="O3582" s="2"/>
      <c r="P3582" s="27"/>
      <c r="Q3582" s="26"/>
      <c r="R3582" s="28"/>
    </row>
    <row r="3583" spans="1:18" ht="30" customHeight="1" x14ac:dyDescent="0.45">
      <c r="A3583" s="85" t="s">
        <v>277</v>
      </c>
      <c r="B3583" s="987" t="s">
        <v>293</v>
      </c>
      <c r="C3583" s="988"/>
      <c r="D3583" s="989"/>
      <c r="E3583" s="220" t="s">
        <v>13</v>
      </c>
      <c r="F3583" s="220" t="s">
        <v>14</v>
      </c>
      <c r="G3583" s="1211" t="s">
        <v>15</v>
      </c>
      <c r="H3583" s="1212"/>
      <c r="I3583" s="19" t="s">
        <v>278</v>
      </c>
      <c r="J3583" s="19"/>
      <c r="K3583" s="23" t="s">
        <v>17</v>
      </c>
      <c r="L3583" s="24"/>
      <c r="M3583" s="25"/>
      <c r="N3583" s="26"/>
      <c r="O3583" s="2"/>
      <c r="P3583" s="27"/>
      <c r="Q3583" s="26"/>
      <c r="R3583" s="28"/>
    </row>
    <row r="3584" spans="1:18" ht="30" customHeight="1" x14ac:dyDescent="0.45">
      <c r="A3584" s="426" t="s">
        <v>1878</v>
      </c>
      <c r="B3584" s="1030" t="s">
        <v>1879</v>
      </c>
      <c r="C3584" s="1030"/>
      <c r="D3584" s="1030"/>
      <c r="E3584" s="221">
        <f>+(7600+11100)/2</f>
        <v>9350</v>
      </c>
      <c r="F3584" s="222" t="s">
        <v>1880</v>
      </c>
      <c r="G3584" s="222">
        <v>20</v>
      </c>
      <c r="H3584" s="351" t="s">
        <v>1881</v>
      </c>
      <c r="I3584" s="365">
        <v>1.02</v>
      </c>
      <c r="J3584" s="47"/>
      <c r="K3584" s="221">
        <f>+E3584*G3584*I3584</f>
        <v>190740</v>
      </c>
      <c r="L3584" s="47" t="s">
        <v>88</v>
      </c>
      <c r="N3584" s="26"/>
      <c r="O3584" s="2"/>
      <c r="P3584" s="27"/>
      <c r="Q3584" s="26"/>
      <c r="R3584" s="28"/>
    </row>
    <row r="3585" spans="1:18" ht="30" customHeight="1" x14ac:dyDescent="0.45">
      <c r="A3585" s="47"/>
      <c r="B3585" s="224"/>
      <c r="C3585" s="224"/>
      <c r="D3585" s="224"/>
      <c r="E3585" s="221"/>
      <c r="F3585" s="1011" t="s">
        <v>285</v>
      </c>
      <c r="G3585" s="1013" t="s">
        <v>286</v>
      </c>
      <c r="H3585" s="1013"/>
      <c r="I3585" s="1013"/>
      <c r="J3585" s="1013"/>
      <c r="K3585" s="278">
        <v>1.07</v>
      </c>
      <c r="L3585" s="47"/>
      <c r="M3585" s="25"/>
      <c r="N3585" s="26"/>
      <c r="O3585" s="2"/>
      <c r="P3585" s="27"/>
      <c r="Q3585" s="26"/>
      <c r="R3585" s="28"/>
    </row>
    <row r="3586" spans="1:18" ht="30" customHeight="1" x14ac:dyDescent="0.45">
      <c r="A3586" s="47"/>
      <c r="B3586" s="224"/>
      <c r="C3586" s="224"/>
      <c r="D3586" s="224"/>
      <c r="E3586" s="221"/>
      <c r="F3586" s="1012"/>
      <c r="G3586" s="1014" t="s">
        <v>580</v>
      </c>
      <c r="H3586" s="1014"/>
      <c r="I3586" s="1014"/>
      <c r="J3586" s="1014"/>
      <c r="K3586" s="278">
        <v>1.08</v>
      </c>
      <c r="L3586" s="47"/>
      <c r="M3586" s="25"/>
      <c r="N3586" s="26"/>
      <c r="O3586" s="2"/>
      <c r="P3586" s="27"/>
      <c r="Q3586" s="26"/>
      <c r="R3586" s="28"/>
    </row>
    <row r="3587" spans="1:18" ht="30" customHeight="1" x14ac:dyDescent="0.45">
      <c r="A3587" s="47"/>
      <c r="B3587" s="47"/>
      <c r="C3587" s="58"/>
      <c r="D3587" s="58"/>
      <c r="E3587" s="58"/>
      <c r="F3587" s="58"/>
      <c r="G3587" s="58"/>
      <c r="H3587" s="58"/>
      <c r="I3587" s="58"/>
      <c r="J3587" s="47" t="s">
        <v>39</v>
      </c>
      <c r="K3587" s="216">
        <f>+K3584*K3585/K3586</f>
        <v>188973.88888888891</v>
      </c>
      <c r="L3587" s="47" t="s">
        <v>88</v>
      </c>
      <c r="M3587" s="25"/>
      <c r="N3587" s="26"/>
      <c r="O3587" s="2"/>
      <c r="P3587" s="27"/>
      <c r="Q3587" s="26"/>
      <c r="R3587" s="28"/>
    </row>
    <row r="3588" spans="1:18" ht="30" customHeight="1" x14ac:dyDescent="0.45">
      <c r="A3588" s="47"/>
      <c r="B3588" s="47"/>
      <c r="C3588" s="58"/>
      <c r="D3588" s="58"/>
      <c r="E3588" s="58"/>
      <c r="F3588" s="58"/>
      <c r="G3588" s="1021" t="s">
        <v>288</v>
      </c>
      <c r="H3588" s="1022"/>
      <c r="I3588" s="1023"/>
      <c r="J3588" s="213">
        <f>VLOOKUP(B3582,'[1]Mil Cost Premiums for PUCs'!$A$4:$R$278,18,FALSE)</f>
        <v>1.1199953840399997</v>
      </c>
      <c r="K3588" s="216">
        <f>+K3587*J3588</f>
        <v>211649.88325964336</v>
      </c>
      <c r="L3588" s="47" t="s">
        <v>88</v>
      </c>
      <c r="M3588" s="121"/>
      <c r="N3588" s="26"/>
      <c r="O3588" s="2"/>
      <c r="P3588" s="27"/>
      <c r="Q3588" s="26"/>
      <c r="R3588" s="28"/>
    </row>
    <row r="3589" spans="1:18" ht="30" customHeight="1" x14ac:dyDescent="0.45">
      <c r="A3589" s="541"/>
      <c r="B3589" s="541"/>
      <c r="C3589" s="542"/>
      <c r="D3589" s="542"/>
      <c r="E3589" s="552"/>
      <c r="F3589" s="1024" t="s">
        <v>581</v>
      </c>
      <c r="G3589" s="1024"/>
      <c r="H3589" s="1024"/>
      <c r="I3589" s="1024"/>
      <c r="J3589" s="543">
        <v>1.0833999999999999</v>
      </c>
      <c r="K3589" s="363">
        <f>K3588*J3589</f>
        <v>229301.48352349759</v>
      </c>
      <c r="L3589" s="47" t="s">
        <v>88</v>
      </c>
      <c r="M3589" s="25"/>
      <c r="N3589" s="26"/>
      <c r="O3589" s="2"/>
      <c r="P3589" s="27"/>
      <c r="Q3589" s="26"/>
      <c r="R3589" s="28"/>
    </row>
    <row r="3590" spans="1:18" ht="30" customHeight="1" thickBot="1" x14ac:dyDescent="0.5">
      <c r="A3590" s="225"/>
      <c r="B3590" s="225"/>
      <c r="C3590" s="150"/>
      <c r="D3590" s="150"/>
      <c r="E3590" s="150"/>
      <c r="F3590" s="150"/>
      <c r="G3590" s="1025" t="s">
        <v>299</v>
      </c>
      <c r="H3590" s="1026"/>
      <c r="I3590" s="1027"/>
      <c r="J3590" s="226">
        <v>1.1214</v>
      </c>
      <c r="K3590" s="227">
        <f>+K3589*J3590</f>
        <v>257138.6836232502</v>
      </c>
      <c r="L3590" s="47" t="s">
        <v>88</v>
      </c>
      <c r="M3590" s="25"/>
    </row>
    <row r="3591" spans="1:18" ht="30" customHeight="1" thickBot="1" x14ac:dyDescent="0.5">
      <c r="A3591" s="999"/>
      <c r="B3591" s="1000"/>
      <c r="C3591" s="1000"/>
      <c r="D3591" s="1000"/>
      <c r="E3591" s="1000"/>
      <c r="F3591" s="1000"/>
      <c r="G3591" s="1000"/>
      <c r="H3591" s="1000"/>
      <c r="I3591" s="1000"/>
      <c r="J3591" s="1000"/>
      <c r="K3591" s="1000"/>
      <c r="L3591" s="1001"/>
      <c r="M3591" s="25"/>
      <c r="N3591" s="26"/>
      <c r="O3591" s="2"/>
      <c r="P3591" s="27"/>
      <c r="Q3591" s="26"/>
      <c r="R3591" s="28"/>
    </row>
    <row r="3592" spans="1:18" ht="30" customHeight="1" x14ac:dyDescent="0.45">
      <c r="A3592" s="9" t="s">
        <v>4</v>
      </c>
      <c r="B3592" s="10">
        <v>7515</v>
      </c>
      <c r="C3592" s="983" t="s">
        <v>1882</v>
      </c>
      <c r="D3592" s="984"/>
      <c r="E3592" s="13" t="s">
        <v>7</v>
      </c>
      <c r="F3592" s="14" t="s">
        <v>88</v>
      </c>
      <c r="G3592" s="161" t="s">
        <v>148</v>
      </c>
      <c r="H3592" s="713">
        <v>1</v>
      </c>
      <c r="I3592" s="13" t="s">
        <v>9</v>
      </c>
      <c r="J3592" s="985" t="s">
        <v>575</v>
      </c>
      <c r="K3592" s="985"/>
      <c r="L3592" s="986"/>
      <c r="M3592" s="25"/>
      <c r="N3592" s="26"/>
      <c r="O3592" s="2"/>
      <c r="P3592" s="27"/>
      <c r="Q3592" s="26"/>
      <c r="R3592" s="28"/>
    </row>
    <row r="3593" spans="1:18" ht="30" customHeight="1" x14ac:dyDescent="0.45">
      <c r="A3593" s="85" t="s">
        <v>277</v>
      </c>
      <c r="B3593" s="987" t="s">
        <v>293</v>
      </c>
      <c r="C3593" s="988"/>
      <c r="D3593" s="989"/>
      <c r="E3593" s="220" t="s">
        <v>13</v>
      </c>
      <c r="F3593" s="220" t="s">
        <v>14</v>
      </c>
      <c r="G3593" s="990" t="s">
        <v>15</v>
      </c>
      <c r="H3593" s="991"/>
      <c r="I3593" s="19" t="s">
        <v>278</v>
      </c>
      <c r="J3593" s="19"/>
      <c r="K3593" s="23" t="s">
        <v>17</v>
      </c>
      <c r="L3593" s="24"/>
      <c r="M3593" s="25"/>
      <c r="N3593" s="26"/>
      <c r="O3593" s="2"/>
      <c r="P3593" s="27"/>
      <c r="Q3593" s="26"/>
      <c r="R3593" s="28"/>
    </row>
    <row r="3594" spans="1:18" ht="30" customHeight="1" x14ac:dyDescent="0.45">
      <c r="A3594" s="426" t="s">
        <v>1878</v>
      </c>
      <c r="B3594" s="1008" t="s">
        <v>1883</v>
      </c>
      <c r="C3594" s="1009"/>
      <c r="D3594" s="1010"/>
      <c r="E3594" s="221">
        <f>+(41600+58750)/2</f>
        <v>50175</v>
      </c>
      <c r="F3594" s="56" t="s">
        <v>1874</v>
      </c>
      <c r="G3594" s="222">
        <v>9</v>
      </c>
      <c r="H3594" s="223" t="s">
        <v>1875</v>
      </c>
      <c r="I3594" s="365">
        <v>1.02</v>
      </c>
      <c r="J3594" s="47"/>
      <c r="K3594" s="221">
        <f>+E3594*G3594*I3594</f>
        <v>460606.5</v>
      </c>
      <c r="L3594" s="47" t="s">
        <v>88</v>
      </c>
      <c r="M3594" s="84"/>
      <c r="N3594" s="26"/>
      <c r="O3594" s="2"/>
      <c r="P3594" s="27"/>
      <c r="Q3594" s="26"/>
      <c r="R3594" s="28"/>
    </row>
    <row r="3595" spans="1:18" ht="30" customHeight="1" x14ac:dyDescent="0.45">
      <c r="A3595" s="47"/>
      <c r="B3595" s="224"/>
      <c r="C3595" s="224"/>
      <c r="D3595" s="224"/>
      <c r="E3595" s="221"/>
      <c r="F3595" s="1011" t="s">
        <v>285</v>
      </c>
      <c r="G3595" s="1013" t="s">
        <v>286</v>
      </c>
      <c r="H3595" s="1013"/>
      <c r="I3595" s="1013"/>
      <c r="J3595" s="1013"/>
      <c r="K3595" s="278">
        <v>1.07</v>
      </c>
      <c r="L3595" s="47"/>
      <c r="M3595" s="25"/>
      <c r="N3595" s="26"/>
      <c r="O3595" s="2"/>
      <c r="P3595" s="27"/>
      <c r="Q3595" s="26"/>
      <c r="R3595" s="28"/>
    </row>
    <row r="3596" spans="1:18" ht="30" customHeight="1" x14ac:dyDescent="0.45">
      <c r="A3596" s="47"/>
      <c r="B3596" s="224"/>
      <c r="C3596" s="224"/>
      <c r="D3596" s="224"/>
      <c r="E3596" s="221"/>
      <c r="F3596" s="1012"/>
      <c r="G3596" s="1014" t="s">
        <v>580</v>
      </c>
      <c r="H3596" s="1014"/>
      <c r="I3596" s="1014"/>
      <c r="J3596" s="1014"/>
      <c r="K3596" s="278">
        <v>1.08</v>
      </c>
      <c r="L3596" s="47"/>
      <c r="M3596" s="25"/>
      <c r="N3596" s="26"/>
      <c r="O3596" s="2"/>
      <c r="P3596" s="27"/>
      <c r="Q3596" s="26"/>
      <c r="R3596" s="28"/>
    </row>
    <row r="3597" spans="1:18" ht="30" customHeight="1" x14ac:dyDescent="0.45">
      <c r="A3597" s="426"/>
      <c r="B3597" s="222"/>
      <c r="C3597" s="515"/>
      <c r="D3597" s="524"/>
      <c r="E3597" s="221"/>
      <c r="F3597" s="348"/>
      <c r="G3597" s="222"/>
      <c r="H3597" s="223"/>
      <c r="I3597" s="223"/>
      <c r="J3597" s="47" t="s">
        <v>39</v>
      </c>
      <c r="K3597" s="216">
        <f>+K3594*K3595/K3596</f>
        <v>456341.625</v>
      </c>
      <c r="L3597" s="47" t="s">
        <v>88</v>
      </c>
      <c r="M3597" s="25"/>
      <c r="N3597" s="26"/>
      <c r="O3597" s="2"/>
      <c r="P3597" s="27"/>
      <c r="Q3597" s="26"/>
      <c r="R3597" s="28"/>
    </row>
    <row r="3598" spans="1:18" ht="30" customHeight="1" x14ac:dyDescent="0.45">
      <c r="A3598" s="47"/>
      <c r="B3598" s="47"/>
      <c r="C3598" s="58"/>
      <c r="D3598" s="58"/>
      <c r="E3598" s="58"/>
      <c r="F3598" s="58"/>
      <c r="G3598" s="1021" t="s">
        <v>288</v>
      </c>
      <c r="H3598" s="1022"/>
      <c r="I3598" s="1023"/>
      <c r="J3598" s="213">
        <f>VLOOKUP(B3592,'[1]Mil Cost Premiums for PUCs'!$A$4:$R$278,18,FALSE)</f>
        <v>1.0905505199999999</v>
      </c>
      <c r="K3598" s="216">
        <f>+K3597*J3598</f>
        <v>497663.59644139494</v>
      </c>
      <c r="L3598" s="47" t="s">
        <v>88</v>
      </c>
      <c r="M3598" s="25"/>
      <c r="N3598" s="26"/>
      <c r="O3598" s="2"/>
      <c r="P3598" s="27"/>
      <c r="Q3598" s="26"/>
      <c r="R3598" s="28"/>
    </row>
    <row r="3599" spans="1:18" ht="30" customHeight="1" x14ac:dyDescent="0.45">
      <c r="A3599" s="541"/>
      <c r="B3599" s="541"/>
      <c r="C3599" s="542"/>
      <c r="D3599" s="542"/>
      <c r="E3599" s="552"/>
      <c r="F3599" s="1024" t="s">
        <v>581</v>
      </c>
      <c r="G3599" s="1024"/>
      <c r="H3599" s="1024"/>
      <c r="I3599" s="1024"/>
      <c r="J3599" s="543">
        <v>1.0833999999999999</v>
      </c>
      <c r="K3599" s="363">
        <f>K3598*J3599</f>
        <v>539168.74038460723</v>
      </c>
      <c r="L3599" s="47" t="s">
        <v>88</v>
      </c>
      <c r="N3599" s="26"/>
      <c r="O3599" s="2"/>
      <c r="P3599" s="27"/>
      <c r="Q3599" s="26"/>
      <c r="R3599" s="28"/>
    </row>
    <row r="3600" spans="1:18" ht="30" customHeight="1" thickBot="1" x14ac:dyDescent="0.5">
      <c r="A3600" s="225"/>
      <c r="B3600" s="225"/>
      <c r="C3600" s="150"/>
      <c r="D3600" s="150"/>
      <c r="E3600" s="150"/>
      <c r="F3600" s="150"/>
      <c r="G3600" s="1025" t="s">
        <v>299</v>
      </c>
      <c r="H3600" s="1026"/>
      <c r="I3600" s="1027"/>
      <c r="J3600" s="226">
        <v>1.1214</v>
      </c>
      <c r="K3600" s="227">
        <f>+K3599*J3600</f>
        <v>604623.82546729851</v>
      </c>
      <c r="L3600" s="47" t="s">
        <v>88</v>
      </c>
      <c r="M3600" s="25"/>
    </row>
    <row r="3601" spans="1:18" ht="30" customHeight="1" thickBot="1" x14ac:dyDescent="0.5">
      <c r="A3601" s="999"/>
      <c r="B3601" s="1000"/>
      <c r="C3601" s="1000"/>
      <c r="D3601" s="1000"/>
      <c r="E3601" s="1000"/>
      <c r="F3601" s="1000"/>
      <c r="G3601" s="1000"/>
      <c r="H3601" s="1000"/>
      <c r="I3601" s="1000"/>
      <c r="J3601" s="1000"/>
      <c r="K3601" s="1000"/>
      <c r="L3601" s="1001"/>
      <c r="M3601" s="25"/>
      <c r="N3601" s="26"/>
      <c r="O3601" s="2"/>
      <c r="P3601" s="27"/>
      <c r="Q3601" s="26"/>
      <c r="R3601" s="28"/>
    </row>
    <row r="3602" spans="1:18" ht="30" customHeight="1" x14ac:dyDescent="0.45">
      <c r="A3602" s="9" t="s">
        <v>4</v>
      </c>
      <c r="B3602" s="10">
        <v>7516</v>
      </c>
      <c r="C3602" s="1002" t="s">
        <v>1884</v>
      </c>
      <c r="D3602" s="1003"/>
      <c r="E3602" s="11" t="s">
        <v>148</v>
      </c>
      <c r="F3602" s="12">
        <v>1</v>
      </c>
      <c r="G3602" s="13" t="s">
        <v>7</v>
      </c>
      <c r="H3602" s="14" t="s">
        <v>88</v>
      </c>
      <c r="I3602" s="13" t="s">
        <v>9</v>
      </c>
      <c r="J3602" s="1155" t="s">
        <v>1885</v>
      </c>
      <c r="K3602" s="1156"/>
      <c r="L3602" s="1127"/>
      <c r="M3602" s="25"/>
      <c r="N3602" s="26"/>
      <c r="O3602" s="2"/>
      <c r="P3602" s="27"/>
      <c r="Q3602" s="26"/>
      <c r="R3602" s="28"/>
    </row>
    <row r="3603" spans="1:18" ht="30" customHeight="1" x14ac:dyDescent="0.45">
      <c r="A3603" s="19"/>
      <c r="B3603" s="1005" t="s">
        <v>12</v>
      </c>
      <c r="C3603" s="1005"/>
      <c r="D3603" s="1005"/>
      <c r="E3603" s="19" t="s">
        <v>13</v>
      </c>
      <c r="F3603" s="19" t="s">
        <v>14</v>
      </c>
      <c r="G3603" s="990" t="s">
        <v>15</v>
      </c>
      <c r="H3603" s="991"/>
      <c r="I3603" s="19" t="s">
        <v>59</v>
      </c>
      <c r="J3603" s="19" t="s">
        <v>60</v>
      </c>
      <c r="K3603" s="992" t="s">
        <v>39</v>
      </c>
      <c r="L3603" s="993"/>
      <c r="M3603" s="25"/>
      <c r="N3603" s="26"/>
      <c r="O3603" s="2"/>
      <c r="P3603" s="27"/>
      <c r="Q3603" s="26"/>
      <c r="R3603" s="28"/>
    </row>
    <row r="3604" spans="1:18" ht="30" customHeight="1" thickBot="1" x14ac:dyDescent="0.5">
      <c r="A3604" s="38"/>
      <c r="B3604" s="1065" t="s">
        <v>1886</v>
      </c>
      <c r="C3604" s="1065"/>
      <c r="D3604" s="1065"/>
      <c r="E3604" s="104">
        <v>23144.771706</v>
      </c>
      <c r="F3604" s="105" t="s">
        <v>88</v>
      </c>
      <c r="G3604" s="1084"/>
      <c r="H3604" s="1085"/>
      <c r="I3604" s="105"/>
      <c r="J3604" s="731">
        <f>+'[1]2023 MILCON Inflation Table'!F18</f>
        <v>1.1214155171577724</v>
      </c>
      <c r="K3604" s="108">
        <f>E3604*J3604</f>
        <v>25954.906132182568</v>
      </c>
      <c r="L3604" s="105" t="s">
        <v>88</v>
      </c>
      <c r="M3604" s="25"/>
      <c r="N3604" s="26"/>
      <c r="O3604" s="2"/>
      <c r="P3604" s="27"/>
      <c r="Q3604" s="26"/>
      <c r="R3604" s="28"/>
    </row>
    <row r="3605" spans="1:18" ht="30" customHeight="1" thickBot="1" x14ac:dyDescent="0.5">
      <c r="A3605" s="999"/>
      <c r="B3605" s="1000"/>
      <c r="C3605" s="1000"/>
      <c r="D3605" s="1000"/>
      <c r="E3605" s="1000"/>
      <c r="F3605" s="1000"/>
      <c r="G3605" s="1000"/>
      <c r="H3605" s="1000"/>
      <c r="I3605" s="1000"/>
      <c r="J3605" s="1000"/>
      <c r="K3605" s="1000"/>
      <c r="L3605" s="1001"/>
      <c r="M3605" s="25"/>
      <c r="N3605" s="26"/>
      <c r="O3605" s="2"/>
      <c r="P3605" s="27"/>
      <c r="Q3605" s="26"/>
      <c r="R3605" s="28"/>
    </row>
    <row r="3606" spans="1:18" ht="30" customHeight="1" x14ac:dyDescent="0.45">
      <c r="A3606" s="9" t="s">
        <v>4</v>
      </c>
      <c r="B3606" s="10">
        <v>7517</v>
      </c>
      <c r="C3606" s="983" t="s">
        <v>1887</v>
      </c>
      <c r="D3606" s="984"/>
      <c r="E3606" s="13" t="s">
        <v>7</v>
      </c>
      <c r="F3606" s="14" t="s">
        <v>88</v>
      </c>
      <c r="G3606" s="161" t="s">
        <v>148</v>
      </c>
      <c r="H3606" s="713">
        <v>1</v>
      </c>
      <c r="I3606" s="13" t="s">
        <v>9</v>
      </c>
      <c r="J3606" s="985" t="s">
        <v>575</v>
      </c>
      <c r="K3606" s="985"/>
      <c r="L3606" s="986"/>
      <c r="M3606" s="25"/>
      <c r="N3606" s="26"/>
      <c r="O3606" s="2"/>
      <c r="P3606" s="27"/>
      <c r="Q3606" s="26"/>
      <c r="R3606" s="28"/>
    </row>
    <row r="3607" spans="1:18" ht="30" customHeight="1" x14ac:dyDescent="0.45">
      <c r="A3607" s="85" t="s">
        <v>277</v>
      </c>
      <c r="B3607" s="987" t="s">
        <v>293</v>
      </c>
      <c r="C3607" s="988"/>
      <c r="D3607" s="989"/>
      <c r="E3607" s="220" t="s">
        <v>13</v>
      </c>
      <c r="F3607" s="220" t="s">
        <v>14</v>
      </c>
      <c r="G3607" s="990" t="s">
        <v>15</v>
      </c>
      <c r="H3607" s="991"/>
      <c r="I3607" s="19" t="s">
        <v>278</v>
      </c>
      <c r="J3607" s="19"/>
      <c r="K3607" s="23" t="s">
        <v>17</v>
      </c>
      <c r="L3607" s="24"/>
      <c r="M3607" s="25"/>
      <c r="N3607" s="26"/>
      <c r="O3607" s="2"/>
      <c r="P3607" s="27"/>
      <c r="Q3607" s="26"/>
      <c r="R3607" s="28"/>
    </row>
    <row r="3608" spans="1:18" ht="30" customHeight="1" x14ac:dyDescent="0.45">
      <c r="A3608" s="85"/>
      <c r="B3608" s="1008" t="s">
        <v>1888</v>
      </c>
      <c r="C3608" s="1009"/>
      <c r="D3608" s="1010"/>
      <c r="E3608" s="220"/>
      <c r="F3608" s="220"/>
      <c r="G3608" s="98"/>
      <c r="H3608" s="99"/>
      <c r="I3608" s="460"/>
      <c r="J3608" s="460"/>
      <c r="K3608" s="220"/>
      <c r="L3608" s="220"/>
      <c r="M3608" s="25"/>
      <c r="N3608" s="26"/>
      <c r="O3608" s="2"/>
      <c r="P3608" s="27"/>
      <c r="Q3608" s="26"/>
      <c r="R3608" s="28"/>
    </row>
    <row r="3609" spans="1:18" ht="30" customHeight="1" x14ac:dyDescent="0.45">
      <c r="A3609" s="426" t="s">
        <v>279</v>
      </c>
      <c r="B3609" s="1018" t="s">
        <v>1889</v>
      </c>
      <c r="C3609" s="1019"/>
      <c r="D3609" s="1020"/>
      <c r="E3609" s="221">
        <f>+(29+46.25)/2</f>
        <v>37.625</v>
      </c>
      <c r="F3609" s="56" t="s">
        <v>35</v>
      </c>
      <c r="G3609" s="222">
        <v>240</v>
      </c>
      <c r="H3609" s="223" t="s">
        <v>518</v>
      </c>
      <c r="I3609" s="365">
        <v>1.02</v>
      </c>
      <c r="J3609" s="47"/>
      <c r="K3609" s="221">
        <f>+E3609*G3609*I3609</f>
        <v>9210.6</v>
      </c>
      <c r="L3609" s="47" t="s">
        <v>88</v>
      </c>
      <c r="M3609" s="25"/>
      <c r="N3609" s="26"/>
      <c r="O3609" s="2"/>
      <c r="P3609" s="27"/>
      <c r="Q3609" s="26"/>
      <c r="R3609" s="28"/>
    </row>
    <row r="3610" spans="1:18" ht="30" customHeight="1" x14ac:dyDescent="0.45">
      <c r="A3610" s="47"/>
      <c r="B3610" s="536"/>
      <c r="C3610" s="536"/>
      <c r="D3610" s="536"/>
      <c r="E3610" s="221"/>
      <c r="F3610" s="1011" t="s">
        <v>285</v>
      </c>
      <c r="G3610" s="1013" t="s">
        <v>286</v>
      </c>
      <c r="H3610" s="1013"/>
      <c r="I3610" s="1013"/>
      <c r="J3610" s="1013"/>
      <c r="K3610" s="278">
        <v>1.07</v>
      </c>
      <c r="L3610" s="47"/>
      <c r="N3610" s="477"/>
      <c r="O3610" s="2"/>
      <c r="P3610" s="27"/>
      <c r="Q3610" s="26"/>
      <c r="R3610" s="28"/>
    </row>
    <row r="3611" spans="1:18" ht="30" customHeight="1" x14ac:dyDescent="0.45">
      <c r="A3611" s="222"/>
      <c r="B3611" s="547"/>
      <c r="C3611" s="547"/>
      <c r="D3611" s="547"/>
      <c r="E3611" s="352"/>
      <c r="F3611" s="1012"/>
      <c r="G3611" s="1014" t="s">
        <v>580</v>
      </c>
      <c r="H3611" s="1014"/>
      <c r="I3611" s="1014"/>
      <c r="J3611" s="1014"/>
      <c r="K3611" s="278">
        <v>1.08</v>
      </c>
      <c r="L3611" s="47"/>
      <c r="M3611" s="25"/>
      <c r="N3611" s="26"/>
      <c r="O3611" s="2"/>
      <c r="P3611" s="27"/>
      <c r="Q3611" s="26"/>
      <c r="R3611" s="28"/>
    </row>
    <row r="3612" spans="1:18" ht="30" customHeight="1" x14ac:dyDescent="0.45">
      <c r="A3612" s="732"/>
      <c r="B3612" s="531"/>
      <c r="C3612" s="538"/>
      <c r="D3612" s="538"/>
      <c r="E3612" s="352"/>
      <c r="F3612" s="348"/>
      <c r="G3612" s="222"/>
      <c r="H3612" s="223"/>
      <c r="I3612" s="223"/>
      <c r="J3612" s="47" t="s">
        <v>39</v>
      </c>
      <c r="K3612" s="216">
        <f>+K3609*K3610/K3611</f>
        <v>9125.3166666666657</v>
      </c>
      <c r="L3612" s="47" t="s">
        <v>88</v>
      </c>
      <c r="M3612" s="25"/>
      <c r="N3612" s="477"/>
      <c r="O3612" s="2"/>
      <c r="P3612" s="27"/>
      <c r="Q3612" s="26"/>
      <c r="R3612" s="28"/>
    </row>
    <row r="3613" spans="1:18" ht="30" customHeight="1" x14ac:dyDescent="0.45">
      <c r="A3613" s="222"/>
      <c r="B3613" s="531"/>
      <c r="C3613" s="538"/>
      <c r="D3613" s="538"/>
      <c r="E3613" s="524"/>
      <c r="F3613" s="58"/>
      <c r="G3613" s="1021" t="s">
        <v>288</v>
      </c>
      <c r="H3613" s="1022"/>
      <c r="I3613" s="1023"/>
      <c r="J3613" s="447">
        <f>VLOOKUP(B3606,'[1]Mil Cost Premiums for PUCs'!$A$4:$R$278,18,FALSE)</f>
        <v>1.0209999999999999</v>
      </c>
      <c r="K3613" s="216">
        <f>+K3612*J3613</f>
        <v>9316.9483166666651</v>
      </c>
      <c r="L3613" s="47" t="s">
        <v>88</v>
      </c>
      <c r="M3613" s="25"/>
      <c r="N3613" s="26"/>
      <c r="O3613" s="2"/>
      <c r="P3613" s="27"/>
      <c r="Q3613" s="26"/>
      <c r="R3613" s="28"/>
    </row>
    <row r="3614" spans="1:18" ht="30" customHeight="1" x14ac:dyDescent="0.45">
      <c r="A3614" s="541"/>
      <c r="B3614" s="545"/>
      <c r="C3614" s="546"/>
      <c r="D3614" s="546"/>
      <c r="E3614" s="552"/>
      <c r="F3614" s="1024" t="s">
        <v>581</v>
      </c>
      <c r="G3614" s="1024"/>
      <c r="H3614" s="1024"/>
      <c r="I3614" s="1024"/>
      <c r="J3614" s="731">
        <v>1.0833999999999999</v>
      </c>
      <c r="K3614" s="363">
        <f>K3613*J3614</f>
        <v>10093.981806276664</v>
      </c>
      <c r="L3614" s="47" t="s">
        <v>88</v>
      </c>
      <c r="M3614" s="25"/>
      <c r="N3614" s="26"/>
      <c r="O3614" s="2"/>
      <c r="P3614" s="27"/>
      <c r="Q3614" s="26"/>
      <c r="R3614" s="28"/>
    </row>
    <row r="3615" spans="1:18" ht="30" customHeight="1" thickBot="1" x14ac:dyDescent="0.5">
      <c r="A3615" s="225"/>
      <c r="B3615" s="225"/>
      <c r="C3615" s="150"/>
      <c r="D3615" s="150"/>
      <c r="E3615" s="150"/>
      <c r="F3615" s="150"/>
      <c r="G3615" s="1025" t="s">
        <v>299</v>
      </c>
      <c r="H3615" s="1026"/>
      <c r="I3615" s="1027"/>
      <c r="J3615" s="733">
        <v>1.1214</v>
      </c>
      <c r="K3615" s="227">
        <f>+K3614*J3615</f>
        <v>11319.391197558651</v>
      </c>
      <c r="L3615" s="47" t="s">
        <v>88</v>
      </c>
      <c r="M3615" s="25"/>
    </row>
    <row r="3616" spans="1:18" ht="30" customHeight="1" thickBot="1" x14ac:dyDescent="0.5">
      <c r="A3616" s="999"/>
      <c r="B3616" s="1000"/>
      <c r="C3616" s="1000"/>
      <c r="D3616" s="1000"/>
      <c r="E3616" s="1000"/>
      <c r="F3616" s="1000"/>
      <c r="G3616" s="1000"/>
      <c r="H3616" s="1000"/>
      <c r="I3616" s="1000"/>
      <c r="J3616" s="1000"/>
      <c r="K3616" s="1000"/>
      <c r="L3616" s="1001"/>
      <c r="M3616" s="25"/>
      <c r="N3616" s="26"/>
      <c r="O3616" s="2"/>
      <c r="P3616" s="27"/>
      <c r="Q3616" s="26"/>
      <c r="R3616" s="28"/>
    </row>
    <row r="3617" spans="1:18" ht="30" customHeight="1" x14ac:dyDescent="0.45">
      <c r="A3617" s="9" t="s">
        <v>4</v>
      </c>
      <c r="B3617" s="10">
        <v>7518</v>
      </c>
      <c r="C3617" s="983" t="s">
        <v>1890</v>
      </c>
      <c r="D3617" s="984"/>
      <c r="E3617" s="13" t="s">
        <v>7</v>
      </c>
      <c r="F3617" s="14" t="s">
        <v>88</v>
      </c>
      <c r="G3617" s="161" t="s">
        <v>148</v>
      </c>
      <c r="H3617" s="713">
        <v>1</v>
      </c>
      <c r="I3617" s="13" t="s">
        <v>9</v>
      </c>
      <c r="J3617" s="985" t="s">
        <v>575</v>
      </c>
      <c r="K3617" s="985"/>
      <c r="L3617" s="986"/>
      <c r="M3617" s="25"/>
      <c r="N3617" s="26"/>
      <c r="O3617" s="2"/>
      <c r="P3617" s="27"/>
      <c r="Q3617" s="26"/>
      <c r="R3617" s="28"/>
    </row>
    <row r="3618" spans="1:18" ht="30" customHeight="1" x14ac:dyDescent="0.45">
      <c r="A3618" s="85" t="s">
        <v>277</v>
      </c>
      <c r="B3618" s="987" t="s">
        <v>293</v>
      </c>
      <c r="C3618" s="988"/>
      <c r="D3618" s="989"/>
      <c r="E3618" s="220" t="s">
        <v>13</v>
      </c>
      <c r="F3618" s="220" t="s">
        <v>14</v>
      </c>
      <c r="G3618" s="990" t="s">
        <v>15</v>
      </c>
      <c r="H3618" s="991"/>
      <c r="I3618" s="19" t="s">
        <v>278</v>
      </c>
      <c r="J3618" s="19"/>
      <c r="K3618" s="23" t="s">
        <v>17</v>
      </c>
      <c r="L3618" s="24"/>
      <c r="M3618" s="25"/>
      <c r="N3618" s="26"/>
      <c r="O3618" s="2"/>
      <c r="P3618" s="27"/>
      <c r="Q3618" s="26"/>
      <c r="R3618" s="28"/>
    </row>
    <row r="3619" spans="1:18" ht="30" customHeight="1" x14ac:dyDescent="0.45">
      <c r="A3619" s="85"/>
      <c r="B3619" s="1018" t="s">
        <v>1891</v>
      </c>
      <c r="C3619" s="1019"/>
      <c r="D3619" s="1020"/>
      <c r="E3619" s="220"/>
      <c r="F3619" s="220"/>
      <c r="G3619" s="98"/>
      <c r="H3619" s="99"/>
      <c r="I3619" s="460"/>
      <c r="J3619" s="460"/>
      <c r="K3619" s="220"/>
      <c r="L3619" s="220"/>
      <c r="M3619" s="25"/>
      <c r="N3619" s="26"/>
      <c r="O3619" s="2"/>
      <c r="P3619" s="27"/>
      <c r="Q3619" s="26"/>
      <c r="R3619" s="28"/>
    </row>
    <row r="3620" spans="1:18" ht="30" customHeight="1" x14ac:dyDescent="0.45">
      <c r="A3620" s="426" t="s">
        <v>279</v>
      </c>
      <c r="B3620" s="1008" t="s">
        <v>1892</v>
      </c>
      <c r="C3620" s="1009"/>
      <c r="D3620" s="1010"/>
      <c r="E3620" s="221">
        <f>+(6800+12500)/2</f>
        <v>9650</v>
      </c>
      <c r="F3620" s="56" t="s">
        <v>35</v>
      </c>
      <c r="G3620" s="222">
        <v>90</v>
      </c>
      <c r="H3620" s="223" t="s">
        <v>1893</v>
      </c>
      <c r="I3620" s="365">
        <v>1.02</v>
      </c>
      <c r="J3620" s="47"/>
      <c r="K3620" s="221">
        <f>+E3620*G3620*I3620</f>
        <v>885870</v>
      </c>
      <c r="L3620" s="47" t="s">
        <v>88</v>
      </c>
      <c r="M3620" s="25"/>
      <c r="N3620" s="26"/>
      <c r="O3620" s="2"/>
      <c r="P3620" s="27"/>
      <c r="Q3620" s="26"/>
      <c r="R3620" s="28"/>
    </row>
    <row r="3621" spans="1:18" ht="30" customHeight="1" x14ac:dyDescent="0.45">
      <c r="A3621" s="47"/>
      <c r="B3621" s="224"/>
      <c r="C3621" s="224"/>
      <c r="D3621" s="224"/>
      <c r="E3621" s="221"/>
      <c r="F3621" s="1011" t="s">
        <v>285</v>
      </c>
      <c r="G3621" s="1013" t="s">
        <v>286</v>
      </c>
      <c r="H3621" s="1013"/>
      <c r="I3621" s="1013"/>
      <c r="J3621" s="1013"/>
      <c r="K3621" s="278">
        <v>1.07</v>
      </c>
      <c r="L3621" s="47"/>
      <c r="M3621" s="25"/>
      <c r="N3621" s="26"/>
      <c r="O3621" s="2"/>
      <c r="P3621" s="27"/>
      <c r="Q3621" s="26"/>
      <c r="R3621" s="28"/>
    </row>
    <row r="3622" spans="1:18" ht="30" customHeight="1" x14ac:dyDescent="0.45">
      <c r="A3622" s="47"/>
      <c r="B3622" s="224"/>
      <c r="C3622" s="224"/>
      <c r="D3622" s="224"/>
      <c r="E3622" s="221"/>
      <c r="F3622" s="1012"/>
      <c r="G3622" s="1014" t="s">
        <v>580</v>
      </c>
      <c r="H3622" s="1014"/>
      <c r="I3622" s="1014"/>
      <c r="J3622" s="1014"/>
      <c r="K3622" s="278">
        <v>1.08</v>
      </c>
      <c r="L3622" s="47"/>
      <c r="M3622" s="25"/>
      <c r="N3622" s="26"/>
      <c r="O3622" s="2"/>
      <c r="P3622" s="27"/>
      <c r="Q3622" s="26"/>
      <c r="R3622" s="28"/>
    </row>
    <row r="3623" spans="1:18" ht="30" customHeight="1" x14ac:dyDescent="0.45">
      <c r="A3623" s="426"/>
      <c r="B3623" s="222"/>
      <c r="C3623" s="515"/>
      <c r="D3623" s="524"/>
      <c r="E3623" s="221"/>
      <c r="F3623" s="348"/>
      <c r="G3623" s="222"/>
      <c r="H3623" s="223"/>
      <c r="I3623" s="47"/>
      <c r="J3623" s="58" t="s">
        <v>39</v>
      </c>
      <c r="K3623" s="216">
        <f>+K3620*K3621/K3622</f>
        <v>877667.5</v>
      </c>
      <c r="L3623" s="47" t="s">
        <v>88</v>
      </c>
      <c r="M3623" s="25"/>
      <c r="N3623" s="26"/>
      <c r="O3623" s="2"/>
      <c r="P3623" s="27"/>
      <c r="Q3623" s="26"/>
      <c r="R3623" s="28"/>
    </row>
    <row r="3624" spans="1:18" ht="30" customHeight="1" x14ac:dyDescent="0.45">
      <c r="A3624" s="47"/>
      <c r="B3624" s="47"/>
      <c r="C3624" s="58"/>
      <c r="D3624" s="58"/>
      <c r="E3624" s="58"/>
      <c r="F3624" s="58"/>
      <c r="G3624" s="1021" t="s">
        <v>288</v>
      </c>
      <c r="H3624" s="1022"/>
      <c r="I3624" s="1023"/>
      <c r="J3624" s="213">
        <f>VLOOKUP(B3617,'[1]Mil Cost Premiums for PUCs'!$A$4:$R$278,18,FALSE)</f>
        <v>1.1199953840399997</v>
      </c>
      <c r="K3624" s="216">
        <f>+K3623*J3624</f>
        <v>982983.5487219264</v>
      </c>
      <c r="L3624" s="47" t="s">
        <v>88</v>
      </c>
      <c r="M3624" s="25"/>
      <c r="N3624" s="26"/>
      <c r="O3624" s="2"/>
      <c r="P3624" s="27"/>
      <c r="Q3624" s="26"/>
      <c r="R3624" s="28"/>
    </row>
    <row r="3625" spans="1:18" ht="30" customHeight="1" x14ac:dyDescent="0.45">
      <c r="A3625" s="541"/>
      <c r="B3625" s="545"/>
      <c r="C3625" s="546"/>
      <c r="D3625" s="546"/>
      <c r="E3625" s="552"/>
      <c r="F3625" s="1024" t="s">
        <v>581</v>
      </c>
      <c r="G3625" s="1024"/>
      <c r="H3625" s="1024"/>
      <c r="I3625" s="1024"/>
      <c r="J3625" s="543">
        <v>1.0833999999999999</v>
      </c>
      <c r="K3625" s="363">
        <f>K3624*J3625</f>
        <v>1064964.3766853351</v>
      </c>
      <c r="L3625" s="47" t="s">
        <v>88</v>
      </c>
      <c r="M3625" s="25"/>
      <c r="N3625" s="26"/>
      <c r="O3625" s="2"/>
      <c r="P3625" s="27"/>
      <c r="Q3625" s="26"/>
      <c r="R3625" s="28"/>
    </row>
    <row r="3626" spans="1:18" ht="30" customHeight="1" thickBot="1" x14ac:dyDescent="0.5">
      <c r="A3626" s="225"/>
      <c r="B3626" s="225"/>
      <c r="C3626" s="150"/>
      <c r="D3626" s="150"/>
      <c r="E3626" s="150"/>
      <c r="F3626" s="150"/>
      <c r="G3626" s="1025" t="s">
        <v>299</v>
      </c>
      <c r="H3626" s="1026"/>
      <c r="I3626" s="1027"/>
      <c r="J3626" s="226">
        <v>1.1214</v>
      </c>
      <c r="K3626" s="227">
        <f>+K3625*J3626</f>
        <v>1194251.0520149346</v>
      </c>
      <c r="L3626" s="47" t="s">
        <v>88</v>
      </c>
      <c r="M3626" s="25"/>
    </row>
    <row r="3627" spans="1:18" ht="30" customHeight="1" thickBot="1" x14ac:dyDescent="0.5">
      <c r="A3627" s="999"/>
      <c r="B3627" s="1000"/>
      <c r="C3627" s="1000"/>
      <c r="D3627" s="1000"/>
      <c r="E3627" s="1000"/>
      <c r="F3627" s="1000"/>
      <c r="G3627" s="1000"/>
      <c r="H3627" s="1000"/>
      <c r="I3627" s="1000"/>
      <c r="J3627" s="1000"/>
      <c r="K3627" s="1000"/>
      <c r="L3627" s="1001"/>
      <c r="M3627" s="25"/>
      <c r="N3627" s="26"/>
      <c r="O3627" s="2"/>
      <c r="P3627" s="27"/>
      <c r="Q3627" s="26"/>
      <c r="R3627" s="28"/>
    </row>
    <row r="3628" spans="1:18" ht="30" customHeight="1" x14ac:dyDescent="0.45">
      <c r="A3628" s="9" t="s">
        <v>4</v>
      </c>
      <c r="B3628" s="10">
        <v>7521</v>
      </c>
      <c r="C3628" s="983" t="s">
        <v>1894</v>
      </c>
      <c r="D3628" s="984"/>
      <c r="E3628" s="13" t="s">
        <v>7</v>
      </c>
      <c r="F3628" s="14" t="s">
        <v>88</v>
      </c>
      <c r="G3628" s="161" t="s">
        <v>148</v>
      </c>
      <c r="H3628" s="713">
        <v>1</v>
      </c>
      <c r="I3628" s="13" t="s">
        <v>9</v>
      </c>
      <c r="J3628" s="985" t="s">
        <v>276</v>
      </c>
      <c r="K3628" s="985"/>
      <c r="L3628" s="986"/>
      <c r="M3628" s="25"/>
      <c r="N3628" s="26"/>
      <c r="O3628" s="2"/>
      <c r="P3628" s="27"/>
      <c r="Q3628" s="26"/>
      <c r="R3628" s="28"/>
    </row>
    <row r="3629" spans="1:18" ht="30" customHeight="1" x14ac:dyDescent="0.45">
      <c r="A3629" s="19" t="s">
        <v>1895</v>
      </c>
      <c r="B3629" s="987" t="s">
        <v>293</v>
      </c>
      <c r="C3629" s="988"/>
      <c r="D3629" s="989"/>
      <c r="E3629" s="220" t="s">
        <v>13</v>
      </c>
      <c r="F3629" s="220" t="s">
        <v>14</v>
      </c>
      <c r="G3629" s="990" t="s">
        <v>15</v>
      </c>
      <c r="H3629" s="991"/>
      <c r="I3629" s="19" t="s">
        <v>278</v>
      </c>
      <c r="J3629" s="19"/>
      <c r="K3629" s="23" t="s">
        <v>17</v>
      </c>
      <c r="L3629" s="24"/>
      <c r="M3629" s="25"/>
      <c r="N3629" s="26"/>
      <c r="O3629" s="2"/>
      <c r="P3629" s="27"/>
      <c r="Q3629" s="26"/>
      <c r="R3629" s="28"/>
    </row>
    <row r="3630" spans="1:18" ht="30" customHeight="1" x14ac:dyDescent="0.45">
      <c r="A3630" s="85"/>
      <c r="B3630" s="1008" t="s">
        <v>1896</v>
      </c>
      <c r="C3630" s="1009"/>
      <c r="D3630" s="1010"/>
      <c r="E3630" s="220"/>
      <c r="F3630" s="220"/>
      <c r="G3630" s="98"/>
      <c r="H3630" s="99"/>
      <c r="I3630" s="460"/>
      <c r="J3630" s="460"/>
      <c r="K3630" s="220"/>
      <c r="L3630" s="220"/>
      <c r="M3630" s="25"/>
      <c r="N3630" s="26"/>
      <c r="O3630" s="2"/>
      <c r="P3630" s="27"/>
      <c r="Q3630" s="26"/>
      <c r="R3630" s="28"/>
    </row>
    <row r="3631" spans="1:18" ht="30" customHeight="1" x14ac:dyDescent="0.45">
      <c r="A3631" s="47" t="s">
        <v>1897</v>
      </c>
      <c r="B3631" s="1008" t="s">
        <v>1898</v>
      </c>
      <c r="C3631" s="1009"/>
      <c r="D3631" s="1010"/>
      <c r="E3631" s="422">
        <f>+(44400+68500)/2</f>
        <v>56450</v>
      </c>
      <c r="F3631" s="56" t="s">
        <v>88</v>
      </c>
      <c r="G3631" s="222"/>
      <c r="H3631" s="223"/>
      <c r="I3631" s="365">
        <v>1.1100000000000001</v>
      </c>
      <c r="J3631" s="47"/>
      <c r="K3631" s="422">
        <f>+E3631*I3631</f>
        <v>62659.500000000007</v>
      </c>
      <c r="L3631" s="56" t="s">
        <v>88</v>
      </c>
      <c r="M3631" s="25"/>
      <c r="N3631" s="26"/>
      <c r="O3631" s="2"/>
      <c r="P3631" s="27"/>
      <c r="Q3631" s="26"/>
      <c r="R3631" s="28"/>
    </row>
    <row r="3632" spans="1:18" ht="30" customHeight="1" x14ac:dyDescent="0.45">
      <c r="A3632" s="47" t="s">
        <v>1897</v>
      </c>
      <c r="B3632" s="1008" t="s">
        <v>1899</v>
      </c>
      <c r="C3632" s="1009"/>
      <c r="D3632" s="1010"/>
      <c r="E3632" s="422">
        <f>+(14200+19500)/2</f>
        <v>16850</v>
      </c>
      <c r="F3632" s="56" t="s">
        <v>88</v>
      </c>
      <c r="G3632" s="734">
        <v>0.5</v>
      </c>
      <c r="H3632" s="223"/>
      <c r="I3632" s="365">
        <v>1.1100000000000001</v>
      </c>
      <c r="J3632" s="47"/>
      <c r="K3632" s="422">
        <f>+I3632*G3632*E3632</f>
        <v>9351.75</v>
      </c>
      <c r="L3632" s="56" t="s">
        <v>88</v>
      </c>
      <c r="M3632" s="25"/>
      <c r="N3632" s="26"/>
      <c r="O3632" s="2"/>
      <c r="P3632" s="27"/>
      <c r="Q3632" s="26"/>
      <c r="R3632" s="28"/>
    </row>
    <row r="3633" spans="1:18" ht="30" customHeight="1" x14ac:dyDescent="0.45">
      <c r="A3633" s="47" t="s">
        <v>1897</v>
      </c>
      <c r="B3633" s="1008" t="s">
        <v>1900</v>
      </c>
      <c r="C3633" s="1009"/>
      <c r="D3633" s="1010"/>
      <c r="E3633" s="422">
        <f>+(12100+18000)/2</f>
        <v>15050</v>
      </c>
      <c r="F3633" s="56" t="s">
        <v>88</v>
      </c>
      <c r="G3633" s="222"/>
      <c r="H3633" s="223"/>
      <c r="I3633" s="365">
        <v>1.1100000000000001</v>
      </c>
      <c r="J3633" s="47"/>
      <c r="K3633" s="422">
        <f>+E3633*I3633</f>
        <v>16705.5</v>
      </c>
      <c r="L3633" s="56" t="s">
        <v>88</v>
      </c>
      <c r="M3633" s="25"/>
      <c r="N3633" s="26"/>
      <c r="O3633" s="2"/>
      <c r="P3633" s="27"/>
      <c r="Q3633" s="26"/>
      <c r="R3633" s="28"/>
    </row>
    <row r="3634" spans="1:18" ht="30" customHeight="1" x14ac:dyDescent="0.45">
      <c r="A3634" s="676"/>
      <c r="B3634" s="1008" t="s">
        <v>1901</v>
      </c>
      <c r="C3634" s="1009"/>
      <c r="D3634" s="1010"/>
      <c r="E3634" s="422"/>
      <c r="F3634" s="56"/>
      <c r="G3634" s="222"/>
      <c r="H3634" s="223"/>
      <c r="I3634" s="47"/>
      <c r="J3634" s="47" t="s">
        <v>38</v>
      </c>
      <c r="K3634" s="422">
        <f>SUM(K3631:K3633)</f>
        <v>88716.75</v>
      </c>
      <c r="L3634" s="56" t="s">
        <v>88</v>
      </c>
      <c r="M3634" s="25"/>
      <c r="N3634" s="26"/>
      <c r="O3634" s="2"/>
      <c r="P3634" s="27"/>
      <c r="Q3634" s="26"/>
      <c r="R3634" s="28"/>
    </row>
    <row r="3635" spans="1:18" ht="30" customHeight="1" x14ac:dyDescent="0.45">
      <c r="A3635" s="47" t="s">
        <v>1902</v>
      </c>
      <c r="B3635" s="1018" t="s">
        <v>1903</v>
      </c>
      <c r="C3635" s="1019"/>
      <c r="D3635" s="1020"/>
      <c r="E3635" s="422">
        <f>+((13+19.6)/2)</f>
        <v>16.3</v>
      </c>
      <c r="F3635" s="56" t="s">
        <v>35</v>
      </c>
      <c r="G3635" s="424">
        <f>(114*70)</f>
        <v>7980</v>
      </c>
      <c r="H3635" s="223" t="s">
        <v>518</v>
      </c>
      <c r="I3635" s="365">
        <v>1.1100000000000001</v>
      </c>
      <c r="J3635" s="47"/>
      <c r="K3635" s="422">
        <f>+I3635*G3635*E3635</f>
        <v>144382.14000000001</v>
      </c>
      <c r="L3635" s="56" t="s">
        <v>88</v>
      </c>
      <c r="M3635" s="25"/>
      <c r="N3635" s="26"/>
      <c r="O3635" s="2"/>
      <c r="P3635" s="27"/>
      <c r="Q3635" s="26"/>
      <c r="R3635" s="28"/>
    </row>
    <row r="3636" spans="1:18" ht="30" customHeight="1" x14ac:dyDescent="0.45">
      <c r="A3636" s="47" t="s">
        <v>1904</v>
      </c>
      <c r="B3636" s="1018" t="s">
        <v>1905</v>
      </c>
      <c r="C3636" s="1019"/>
      <c r="D3636" s="1020"/>
      <c r="E3636" s="422">
        <f>(1.84+4.13)/2</f>
        <v>2.9849999999999999</v>
      </c>
      <c r="F3636" s="56" t="s">
        <v>35</v>
      </c>
      <c r="G3636" s="424">
        <f>(114*70)</f>
        <v>7980</v>
      </c>
      <c r="H3636" s="223" t="s">
        <v>518</v>
      </c>
      <c r="I3636" s="365">
        <v>1.1100000000000001</v>
      </c>
      <c r="J3636" s="447"/>
      <c r="K3636" s="422">
        <f>+I3636*G3636*E3636</f>
        <v>26440.533000000003</v>
      </c>
      <c r="L3636" s="56" t="s">
        <v>88</v>
      </c>
      <c r="M3636" s="25"/>
      <c r="N3636" s="491"/>
      <c r="O3636" s="2"/>
      <c r="P3636" s="27"/>
      <c r="Q3636" s="26"/>
      <c r="R3636" s="28"/>
    </row>
    <row r="3637" spans="1:18" ht="30" customHeight="1" x14ac:dyDescent="0.45">
      <c r="A3637" s="47" t="s">
        <v>438</v>
      </c>
      <c r="B3637" s="1008" t="s">
        <v>1906</v>
      </c>
      <c r="C3637" s="1009"/>
      <c r="D3637" s="1010"/>
      <c r="E3637" s="422">
        <f>+(1480+4400)/2</f>
        <v>2940</v>
      </c>
      <c r="F3637" s="56" t="s">
        <v>88</v>
      </c>
      <c r="G3637" s="222">
        <v>2</v>
      </c>
      <c r="H3637" s="223" t="s">
        <v>1907</v>
      </c>
      <c r="I3637" s="365">
        <v>1.1100000000000001</v>
      </c>
      <c r="J3637" s="47"/>
      <c r="K3637" s="422">
        <f>+I3637*G3637*E3637</f>
        <v>6526.8</v>
      </c>
      <c r="L3637" s="56" t="s">
        <v>88</v>
      </c>
      <c r="M3637" s="25"/>
      <c r="N3637" s="26"/>
      <c r="O3637" s="2"/>
      <c r="P3637" s="27"/>
      <c r="Q3637" s="26"/>
      <c r="R3637" s="28"/>
    </row>
    <row r="3638" spans="1:18" ht="30" customHeight="1" x14ac:dyDescent="0.45">
      <c r="A3638" s="47"/>
      <c r="B3638" s="1018" t="s">
        <v>1908</v>
      </c>
      <c r="C3638" s="1019"/>
      <c r="D3638" s="1020"/>
      <c r="E3638" s="422"/>
      <c r="F3638" s="348"/>
      <c r="G3638" s="222"/>
      <c r="H3638" s="223"/>
      <c r="I3638" s="223"/>
      <c r="J3638" s="47" t="s">
        <v>38</v>
      </c>
      <c r="K3638" s="422">
        <f>(SUM(K3635:K3637)*2)*0.95</f>
        <v>336963.9987</v>
      </c>
      <c r="L3638" s="56" t="s">
        <v>88</v>
      </c>
      <c r="M3638" s="25"/>
      <c r="N3638" s="26"/>
      <c r="O3638" s="2"/>
      <c r="P3638" s="27"/>
      <c r="Q3638" s="26"/>
      <c r="R3638" s="28"/>
    </row>
    <row r="3639" spans="1:18" ht="30" customHeight="1" x14ac:dyDescent="0.45">
      <c r="A3639" s="426"/>
      <c r="B3639" s="1030"/>
      <c r="C3639" s="1030"/>
      <c r="D3639" s="1030"/>
      <c r="E3639" s="221"/>
      <c r="F3639" s="47"/>
      <c r="G3639" s="47"/>
      <c r="H3639" s="47"/>
      <c r="I3639" s="47"/>
      <c r="J3639" s="47" t="s">
        <v>56</v>
      </c>
      <c r="K3639" s="459">
        <f>(+K3634+K3638)/2</f>
        <v>212840.37435</v>
      </c>
      <c r="L3639" s="47" t="s">
        <v>88</v>
      </c>
      <c r="M3639" s="25"/>
      <c r="N3639" s="26"/>
      <c r="O3639" s="2"/>
      <c r="P3639" s="27"/>
      <c r="Q3639" s="26"/>
      <c r="R3639" s="28"/>
    </row>
    <row r="3640" spans="1:18" ht="30" customHeight="1" x14ac:dyDescent="0.45">
      <c r="A3640" s="47"/>
      <c r="B3640" s="224"/>
      <c r="C3640" s="224"/>
      <c r="D3640" s="224"/>
      <c r="E3640" s="221"/>
      <c r="F3640" s="1011" t="s">
        <v>285</v>
      </c>
      <c r="G3640" s="1013" t="s">
        <v>286</v>
      </c>
      <c r="H3640" s="1013"/>
      <c r="I3640" s="1013"/>
      <c r="J3640" s="1013"/>
      <c r="K3640" s="202">
        <v>1.06</v>
      </c>
      <c r="L3640" s="47"/>
      <c r="M3640" s="25"/>
      <c r="N3640" s="26"/>
      <c r="O3640" s="2"/>
      <c r="P3640" s="27"/>
      <c r="Q3640" s="26"/>
      <c r="R3640" s="28"/>
    </row>
    <row r="3641" spans="1:18" ht="30" customHeight="1" x14ac:dyDescent="0.45">
      <c r="A3641" s="47"/>
      <c r="B3641" s="224"/>
      <c r="C3641" s="224"/>
      <c r="D3641" s="224"/>
      <c r="E3641" s="221"/>
      <c r="F3641" s="1012"/>
      <c r="G3641" s="1014" t="s">
        <v>287</v>
      </c>
      <c r="H3641" s="1014"/>
      <c r="I3641" s="1014"/>
      <c r="J3641" s="1014"/>
      <c r="K3641" s="202">
        <v>1.05</v>
      </c>
      <c r="L3641" s="47"/>
      <c r="M3641" s="25"/>
      <c r="N3641" s="26"/>
      <c r="O3641" s="2"/>
      <c r="P3641" s="27"/>
      <c r="Q3641" s="26"/>
      <c r="R3641" s="28"/>
    </row>
    <row r="3642" spans="1:18" ht="30" customHeight="1" x14ac:dyDescent="0.45">
      <c r="A3642" s="47"/>
      <c r="B3642" s="47"/>
      <c r="C3642" s="58"/>
      <c r="D3642" s="58"/>
      <c r="E3642" s="58"/>
      <c r="F3642" s="58"/>
      <c r="G3642" s="58"/>
      <c r="H3642" s="58"/>
      <c r="I3642" s="58"/>
      <c r="J3642" s="47" t="s">
        <v>39</v>
      </c>
      <c r="K3642" s="383">
        <f>+K3639*K3640/K3641</f>
        <v>214867.42553428572</v>
      </c>
      <c r="L3642" s="47" t="s">
        <v>88</v>
      </c>
      <c r="M3642" s="25"/>
      <c r="N3642" s="26"/>
      <c r="O3642" s="2"/>
      <c r="P3642" s="27"/>
      <c r="Q3642" s="26"/>
      <c r="R3642" s="28"/>
    </row>
    <row r="3643" spans="1:18" ht="30" customHeight="1" thickBot="1" x14ac:dyDescent="0.5">
      <c r="A3643" s="47"/>
      <c r="B3643" s="47"/>
      <c r="C3643" s="58"/>
      <c r="D3643" s="58"/>
      <c r="E3643" s="58"/>
      <c r="F3643" s="58"/>
      <c r="G3643" s="1032" t="s">
        <v>288</v>
      </c>
      <c r="H3643" s="1033"/>
      <c r="I3643" s="1034"/>
      <c r="J3643" s="213">
        <f>VLOOKUP(B3628,'[1]Mil Cost Premiums for PUCs'!$A$4:$R$278,18,FALSE)</f>
        <v>1.0209999999999999</v>
      </c>
      <c r="K3643" s="216">
        <f>+K3642*J3643</f>
        <v>219379.64147050571</v>
      </c>
      <c r="L3643" s="47" t="s">
        <v>88</v>
      </c>
      <c r="M3643" s="25"/>
      <c r="N3643" s="26"/>
      <c r="O3643" s="2"/>
      <c r="P3643" s="27"/>
      <c r="Q3643" s="26"/>
      <c r="R3643" s="28"/>
    </row>
    <row r="3644" spans="1:18" ht="30" customHeight="1" thickBot="1" x14ac:dyDescent="0.5">
      <c r="A3644" s="999"/>
      <c r="B3644" s="1000"/>
      <c r="C3644" s="1000"/>
      <c r="D3644" s="1000"/>
      <c r="E3644" s="1000"/>
      <c r="F3644" s="1000"/>
      <c r="G3644" s="1000"/>
      <c r="H3644" s="1000"/>
      <c r="I3644" s="1000"/>
      <c r="J3644" s="1000"/>
      <c r="K3644" s="1000"/>
      <c r="L3644" s="1001"/>
      <c r="M3644" s="25"/>
      <c r="N3644" s="26"/>
      <c r="O3644" s="2"/>
      <c r="P3644" s="27"/>
      <c r="Q3644" s="26"/>
      <c r="R3644" s="28"/>
    </row>
    <row r="3645" spans="1:18" ht="30" customHeight="1" x14ac:dyDescent="0.45">
      <c r="A3645" s="9" t="s">
        <v>4</v>
      </c>
      <c r="B3645" s="10">
        <v>7522</v>
      </c>
      <c r="C3645" s="1138" t="s">
        <v>1909</v>
      </c>
      <c r="D3645" s="1139"/>
      <c r="E3645" s="13" t="s">
        <v>7</v>
      </c>
      <c r="F3645" s="14" t="s">
        <v>88</v>
      </c>
      <c r="G3645" s="173" t="s">
        <v>1910</v>
      </c>
      <c r="H3645" s="184">
        <v>1</v>
      </c>
      <c r="I3645" s="13" t="s">
        <v>9</v>
      </c>
      <c r="J3645" s="985" t="s">
        <v>390</v>
      </c>
      <c r="K3645" s="985"/>
      <c r="L3645" s="986"/>
      <c r="M3645" s="25"/>
      <c r="N3645" s="26"/>
      <c r="O3645" s="2"/>
    </row>
    <row r="3646" spans="1:18" ht="30" customHeight="1" x14ac:dyDescent="0.45">
      <c r="A3646" s="19" t="s">
        <v>11</v>
      </c>
      <c r="B3646" s="1005" t="s">
        <v>12</v>
      </c>
      <c r="C3646" s="1005"/>
      <c r="D3646" s="1005"/>
      <c r="E3646" s="20" t="s">
        <v>13</v>
      </c>
      <c r="F3646" s="19" t="s">
        <v>267</v>
      </c>
      <c r="G3646" s="1114" t="s">
        <v>15</v>
      </c>
      <c r="H3646" s="1115"/>
      <c r="I3646" s="1068" t="s">
        <v>16</v>
      </c>
      <c r="J3646" s="1069"/>
      <c r="K3646" s="23" t="s">
        <v>17</v>
      </c>
      <c r="L3646" s="24"/>
      <c r="M3646" s="25"/>
      <c r="N3646" s="26"/>
      <c r="O3646" s="2"/>
    </row>
    <row r="3647" spans="1:18" ht="30" customHeight="1" x14ac:dyDescent="0.45">
      <c r="A3647" s="47">
        <v>75022</v>
      </c>
      <c r="B3647" s="1008" t="s">
        <v>1911</v>
      </c>
      <c r="C3647" s="1009"/>
      <c r="D3647" s="1010"/>
      <c r="E3647" s="221">
        <v>1200934</v>
      </c>
      <c r="F3647" s="394">
        <v>1</v>
      </c>
      <c r="G3647" s="167"/>
      <c r="H3647" s="29"/>
      <c r="I3647" s="1161">
        <f>+'[1]2023 MILCON Inflation Table'!F18</f>
        <v>1.1214155171577724</v>
      </c>
      <c r="J3647" s="1162"/>
      <c r="K3647" s="36">
        <f>+E3647*I3647</f>
        <v>1346746.0226823522</v>
      </c>
      <c r="L3647" s="29" t="s">
        <v>88</v>
      </c>
      <c r="M3647" s="25"/>
      <c r="N3647" s="26"/>
      <c r="O3647" s="2"/>
    </row>
    <row r="3648" spans="1:18" ht="30" customHeight="1" thickBot="1" x14ac:dyDescent="0.5">
      <c r="A3648" s="47"/>
      <c r="B3648" s="1008"/>
      <c r="C3648" s="1009"/>
      <c r="D3648" s="1010"/>
      <c r="E3648" s="161"/>
      <c r="F3648" s="415"/>
      <c r="G3648" s="161"/>
      <c r="H3648" s="389"/>
      <c r="I3648" s="58"/>
      <c r="J3648" s="85" t="s">
        <v>39</v>
      </c>
      <c r="K3648" s="185">
        <f>SUM(K3647:K3647)</f>
        <v>1346746.0226823522</v>
      </c>
      <c r="L3648" s="29" t="s">
        <v>88</v>
      </c>
      <c r="M3648" s="25"/>
      <c r="N3648" s="26"/>
      <c r="O3648" s="2"/>
    </row>
    <row r="3649" spans="1:20" ht="30" customHeight="1" thickBot="1" x14ac:dyDescent="0.5">
      <c r="A3649" s="999"/>
      <c r="B3649" s="1000"/>
      <c r="C3649" s="1000"/>
      <c r="D3649" s="1000"/>
      <c r="E3649" s="1000"/>
      <c r="F3649" s="1000"/>
      <c r="G3649" s="1000"/>
      <c r="H3649" s="1000"/>
      <c r="I3649" s="1000"/>
      <c r="J3649" s="1000"/>
      <c r="K3649" s="1000"/>
      <c r="L3649" s="1001"/>
      <c r="M3649" s="735"/>
      <c r="N3649" s="491"/>
      <c r="O3649" s="2"/>
    </row>
    <row r="3650" spans="1:20" ht="30" customHeight="1" x14ac:dyDescent="0.45">
      <c r="A3650" s="9" t="s">
        <v>4</v>
      </c>
      <c r="B3650" s="10">
        <v>7523</v>
      </c>
      <c r="C3650" s="1002" t="s">
        <v>1912</v>
      </c>
      <c r="D3650" s="1003"/>
      <c r="E3650" s="13" t="s">
        <v>7</v>
      </c>
      <c r="F3650" s="14" t="s">
        <v>88</v>
      </c>
      <c r="G3650" s="173" t="s">
        <v>1910</v>
      </c>
      <c r="H3650" s="184">
        <v>1</v>
      </c>
      <c r="I3650" s="13" t="s">
        <v>9</v>
      </c>
      <c r="J3650" s="985" t="s">
        <v>421</v>
      </c>
      <c r="K3650" s="985"/>
      <c r="L3650" s="986"/>
      <c r="M3650" s="25"/>
      <c r="N3650" s="26"/>
      <c r="O3650" s="2"/>
    </row>
    <row r="3651" spans="1:20" ht="30" customHeight="1" x14ac:dyDescent="0.45">
      <c r="A3651" s="19" t="s">
        <v>11</v>
      </c>
      <c r="B3651" s="1005" t="s">
        <v>12</v>
      </c>
      <c r="C3651" s="1005"/>
      <c r="D3651" s="1005"/>
      <c r="E3651" s="20" t="s">
        <v>13</v>
      </c>
      <c r="F3651" s="19" t="s">
        <v>267</v>
      </c>
      <c r="G3651" s="1114" t="s">
        <v>15</v>
      </c>
      <c r="H3651" s="1115"/>
      <c r="I3651" s="1068" t="s">
        <v>16</v>
      </c>
      <c r="J3651" s="1069"/>
      <c r="K3651" s="23" t="s">
        <v>17</v>
      </c>
      <c r="L3651" s="24"/>
      <c r="M3651" s="25"/>
      <c r="N3651" s="26"/>
      <c r="O3651" s="2"/>
    </row>
    <row r="3652" spans="1:20" ht="30" customHeight="1" x14ac:dyDescent="0.45">
      <c r="A3652" s="47">
        <v>75022</v>
      </c>
      <c r="B3652" s="1008" t="s">
        <v>1912</v>
      </c>
      <c r="C3652" s="1009"/>
      <c r="D3652" s="1010"/>
      <c r="E3652" s="221">
        <v>649544</v>
      </c>
      <c r="F3652" s="394">
        <v>1</v>
      </c>
      <c r="G3652" s="167"/>
      <c r="H3652" s="29"/>
      <c r="I3652" s="1161">
        <f>+'[1]2023 MILCON Inflation Table'!F21</f>
        <v>0.957411465768232</v>
      </c>
      <c r="J3652" s="1162"/>
      <c r="K3652" s="36">
        <f>+E3652*I3652</f>
        <v>621880.87312096043</v>
      </c>
      <c r="L3652" s="29" t="s">
        <v>88</v>
      </c>
      <c r="M3652" s="25"/>
      <c r="N3652" s="26"/>
      <c r="O3652" s="2"/>
    </row>
    <row r="3653" spans="1:20" ht="30" customHeight="1" thickBot="1" x14ac:dyDescent="0.5">
      <c r="A3653" s="47"/>
      <c r="B3653" s="1008"/>
      <c r="C3653" s="1009"/>
      <c r="D3653" s="1010"/>
      <c r="E3653" s="161"/>
      <c r="F3653" s="415"/>
      <c r="G3653" s="161"/>
      <c r="H3653" s="389"/>
      <c r="I3653" s="58"/>
      <c r="J3653" s="85" t="s">
        <v>39</v>
      </c>
      <c r="K3653" s="185">
        <f>SUM(K3652:K3652)</f>
        <v>621880.87312096043</v>
      </c>
      <c r="L3653" s="29" t="s">
        <v>88</v>
      </c>
      <c r="M3653" s="25"/>
      <c r="N3653" s="26"/>
      <c r="O3653" s="2"/>
    </row>
    <row r="3654" spans="1:20" ht="30" customHeight="1" thickBot="1" x14ac:dyDescent="0.5">
      <c r="A3654" s="999"/>
      <c r="B3654" s="1000"/>
      <c r="C3654" s="1000"/>
      <c r="D3654" s="1000"/>
      <c r="E3654" s="1000"/>
      <c r="F3654" s="1000"/>
      <c r="G3654" s="1000"/>
      <c r="H3654" s="1000"/>
      <c r="I3654" s="1000"/>
      <c r="J3654" s="1000"/>
      <c r="K3654" s="1000"/>
      <c r="L3654" s="1001"/>
      <c r="M3654" s="735"/>
      <c r="N3654" s="491"/>
      <c r="O3654" s="2"/>
    </row>
    <row r="3655" spans="1:20" ht="30" customHeight="1" x14ac:dyDescent="0.45">
      <c r="A3655" s="9" t="s">
        <v>4</v>
      </c>
      <c r="B3655" s="10">
        <v>7524</v>
      </c>
      <c r="C3655" s="983" t="s">
        <v>1913</v>
      </c>
      <c r="D3655" s="984"/>
      <c r="E3655" s="13" t="s">
        <v>7</v>
      </c>
      <c r="F3655" s="14" t="s">
        <v>88</v>
      </c>
      <c r="G3655" s="161" t="s">
        <v>148</v>
      </c>
      <c r="H3655" s="163">
        <v>1</v>
      </c>
      <c r="I3655" s="13" t="s">
        <v>9</v>
      </c>
      <c r="J3655" s="985" t="s">
        <v>575</v>
      </c>
      <c r="K3655" s="985"/>
      <c r="L3655" s="986"/>
      <c r="M3655" s="25"/>
      <c r="O3655" s="2"/>
      <c r="P3655" s="27"/>
      <c r="Q3655" s="26"/>
      <c r="R3655" s="28"/>
    </row>
    <row r="3656" spans="1:20" ht="30" customHeight="1" x14ac:dyDescent="0.45">
      <c r="A3656" s="85" t="s">
        <v>277</v>
      </c>
      <c r="B3656" s="987" t="s">
        <v>293</v>
      </c>
      <c r="C3656" s="988"/>
      <c r="D3656" s="989"/>
      <c r="E3656" s="220" t="s">
        <v>13</v>
      </c>
      <c r="F3656" s="220" t="s">
        <v>14</v>
      </c>
      <c r="G3656" s="990" t="s">
        <v>15</v>
      </c>
      <c r="H3656" s="991"/>
      <c r="I3656" s="19" t="s">
        <v>278</v>
      </c>
      <c r="J3656" s="19"/>
      <c r="K3656" s="23" t="s">
        <v>17</v>
      </c>
      <c r="L3656" s="24"/>
      <c r="M3656" s="25"/>
      <c r="O3656" s="2"/>
      <c r="P3656" s="27"/>
      <c r="Q3656" s="26"/>
      <c r="R3656" s="28"/>
    </row>
    <row r="3657" spans="1:20" ht="30" customHeight="1" x14ac:dyDescent="0.45">
      <c r="A3657" s="85"/>
      <c r="B3657" s="1008" t="s">
        <v>1914</v>
      </c>
      <c r="C3657" s="1009"/>
      <c r="D3657" s="1010"/>
      <c r="E3657" s="220"/>
      <c r="F3657" s="220"/>
      <c r="G3657" s="98"/>
      <c r="H3657" s="99"/>
      <c r="I3657" s="460"/>
      <c r="J3657" s="460"/>
      <c r="K3657" s="220"/>
      <c r="L3657" s="220"/>
      <c r="M3657" s="25"/>
      <c r="O3657" s="2"/>
      <c r="P3657" s="27"/>
      <c r="Q3657" s="26"/>
      <c r="R3657" s="28"/>
    </row>
    <row r="3658" spans="1:20" ht="30" customHeight="1" x14ac:dyDescent="0.45">
      <c r="A3658" s="426" t="s">
        <v>1915</v>
      </c>
      <c r="B3658" s="1018" t="s">
        <v>1916</v>
      </c>
      <c r="C3658" s="1019"/>
      <c r="D3658" s="1020"/>
      <c r="E3658" s="221">
        <f>(97+218)/2</f>
        <v>157.5</v>
      </c>
      <c r="F3658" s="56" t="s">
        <v>1917</v>
      </c>
      <c r="G3658" s="736">
        <v>10000</v>
      </c>
      <c r="H3658" s="223" t="s">
        <v>1918</v>
      </c>
      <c r="I3658" s="365">
        <v>1.02</v>
      </c>
      <c r="J3658" s="47"/>
      <c r="K3658" s="221">
        <f>+E3658*G3658*I3658</f>
        <v>1606500</v>
      </c>
      <c r="L3658" s="47" t="s">
        <v>88</v>
      </c>
      <c r="M3658" s="25"/>
      <c r="O3658" s="2"/>
      <c r="P3658" s="27"/>
      <c r="Q3658" s="26"/>
      <c r="R3658" s="28"/>
    </row>
    <row r="3659" spans="1:20" ht="30" customHeight="1" x14ac:dyDescent="0.45">
      <c r="A3659" s="426" t="s">
        <v>1915</v>
      </c>
      <c r="B3659" s="1018" t="s">
        <v>1919</v>
      </c>
      <c r="C3659" s="1019"/>
      <c r="D3659" s="1020"/>
      <c r="E3659" s="221">
        <f>+(251+357)/2</f>
        <v>304</v>
      </c>
      <c r="F3659" s="56" t="s">
        <v>1917</v>
      </c>
      <c r="G3659" s="736">
        <v>10000</v>
      </c>
      <c r="H3659" s="223" t="s">
        <v>1918</v>
      </c>
      <c r="I3659" s="365">
        <v>1.02</v>
      </c>
      <c r="J3659" s="47"/>
      <c r="K3659" s="221">
        <f>+E3659*G3659*I3659</f>
        <v>3100800</v>
      </c>
      <c r="L3659" s="47" t="s">
        <v>88</v>
      </c>
      <c r="M3659" s="25"/>
      <c r="O3659" s="2"/>
      <c r="P3659" s="27"/>
      <c r="Q3659" s="26"/>
      <c r="R3659" s="28"/>
    </row>
    <row r="3660" spans="1:20" ht="30" customHeight="1" x14ac:dyDescent="0.45">
      <c r="A3660" s="426" t="s">
        <v>1915</v>
      </c>
      <c r="B3660" s="1018" t="s">
        <v>1920</v>
      </c>
      <c r="C3660" s="1009"/>
      <c r="D3660" s="1010"/>
      <c r="E3660" s="221">
        <f>+(357+486)/2</f>
        <v>421.5</v>
      </c>
      <c r="F3660" s="56" t="s">
        <v>1917</v>
      </c>
      <c r="G3660" s="736">
        <v>10000</v>
      </c>
      <c r="H3660" s="223" t="s">
        <v>1918</v>
      </c>
      <c r="I3660" s="365">
        <v>1.02</v>
      </c>
      <c r="J3660" s="47"/>
      <c r="K3660" s="221">
        <f>+E3660*G3660*I3660</f>
        <v>4299300</v>
      </c>
      <c r="L3660" s="47" t="s">
        <v>88</v>
      </c>
      <c r="M3660" s="25"/>
      <c r="P3660" s="27"/>
      <c r="Q3660" s="26"/>
      <c r="R3660" s="28"/>
      <c r="T3660" s="41"/>
    </row>
    <row r="3661" spans="1:20" ht="30" customHeight="1" x14ac:dyDescent="0.45">
      <c r="A3661" s="426"/>
      <c r="B3661" s="1030"/>
      <c r="C3661" s="1030"/>
      <c r="D3661" s="1030"/>
      <c r="E3661" s="221"/>
      <c r="F3661" s="47"/>
      <c r="G3661" s="47"/>
      <c r="H3661" s="47"/>
      <c r="I3661" s="47"/>
      <c r="J3661" s="47" t="s">
        <v>56</v>
      </c>
      <c r="K3661" s="221">
        <f>AVERAGE(K3658:K3660)</f>
        <v>3002200</v>
      </c>
      <c r="L3661" s="47" t="s">
        <v>88</v>
      </c>
      <c r="N3661" s="156"/>
      <c r="P3661" s="27"/>
      <c r="Q3661" s="26"/>
      <c r="R3661" s="28"/>
    </row>
    <row r="3662" spans="1:20" ht="30" customHeight="1" x14ac:dyDescent="0.45">
      <c r="A3662" s="47"/>
      <c r="B3662" s="224"/>
      <c r="C3662" s="224"/>
      <c r="D3662" s="224"/>
      <c r="E3662" s="221"/>
      <c r="F3662" s="1011" t="s">
        <v>285</v>
      </c>
      <c r="G3662" s="1013" t="s">
        <v>286</v>
      </c>
      <c r="H3662" s="1013"/>
      <c r="I3662" s="1013"/>
      <c r="J3662" s="1013"/>
      <c r="K3662" s="278">
        <v>1.07</v>
      </c>
      <c r="L3662" s="47"/>
      <c r="M3662" s="25"/>
      <c r="N3662" s="26"/>
      <c r="O3662" s="2"/>
      <c r="P3662" s="27"/>
      <c r="Q3662" s="26"/>
      <c r="R3662" s="28"/>
      <c r="T3662" s="41"/>
    </row>
    <row r="3663" spans="1:20" ht="30" customHeight="1" x14ac:dyDescent="0.45">
      <c r="A3663" s="47"/>
      <c r="B3663" s="224"/>
      <c r="C3663" s="224"/>
      <c r="D3663" s="224"/>
      <c r="E3663" s="221"/>
      <c r="F3663" s="1012"/>
      <c r="G3663" s="1014" t="s">
        <v>580</v>
      </c>
      <c r="H3663" s="1014"/>
      <c r="I3663" s="1014"/>
      <c r="J3663" s="1014"/>
      <c r="K3663" s="278">
        <v>1.08</v>
      </c>
      <c r="L3663" s="47"/>
      <c r="M3663" s="25"/>
      <c r="N3663" s="156"/>
      <c r="P3663" s="28"/>
      <c r="Q3663" s="26"/>
      <c r="T3663" s="41"/>
    </row>
    <row r="3664" spans="1:20" ht="30" customHeight="1" x14ac:dyDescent="0.45">
      <c r="A3664" s="426"/>
      <c r="B3664" s="1030"/>
      <c r="C3664" s="1030"/>
      <c r="D3664" s="1030"/>
      <c r="E3664" s="221"/>
      <c r="F3664" s="47"/>
      <c r="G3664" s="47"/>
      <c r="H3664" s="47"/>
      <c r="I3664" s="47"/>
      <c r="J3664" s="47" t="s">
        <v>39</v>
      </c>
      <c r="K3664" s="221">
        <f>+K3661*K3662/K3663</f>
        <v>2974401.8518518517</v>
      </c>
      <c r="L3664" s="47" t="s">
        <v>88</v>
      </c>
      <c r="M3664" s="25"/>
      <c r="N3664" s="26"/>
      <c r="O3664" s="2"/>
      <c r="S3664" s="41"/>
    </row>
    <row r="3665" spans="1:25" ht="30" customHeight="1" x14ac:dyDescent="0.45">
      <c r="A3665" s="47"/>
      <c r="B3665" s="47"/>
      <c r="C3665" s="58"/>
      <c r="D3665" s="58"/>
      <c r="E3665" s="58"/>
      <c r="F3665" s="58"/>
      <c r="G3665" s="1021" t="s">
        <v>288</v>
      </c>
      <c r="H3665" s="1022"/>
      <c r="I3665" s="1023"/>
      <c r="J3665" s="213">
        <f>VLOOKUP(B3655,'[1]Mil Cost Premiums for PUCs'!$A$4:$R$278,18,FALSE)</f>
        <v>1.1199953840399997</v>
      </c>
      <c r="K3665" s="216">
        <f>+K3661*J3665</f>
        <v>3362450.1419648868</v>
      </c>
      <c r="L3665" s="47" t="s">
        <v>88</v>
      </c>
      <c r="M3665" s="25"/>
      <c r="N3665" s="26"/>
      <c r="O3665" s="5"/>
      <c r="S3665" s="41"/>
      <c r="T3665" s="18"/>
    </row>
    <row r="3666" spans="1:25" ht="30" customHeight="1" x14ac:dyDescent="0.45">
      <c r="A3666" s="541"/>
      <c r="B3666" s="545"/>
      <c r="C3666" s="546"/>
      <c r="D3666" s="546"/>
      <c r="E3666" s="552"/>
      <c r="F3666" s="1024" t="s">
        <v>581</v>
      </c>
      <c r="G3666" s="1024"/>
      <c r="H3666" s="1024"/>
      <c r="I3666" s="1024"/>
      <c r="J3666" s="543">
        <v>1.0833999999999999</v>
      </c>
      <c r="K3666" s="363">
        <f>K3665*J3666</f>
        <v>3642878.4838047582</v>
      </c>
      <c r="L3666" s="47" t="s">
        <v>88</v>
      </c>
      <c r="M3666" s="156"/>
      <c r="N3666" s="26"/>
      <c r="O3666" s="5"/>
      <c r="S3666" s="41"/>
      <c r="T3666" s="18"/>
      <c r="U3666" s="18"/>
      <c r="V3666" s="18"/>
      <c r="W3666" s="18"/>
      <c r="X3666" s="18"/>
    </row>
    <row r="3667" spans="1:25" ht="30" customHeight="1" thickBot="1" x14ac:dyDescent="0.5">
      <c r="A3667" s="225"/>
      <c r="B3667" s="225"/>
      <c r="C3667" s="150"/>
      <c r="D3667" s="150"/>
      <c r="E3667" s="150"/>
      <c r="F3667" s="150"/>
      <c r="G3667" s="1025" t="s">
        <v>299</v>
      </c>
      <c r="H3667" s="1026"/>
      <c r="I3667" s="1027"/>
      <c r="J3667" s="226">
        <v>1.1214</v>
      </c>
      <c r="K3667" s="227">
        <f>+K3666*J3667</f>
        <v>4085123.9317386555</v>
      </c>
      <c r="L3667" s="47" t="s">
        <v>88</v>
      </c>
      <c r="M3667" s="25"/>
    </row>
    <row r="3668" spans="1:25" ht="30" customHeight="1" thickBot="1" x14ac:dyDescent="0.5">
      <c r="A3668" s="999"/>
      <c r="B3668" s="1000"/>
      <c r="C3668" s="1000"/>
      <c r="D3668" s="1000"/>
      <c r="E3668" s="1000"/>
      <c r="F3668" s="1000"/>
      <c r="G3668" s="1000"/>
      <c r="H3668" s="1000"/>
      <c r="I3668" s="1000"/>
      <c r="J3668" s="1000"/>
      <c r="K3668" s="1000"/>
      <c r="L3668" s="1001"/>
      <c r="M3668" s="717"/>
      <c r="N3668" s="26"/>
      <c r="O3668" s="5"/>
      <c r="T3668" s="18"/>
      <c r="U3668" s="18"/>
      <c r="V3668" s="18"/>
      <c r="W3668" s="18"/>
      <c r="X3668" s="18"/>
      <c r="Y3668" s="18"/>
    </row>
    <row r="3669" spans="1:25" ht="30" customHeight="1" x14ac:dyDescent="0.45">
      <c r="A3669" s="9" t="s">
        <v>4</v>
      </c>
      <c r="B3669" s="10">
        <v>7531</v>
      </c>
      <c r="C3669" s="983" t="s">
        <v>1921</v>
      </c>
      <c r="D3669" s="984"/>
      <c r="E3669" s="13" t="s">
        <v>7</v>
      </c>
      <c r="F3669" s="14" t="s">
        <v>35</v>
      </c>
      <c r="G3669" s="11" t="s">
        <v>6</v>
      </c>
      <c r="H3669" s="163">
        <v>723.41563333726799</v>
      </c>
      <c r="I3669" s="13" t="s">
        <v>9</v>
      </c>
      <c r="J3669" s="985" t="s">
        <v>276</v>
      </c>
      <c r="K3669" s="985"/>
      <c r="L3669" s="986"/>
      <c r="M3669" s="25"/>
      <c r="N3669" s="26"/>
      <c r="O3669" s="5"/>
      <c r="P3669" s="18"/>
      <c r="Q3669" s="18"/>
      <c r="R3669" s="18"/>
      <c r="S3669" s="18"/>
      <c r="T3669" s="18"/>
      <c r="U3669" s="18"/>
      <c r="V3669" s="18"/>
      <c r="W3669" s="18"/>
      <c r="X3669" s="18"/>
      <c r="Y3669" s="18"/>
    </row>
    <row r="3670" spans="1:25" ht="30" customHeight="1" x14ac:dyDescent="0.45">
      <c r="A3670" s="85" t="s">
        <v>277</v>
      </c>
      <c r="B3670" s="987" t="s">
        <v>293</v>
      </c>
      <c r="C3670" s="988"/>
      <c r="D3670" s="989"/>
      <c r="E3670" s="220" t="s">
        <v>13</v>
      </c>
      <c r="F3670" s="220" t="s">
        <v>14</v>
      </c>
      <c r="G3670" s="1210" t="s">
        <v>15</v>
      </c>
      <c r="H3670" s="1124"/>
      <c r="I3670" s="19" t="s">
        <v>1316</v>
      </c>
      <c r="J3670" s="19" t="s">
        <v>278</v>
      </c>
      <c r="K3670" s="23" t="s">
        <v>17</v>
      </c>
      <c r="L3670" s="24"/>
      <c r="M3670" s="25"/>
      <c r="N3670" s="26"/>
      <c r="O3670" s="5"/>
      <c r="P3670" s="18"/>
      <c r="Q3670" s="18"/>
      <c r="R3670" s="18"/>
      <c r="S3670" s="18"/>
      <c r="T3670" s="18"/>
      <c r="U3670" s="18"/>
      <c r="V3670" s="18"/>
      <c r="W3670" s="18"/>
      <c r="X3670" s="18"/>
      <c r="Y3670" s="18"/>
    </row>
    <row r="3671" spans="1:25" s="18" customFormat="1" ht="30" customHeight="1" x14ac:dyDescent="0.45">
      <c r="A3671" s="47" t="s">
        <v>1922</v>
      </c>
      <c r="B3671" s="1008" t="s">
        <v>1923</v>
      </c>
      <c r="C3671" s="1009"/>
      <c r="D3671" s="1010"/>
      <c r="E3671" s="378">
        <v>113</v>
      </c>
      <c r="F3671" s="56" t="s">
        <v>35</v>
      </c>
      <c r="G3671" s="348"/>
      <c r="H3671" s="349"/>
      <c r="I3671" s="2"/>
      <c r="J3671" s="47">
        <v>1.21</v>
      </c>
      <c r="K3671" s="375">
        <f>+J3671*E3671</f>
        <v>136.72999999999999</v>
      </c>
      <c r="L3671" s="56" t="s">
        <v>35</v>
      </c>
      <c r="M3671" s="25"/>
      <c r="N3671" s="26"/>
      <c r="O3671" s="3"/>
      <c r="T3671" s="41"/>
      <c r="U3671" s="2"/>
      <c r="V3671" s="2"/>
      <c r="W3671" s="2"/>
      <c r="X3671" s="2"/>
    </row>
    <row r="3672" spans="1:25" ht="30" customHeight="1" x14ac:dyDescent="0.45">
      <c r="A3672" s="47"/>
      <c r="B3672" s="224"/>
      <c r="C3672" s="224"/>
      <c r="D3672" s="224"/>
      <c r="E3672" s="221"/>
      <c r="F3672" s="1011" t="s">
        <v>285</v>
      </c>
      <c r="G3672" s="1013" t="s">
        <v>286</v>
      </c>
      <c r="H3672" s="1013"/>
      <c r="I3672" s="1013"/>
      <c r="J3672" s="1013"/>
      <c r="K3672" s="278">
        <v>1.06</v>
      </c>
      <c r="L3672" s="47"/>
      <c r="N3672" s="26"/>
      <c r="P3672" s="18"/>
      <c r="Q3672" s="18"/>
      <c r="R3672" s="18"/>
      <c r="S3672" s="18"/>
    </row>
    <row r="3673" spans="1:25" s="18" customFormat="1" ht="30" customHeight="1" x14ac:dyDescent="0.45">
      <c r="A3673" s="47"/>
      <c r="B3673" s="224"/>
      <c r="C3673" s="224"/>
      <c r="D3673" s="224"/>
      <c r="E3673" s="221"/>
      <c r="F3673" s="1012"/>
      <c r="G3673" s="1014" t="s">
        <v>287</v>
      </c>
      <c r="H3673" s="1014"/>
      <c r="I3673" s="1014"/>
      <c r="J3673" s="1014"/>
      <c r="K3673" s="278">
        <v>1.05</v>
      </c>
      <c r="L3673" s="47"/>
      <c r="M3673" s="25"/>
      <c r="N3673" s="26"/>
      <c r="O3673" s="2"/>
      <c r="P3673" s="27"/>
      <c r="Q3673" s="26"/>
      <c r="R3673" s="28"/>
      <c r="S3673" s="2"/>
      <c r="T3673" s="41"/>
      <c r="U3673" s="2"/>
      <c r="V3673" s="2"/>
      <c r="W3673" s="2"/>
      <c r="X3673" s="2"/>
      <c r="Y3673" s="2"/>
    </row>
    <row r="3674" spans="1:25" s="18" customFormat="1" ht="30" customHeight="1" x14ac:dyDescent="0.45">
      <c r="A3674" s="426"/>
      <c r="B3674" s="1008"/>
      <c r="C3674" s="1009"/>
      <c r="D3674" s="1010"/>
      <c r="E3674" s="221"/>
      <c r="F3674" s="56"/>
      <c r="G3674" s="222"/>
      <c r="H3674" s="223"/>
      <c r="I3674" s="47"/>
      <c r="J3674" s="47" t="s">
        <v>39</v>
      </c>
      <c r="K3674" s="216">
        <f>+K3671*K3672/K3673</f>
        <v>138.03219047619046</v>
      </c>
      <c r="L3674" s="47" t="s">
        <v>35</v>
      </c>
      <c r="M3674" s="25"/>
      <c r="N3674" s="2"/>
      <c r="O3674" s="2"/>
      <c r="T3674" s="2"/>
      <c r="U3674" s="2"/>
      <c r="V3674" s="2"/>
      <c r="W3674" s="2"/>
      <c r="X3674" s="2"/>
      <c r="Y3674" s="2"/>
    </row>
    <row r="3675" spans="1:25" s="18" customFormat="1" ht="30" customHeight="1" thickBot="1" x14ac:dyDescent="0.5">
      <c r="A3675" s="47"/>
      <c r="B3675" s="47"/>
      <c r="C3675" s="58"/>
      <c r="D3675" s="58"/>
      <c r="E3675" s="58"/>
      <c r="F3675" s="58"/>
      <c r="G3675" s="557" t="s">
        <v>288</v>
      </c>
      <c r="H3675" s="58"/>
      <c r="I3675" s="58"/>
      <c r="J3675" s="213">
        <f>VLOOKUP(B3669,'[1]Mil Cost Premiums for PUCs'!$A$4:$R$278,18,FALSE)</f>
        <v>1.0209999999999999</v>
      </c>
      <c r="K3675" s="216">
        <f>+K3674*J3675</f>
        <v>140.93086647619046</v>
      </c>
      <c r="L3675" s="47" t="s">
        <v>35</v>
      </c>
      <c r="M3675" s="25"/>
      <c r="N3675" s="2"/>
      <c r="O3675" s="2"/>
      <c r="P3675" s="2"/>
      <c r="Q3675" s="2"/>
      <c r="R3675" s="2"/>
      <c r="S3675" s="41"/>
      <c r="T3675" s="2"/>
      <c r="U3675" s="2"/>
      <c r="V3675" s="2"/>
      <c r="W3675" s="2"/>
      <c r="X3675" s="2"/>
      <c r="Y3675" s="2"/>
    </row>
    <row r="3676" spans="1:25" ht="30" customHeight="1" thickBot="1" x14ac:dyDescent="0.5">
      <c r="A3676" s="999"/>
      <c r="B3676" s="1000"/>
      <c r="C3676" s="1000"/>
      <c r="D3676" s="1000"/>
      <c r="E3676" s="1000"/>
      <c r="F3676" s="1000"/>
      <c r="G3676" s="1000"/>
      <c r="H3676" s="1000"/>
      <c r="I3676" s="1000"/>
      <c r="J3676" s="1000"/>
      <c r="K3676" s="1000"/>
      <c r="L3676" s="1001"/>
      <c r="M3676" s="25"/>
      <c r="O3676" s="2"/>
      <c r="S3676" s="41"/>
    </row>
    <row r="3677" spans="1:25" ht="30" customHeight="1" x14ac:dyDescent="0.45">
      <c r="A3677" s="9" t="s">
        <v>4</v>
      </c>
      <c r="B3677" s="10">
        <v>7532</v>
      </c>
      <c r="C3677" s="983" t="s">
        <v>1924</v>
      </c>
      <c r="D3677" s="984"/>
      <c r="E3677" s="13" t="s">
        <v>7</v>
      </c>
      <c r="F3677" s="14" t="s">
        <v>88</v>
      </c>
      <c r="G3677" s="161" t="s">
        <v>148</v>
      </c>
      <c r="H3677" s="163">
        <v>1</v>
      </c>
      <c r="I3677" s="13" t="s">
        <v>9</v>
      </c>
      <c r="J3677" s="985" t="s">
        <v>575</v>
      </c>
      <c r="K3677" s="985"/>
      <c r="L3677" s="986"/>
      <c r="M3677" s="25"/>
      <c r="N3677" s="229"/>
      <c r="O3677" s="2"/>
      <c r="P3677" s="27"/>
      <c r="Q3677" s="26"/>
      <c r="R3677" s="28"/>
    </row>
    <row r="3678" spans="1:25" ht="30" customHeight="1" x14ac:dyDescent="0.45">
      <c r="A3678" s="85" t="s">
        <v>277</v>
      </c>
      <c r="B3678" s="987" t="s">
        <v>293</v>
      </c>
      <c r="C3678" s="988"/>
      <c r="D3678" s="989"/>
      <c r="E3678" s="220" t="s">
        <v>13</v>
      </c>
      <c r="F3678" s="220" t="s">
        <v>14</v>
      </c>
      <c r="G3678" s="990" t="s">
        <v>15</v>
      </c>
      <c r="H3678" s="991"/>
      <c r="I3678" s="19" t="s">
        <v>278</v>
      </c>
      <c r="J3678" s="19"/>
      <c r="K3678" s="23" t="s">
        <v>17</v>
      </c>
      <c r="L3678" s="24"/>
      <c r="M3678" s="25"/>
      <c r="N3678" s="229"/>
      <c r="O3678" s="2"/>
      <c r="P3678" s="27"/>
      <c r="Q3678" s="26"/>
      <c r="R3678" s="28"/>
    </row>
    <row r="3679" spans="1:25" ht="30" customHeight="1" x14ac:dyDescent="0.45">
      <c r="A3679" s="47" t="s">
        <v>1925</v>
      </c>
      <c r="B3679" s="1008" t="s">
        <v>1926</v>
      </c>
      <c r="C3679" s="1009"/>
      <c r="D3679" s="1010"/>
      <c r="E3679" s="378">
        <v>1970</v>
      </c>
      <c r="F3679" s="56" t="s">
        <v>1927</v>
      </c>
      <c r="G3679" s="348">
        <v>75</v>
      </c>
      <c r="H3679" s="349" t="s">
        <v>1928</v>
      </c>
      <c r="I3679" s="365">
        <v>1.02</v>
      </c>
      <c r="J3679" s="365"/>
      <c r="K3679" s="375">
        <f>+E3679*G3679*I3679</f>
        <v>150705</v>
      </c>
      <c r="L3679" s="56" t="s">
        <v>88</v>
      </c>
      <c r="M3679" s="25"/>
      <c r="N3679" s="229"/>
      <c r="O3679" s="2"/>
      <c r="P3679" s="27"/>
      <c r="Q3679" s="26"/>
      <c r="R3679" s="28"/>
    </row>
    <row r="3680" spans="1:25" ht="30" customHeight="1" x14ac:dyDescent="0.45">
      <c r="A3680" s="426"/>
      <c r="B3680" s="1030" t="s">
        <v>1929</v>
      </c>
      <c r="C3680" s="1030"/>
      <c r="D3680" s="1030"/>
      <c r="E3680" s="221"/>
      <c r="F3680" s="47"/>
      <c r="G3680" s="47"/>
      <c r="H3680" s="47"/>
      <c r="I3680" s="47"/>
      <c r="J3680" s="47"/>
      <c r="K3680" s="221"/>
      <c r="L3680" s="47"/>
      <c r="N3680" s="229"/>
      <c r="O3680" s="2"/>
      <c r="P3680" s="27"/>
      <c r="Q3680" s="26"/>
      <c r="R3680" s="28"/>
    </row>
    <row r="3681" spans="1:18" ht="30" customHeight="1" x14ac:dyDescent="0.45">
      <c r="A3681" s="47"/>
      <c r="B3681" s="224"/>
      <c r="C3681" s="224"/>
      <c r="D3681" s="224"/>
      <c r="E3681" s="221"/>
      <c r="F3681" s="1011" t="s">
        <v>285</v>
      </c>
      <c r="G3681" s="1013" t="s">
        <v>286</v>
      </c>
      <c r="H3681" s="1013"/>
      <c r="I3681" s="1013"/>
      <c r="J3681" s="1013"/>
      <c r="K3681" s="278">
        <v>1.07</v>
      </c>
      <c r="L3681" s="47"/>
      <c r="M3681" s="25"/>
      <c r="N3681" s="26"/>
      <c r="O3681" s="2"/>
      <c r="P3681" s="27"/>
      <c r="Q3681" s="26"/>
      <c r="R3681" s="28"/>
    </row>
    <row r="3682" spans="1:18" ht="30" customHeight="1" x14ac:dyDescent="0.45">
      <c r="A3682" s="47"/>
      <c r="B3682" s="224"/>
      <c r="C3682" s="224"/>
      <c r="D3682" s="224"/>
      <c r="E3682" s="221"/>
      <c r="F3682" s="1012"/>
      <c r="G3682" s="1014" t="s">
        <v>580</v>
      </c>
      <c r="H3682" s="1014"/>
      <c r="I3682" s="1014"/>
      <c r="J3682" s="1014"/>
      <c r="K3682" s="278">
        <v>1.08</v>
      </c>
      <c r="L3682" s="47"/>
      <c r="M3682" s="25"/>
      <c r="N3682" s="229"/>
      <c r="O3682" s="2"/>
      <c r="P3682" s="27"/>
      <c r="Q3682" s="26"/>
      <c r="R3682" s="28"/>
    </row>
    <row r="3683" spans="1:18" ht="30" customHeight="1" x14ac:dyDescent="0.45">
      <c r="A3683" s="47"/>
      <c r="B3683" s="47"/>
      <c r="C3683" s="58"/>
      <c r="D3683" s="58"/>
      <c r="E3683" s="58"/>
      <c r="F3683" s="58"/>
      <c r="G3683" s="58"/>
      <c r="H3683" s="58"/>
      <c r="I3683" s="58"/>
      <c r="J3683" s="47" t="s">
        <v>39</v>
      </c>
      <c r="K3683" s="216">
        <f>+K3679*K3681/K3682</f>
        <v>149309.58333333334</v>
      </c>
      <c r="L3683" s="47" t="s">
        <v>88</v>
      </c>
      <c r="M3683" s="25"/>
      <c r="O3683" s="2"/>
      <c r="P3683" s="27"/>
      <c r="Q3683" s="26"/>
      <c r="R3683" s="28"/>
    </row>
    <row r="3684" spans="1:18" ht="30" customHeight="1" x14ac:dyDescent="0.45">
      <c r="A3684" s="47"/>
      <c r="B3684" s="47"/>
      <c r="C3684" s="58"/>
      <c r="D3684" s="58"/>
      <c r="E3684" s="58"/>
      <c r="F3684" s="58"/>
      <c r="G3684" s="1021" t="s">
        <v>288</v>
      </c>
      <c r="H3684" s="1022"/>
      <c r="I3684" s="1023"/>
      <c r="J3684" s="213">
        <f>VLOOKUP(B3677,'[1]Mil Cost Premiums for PUCs'!$A$4:$R$278,18,FALSE)</f>
        <v>1.0485669999999998</v>
      </c>
      <c r="K3684" s="216">
        <f>+K3683*J3684</f>
        <v>156561.10186708331</v>
      </c>
      <c r="L3684" s="47" t="s">
        <v>88</v>
      </c>
      <c r="M3684" s="25"/>
      <c r="O3684" s="2"/>
      <c r="P3684" s="27"/>
      <c r="Q3684" s="26"/>
      <c r="R3684" s="28"/>
    </row>
    <row r="3685" spans="1:18" ht="30" customHeight="1" x14ac:dyDescent="0.45">
      <c r="A3685" s="541"/>
      <c r="B3685" s="545"/>
      <c r="C3685" s="546"/>
      <c r="D3685" s="546"/>
      <c r="E3685" s="552"/>
      <c r="F3685" s="1024" t="s">
        <v>581</v>
      </c>
      <c r="G3685" s="1024"/>
      <c r="H3685" s="1024"/>
      <c r="I3685" s="1024"/>
      <c r="J3685" s="543">
        <v>1.0833999999999999</v>
      </c>
      <c r="K3685" s="363">
        <f>K3684*J3685</f>
        <v>169618.29776279806</v>
      </c>
      <c r="L3685" s="47" t="s">
        <v>88</v>
      </c>
      <c r="M3685" s="25"/>
      <c r="N3685" s="26"/>
      <c r="O3685" s="2"/>
      <c r="P3685" s="27"/>
      <c r="Q3685" s="26"/>
      <c r="R3685" s="28"/>
    </row>
    <row r="3686" spans="1:18" ht="30" customHeight="1" thickBot="1" x14ac:dyDescent="0.5">
      <c r="A3686" s="225"/>
      <c r="B3686" s="225"/>
      <c r="C3686" s="150"/>
      <c r="D3686" s="150"/>
      <c r="E3686" s="150"/>
      <c r="F3686" s="150"/>
      <c r="G3686" s="1025" t="s">
        <v>299</v>
      </c>
      <c r="H3686" s="1026"/>
      <c r="I3686" s="1027"/>
      <c r="J3686" s="226">
        <v>1.1214</v>
      </c>
      <c r="K3686" s="227">
        <f>+K3685*J3686</f>
        <v>190209.95911120172</v>
      </c>
      <c r="L3686" s="47" t="s">
        <v>88</v>
      </c>
      <c r="M3686" s="25"/>
    </row>
    <row r="3687" spans="1:18" ht="30" customHeight="1" thickBot="1" x14ac:dyDescent="0.5">
      <c r="A3687" s="999"/>
      <c r="B3687" s="1000"/>
      <c r="C3687" s="1000"/>
      <c r="D3687" s="1000"/>
      <c r="E3687" s="1000"/>
      <c r="F3687" s="1000"/>
      <c r="G3687" s="1000"/>
      <c r="H3687" s="1000"/>
      <c r="I3687" s="1000"/>
      <c r="J3687" s="1000"/>
      <c r="K3687" s="1000"/>
      <c r="L3687" s="1001"/>
      <c r="M3687" s="25"/>
      <c r="N3687" s="26"/>
      <c r="O3687" s="2"/>
      <c r="P3687" s="27"/>
      <c r="Q3687" s="26"/>
      <c r="R3687" s="28"/>
    </row>
    <row r="3688" spans="1:18" ht="30" customHeight="1" x14ac:dyDescent="0.45">
      <c r="A3688" s="9" t="s">
        <v>4</v>
      </c>
      <c r="B3688" s="10">
        <v>7541</v>
      </c>
      <c r="C3688" s="983" t="s">
        <v>1930</v>
      </c>
      <c r="D3688" s="984"/>
      <c r="E3688" s="13" t="s">
        <v>7</v>
      </c>
      <c r="F3688" s="14" t="s">
        <v>88</v>
      </c>
      <c r="G3688" s="161" t="s">
        <v>148</v>
      </c>
      <c r="H3688" s="163">
        <v>1</v>
      </c>
      <c r="I3688" s="13" t="s">
        <v>9</v>
      </c>
      <c r="J3688" s="985" t="s">
        <v>575</v>
      </c>
      <c r="K3688" s="985"/>
      <c r="L3688" s="986"/>
      <c r="M3688" s="25"/>
      <c r="N3688" s="26"/>
      <c r="O3688" s="2"/>
      <c r="P3688" s="27"/>
      <c r="Q3688" s="26"/>
      <c r="R3688" s="28"/>
    </row>
    <row r="3689" spans="1:18" ht="30" customHeight="1" x14ac:dyDescent="0.45">
      <c r="A3689" s="85" t="s">
        <v>277</v>
      </c>
      <c r="B3689" s="987" t="s">
        <v>293</v>
      </c>
      <c r="C3689" s="988"/>
      <c r="D3689" s="989"/>
      <c r="E3689" s="220" t="s">
        <v>13</v>
      </c>
      <c r="F3689" s="220" t="s">
        <v>14</v>
      </c>
      <c r="G3689" s="990" t="s">
        <v>15</v>
      </c>
      <c r="H3689" s="991"/>
      <c r="I3689" s="19" t="s">
        <v>278</v>
      </c>
      <c r="J3689" s="738" t="s">
        <v>1931</v>
      </c>
      <c r="K3689" s="23" t="s">
        <v>17</v>
      </c>
      <c r="L3689" s="24"/>
      <c r="M3689" s="25"/>
      <c r="N3689" s="26"/>
      <c r="O3689" s="2"/>
      <c r="P3689" s="27"/>
      <c r="Q3689" s="26"/>
      <c r="R3689" s="28"/>
    </row>
    <row r="3690" spans="1:18" ht="30" customHeight="1" x14ac:dyDescent="0.45">
      <c r="A3690" s="47" t="s">
        <v>1932</v>
      </c>
      <c r="B3690" s="1018" t="s">
        <v>1933</v>
      </c>
      <c r="C3690" s="1019"/>
      <c r="D3690" s="1020"/>
      <c r="E3690" s="378">
        <f>(665+540+1070+690+775+690+327+1030+2050)</f>
        <v>7837</v>
      </c>
      <c r="F3690" s="56" t="s">
        <v>1934</v>
      </c>
      <c r="G3690" s="348">
        <v>40</v>
      </c>
      <c r="H3690" s="349" t="s">
        <v>1935</v>
      </c>
      <c r="I3690" s="365">
        <v>1.01</v>
      </c>
      <c r="J3690" s="47">
        <v>1.07</v>
      </c>
      <c r="K3690" s="375">
        <f>+E3690*G3690*I3690*J3690</f>
        <v>338777.83600000001</v>
      </c>
      <c r="L3690" s="56" t="s">
        <v>88</v>
      </c>
      <c r="M3690" s="25"/>
      <c r="N3690" s="26"/>
      <c r="O3690" s="2"/>
      <c r="P3690" s="27"/>
      <c r="Q3690" s="26"/>
      <c r="R3690" s="28"/>
    </row>
    <row r="3691" spans="1:18" ht="30" customHeight="1" x14ac:dyDescent="0.45">
      <c r="A3691" s="47"/>
      <c r="B3691" s="224"/>
      <c r="C3691" s="224"/>
      <c r="D3691" s="224"/>
      <c r="E3691" s="221"/>
      <c r="F3691" s="1011" t="s">
        <v>285</v>
      </c>
      <c r="G3691" s="1013" t="s">
        <v>286</v>
      </c>
      <c r="H3691" s="1013"/>
      <c r="I3691" s="1013"/>
      <c r="J3691" s="1013"/>
      <c r="K3691" s="278">
        <v>1.07</v>
      </c>
      <c r="L3691" s="47"/>
      <c r="M3691" s="25"/>
      <c r="N3691" s="26"/>
      <c r="O3691" s="2"/>
      <c r="P3691" s="27"/>
      <c r="Q3691" s="26"/>
      <c r="R3691" s="28"/>
    </row>
    <row r="3692" spans="1:18" ht="30" customHeight="1" x14ac:dyDescent="0.45">
      <c r="A3692" s="47"/>
      <c r="B3692" s="224"/>
      <c r="C3692" s="224"/>
      <c r="D3692" s="224"/>
      <c r="E3692" s="221"/>
      <c r="F3692" s="1012"/>
      <c r="G3692" s="1014" t="s">
        <v>580</v>
      </c>
      <c r="H3692" s="1014"/>
      <c r="I3692" s="1014"/>
      <c r="J3692" s="1014"/>
      <c r="K3692" s="278">
        <v>1.08</v>
      </c>
      <c r="L3692" s="47"/>
      <c r="M3692" s="25"/>
      <c r="N3692" s="26"/>
      <c r="O3692" s="2"/>
      <c r="P3692" s="27"/>
      <c r="Q3692" s="26"/>
      <c r="R3692" s="28"/>
    </row>
    <row r="3693" spans="1:18" ht="30" customHeight="1" x14ac:dyDescent="0.45">
      <c r="A3693" s="47"/>
      <c r="B3693" s="47"/>
      <c r="C3693" s="58"/>
      <c r="D3693" s="58"/>
      <c r="E3693" s="58"/>
      <c r="F3693" s="58"/>
      <c r="G3693" s="54"/>
      <c r="H3693" s="54"/>
      <c r="I3693" s="58"/>
      <c r="J3693" s="58" t="s">
        <v>39</v>
      </c>
      <c r="K3693" s="216">
        <f>K3690*K3691/K3692</f>
        <v>335641.00418518519</v>
      </c>
      <c r="L3693" s="47" t="s">
        <v>88</v>
      </c>
      <c r="M3693" s="25"/>
      <c r="N3693" s="156"/>
      <c r="O3693" s="2"/>
      <c r="P3693" s="27"/>
      <c r="Q3693" s="26"/>
      <c r="R3693" s="28"/>
    </row>
    <row r="3694" spans="1:18" ht="30" customHeight="1" x14ac:dyDescent="0.45">
      <c r="A3694" s="47"/>
      <c r="B3694" s="47"/>
      <c r="C3694" s="58"/>
      <c r="D3694" s="58"/>
      <c r="E3694" s="58"/>
      <c r="F3694" s="58"/>
      <c r="G3694" s="1021" t="s">
        <v>288</v>
      </c>
      <c r="H3694" s="1022"/>
      <c r="I3694" s="1023"/>
      <c r="J3694" s="213">
        <f>VLOOKUP(B3677,'[1]Mil Cost Premiums for PUCs'!$A$4:$R$278,18,FALSE)</f>
        <v>1.0485669999999998</v>
      </c>
      <c r="K3694" s="216">
        <f>+K3693*J3694</f>
        <v>351942.08083544701</v>
      </c>
      <c r="L3694" s="47"/>
      <c r="M3694" s="25"/>
      <c r="N3694" s="156"/>
      <c r="O3694" s="2"/>
      <c r="P3694" s="27"/>
      <c r="Q3694" s="26"/>
      <c r="R3694" s="28"/>
    </row>
    <row r="3695" spans="1:18" ht="30" customHeight="1" x14ac:dyDescent="0.45">
      <c r="A3695" s="541"/>
      <c r="B3695" s="545"/>
      <c r="C3695" s="546"/>
      <c r="D3695" s="546"/>
      <c r="E3695" s="552"/>
      <c r="F3695" s="1024" t="s">
        <v>581</v>
      </c>
      <c r="G3695" s="1024"/>
      <c r="H3695" s="1024"/>
      <c r="I3695" s="1024"/>
      <c r="J3695" s="543">
        <v>1.0833999999999999</v>
      </c>
      <c r="K3695" s="363">
        <f>K3694*J3695</f>
        <v>381294.05037712323</v>
      </c>
      <c r="L3695" s="47" t="s">
        <v>88</v>
      </c>
      <c r="M3695" s="25"/>
      <c r="N3695" s="26"/>
      <c r="O3695" s="2"/>
      <c r="P3695" s="27"/>
      <c r="Q3695" s="26"/>
      <c r="R3695" s="28"/>
    </row>
    <row r="3696" spans="1:18" ht="30" customHeight="1" thickBot="1" x14ac:dyDescent="0.5">
      <c r="A3696" s="225"/>
      <c r="B3696" s="225"/>
      <c r="C3696" s="150"/>
      <c r="D3696" s="150"/>
      <c r="E3696" s="150"/>
      <c r="F3696" s="150"/>
      <c r="G3696" s="1025" t="s">
        <v>299</v>
      </c>
      <c r="H3696" s="1026"/>
      <c r="I3696" s="1027"/>
      <c r="J3696" s="226">
        <v>1.1214</v>
      </c>
      <c r="K3696" s="227">
        <f>+K3695*J3696</f>
        <v>427583.14809290599</v>
      </c>
      <c r="L3696" s="47" t="s">
        <v>88</v>
      </c>
      <c r="M3696" s="25"/>
    </row>
    <row r="3697" spans="1:20" ht="30" customHeight="1" thickBot="1" x14ac:dyDescent="0.5">
      <c r="A3697" s="999"/>
      <c r="B3697" s="1000"/>
      <c r="C3697" s="1000"/>
      <c r="D3697" s="1000"/>
      <c r="E3697" s="1000"/>
      <c r="F3697" s="1000"/>
      <c r="G3697" s="1000"/>
      <c r="H3697" s="1000"/>
      <c r="I3697" s="1000"/>
      <c r="J3697" s="1000"/>
      <c r="K3697" s="1000"/>
      <c r="L3697" s="1001"/>
      <c r="M3697" s="84"/>
      <c r="N3697" s="26"/>
      <c r="O3697" s="2"/>
      <c r="P3697" s="27"/>
      <c r="Q3697" s="26"/>
      <c r="R3697" s="28"/>
    </row>
    <row r="3698" spans="1:20" ht="30" customHeight="1" x14ac:dyDescent="0.45">
      <c r="A3698" s="9" t="s">
        <v>4</v>
      </c>
      <c r="B3698" s="10">
        <v>7542</v>
      </c>
      <c r="C3698" s="1140" t="s">
        <v>1936</v>
      </c>
      <c r="D3698" s="1141"/>
      <c r="E3698" s="13" t="s">
        <v>7</v>
      </c>
      <c r="F3698" s="14" t="s">
        <v>88</v>
      </c>
      <c r="G3698" s="161" t="s">
        <v>148</v>
      </c>
      <c r="H3698" s="163">
        <v>1</v>
      </c>
      <c r="I3698" s="13" t="s">
        <v>9</v>
      </c>
      <c r="J3698" s="985" t="s">
        <v>276</v>
      </c>
      <c r="K3698" s="985"/>
      <c r="L3698" s="986"/>
      <c r="M3698" s="25"/>
      <c r="N3698" s="26"/>
      <c r="O3698" s="2"/>
      <c r="P3698" s="27"/>
      <c r="Q3698" s="26"/>
      <c r="R3698" s="28"/>
    </row>
    <row r="3699" spans="1:20" ht="30" customHeight="1" x14ac:dyDescent="0.45">
      <c r="A3699" s="85" t="s">
        <v>277</v>
      </c>
      <c r="B3699" s="987" t="s">
        <v>293</v>
      </c>
      <c r="C3699" s="988"/>
      <c r="D3699" s="989"/>
      <c r="E3699" s="220" t="s">
        <v>13</v>
      </c>
      <c r="F3699" s="220" t="s">
        <v>14</v>
      </c>
      <c r="G3699" s="990" t="s">
        <v>15</v>
      </c>
      <c r="H3699" s="991"/>
      <c r="I3699" s="19" t="s">
        <v>1316</v>
      </c>
      <c r="J3699" s="19" t="s">
        <v>278</v>
      </c>
      <c r="K3699" s="23" t="s">
        <v>17</v>
      </c>
      <c r="L3699" s="24"/>
      <c r="M3699" s="25"/>
      <c r="N3699" s="26"/>
      <c r="O3699" s="2"/>
      <c r="P3699" s="27"/>
      <c r="Q3699" s="26"/>
      <c r="R3699" s="28"/>
    </row>
    <row r="3700" spans="1:20" ht="30" customHeight="1" x14ac:dyDescent="0.45">
      <c r="A3700" s="47" t="s">
        <v>1897</v>
      </c>
      <c r="B3700" s="1018" t="s">
        <v>1937</v>
      </c>
      <c r="C3700" s="1019"/>
      <c r="D3700" s="1020"/>
      <c r="E3700" s="422">
        <f>+(44400+68500)/2+(14200+19500)/2+(12100+18000)/2</f>
        <v>88350</v>
      </c>
      <c r="F3700" s="56" t="s">
        <v>88</v>
      </c>
      <c r="G3700" s="222"/>
      <c r="H3700" s="223"/>
      <c r="I3700" s="58"/>
      <c r="J3700" s="410">
        <v>1.1100000000000001</v>
      </c>
      <c r="K3700" s="378">
        <f>+E3700*J3700</f>
        <v>98068.500000000015</v>
      </c>
      <c r="L3700" s="56" t="s">
        <v>88</v>
      </c>
      <c r="M3700" s="25"/>
      <c r="N3700" s="26"/>
      <c r="O3700" s="2"/>
      <c r="P3700" s="27"/>
      <c r="Q3700" s="26"/>
      <c r="R3700" s="28"/>
    </row>
    <row r="3701" spans="1:20" ht="30" customHeight="1" x14ac:dyDescent="0.45">
      <c r="A3701" s="47" t="s">
        <v>1878</v>
      </c>
      <c r="B3701" s="1008" t="s">
        <v>1938</v>
      </c>
      <c r="C3701" s="1009"/>
      <c r="D3701" s="1010"/>
      <c r="E3701" s="422">
        <f>+(8850+27800)/2</f>
        <v>18325</v>
      </c>
      <c r="F3701" s="56" t="s">
        <v>1874</v>
      </c>
      <c r="G3701" s="739">
        <v>18</v>
      </c>
      <c r="H3701" s="351" t="s">
        <v>1939</v>
      </c>
      <c r="I3701" s="58"/>
      <c r="J3701" s="410">
        <v>1.1100000000000001</v>
      </c>
      <c r="K3701" s="378">
        <f>+E3701*G3701*J3701</f>
        <v>366133.50000000006</v>
      </c>
      <c r="L3701" s="56" t="s">
        <v>88</v>
      </c>
      <c r="M3701" s="84"/>
      <c r="N3701" s="26"/>
      <c r="O3701" s="2"/>
      <c r="P3701" s="27"/>
      <c r="Q3701" s="26"/>
      <c r="R3701" s="28"/>
    </row>
    <row r="3702" spans="1:20" ht="30" customHeight="1" x14ac:dyDescent="0.45">
      <c r="A3702" s="47"/>
      <c r="B3702" s="1008" t="s">
        <v>1940</v>
      </c>
      <c r="C3702" s="1009"/>
      <c r="D3702" s="1010"/>
      <c r="E3702" s="422"/>
      <c r="F3702" s="56"/>
      <c r="G3702" s="222"/>
      <c r="H3702" s="351"/>
      <c r="I3702" s="58"/>
      <c r="J3702" s="223"/>
      <c r="K3702" s="378"/>
      <c r="L3702" s="56"/>
      <c r="M3702" s="25"/>
      <c r="N3702" s="26"/>
      <c r="O3702" s="2"/>
      <c r="P3702" s="27"/>
      <c r="Q3702" s="26"/>
      <c r="R3702" s="28"/>
    </row>
    <row r="3703" spans="1:20" ht="30" customHeight="1" x14ac:dyDescent="0.45">
      <c r="A3703" s="47" t="s">
        <v>1022</v>
      </c>
      <c r="B3703" s="1018" t="s">
        <v>1941</v>
      </c>
      <c r="C3703" s="1019"/>
      <c r="D3703" s="1020"/>
      <c r="E3703" s="422">
        <v>0.36</v>
      </c>
      <c r="F3703" s="56" t="s">
        <v>35</v>
      </c>
      <c r="G3703" s="424">
        <f>3.5*43560</f>
        <v>152460</v>
      </c>
      <c r="H3703" s="351" t="s">
        <v>1942</v>
      </c>
      <c r="I3703" s="58"/>
      <c r="J3703" s="223">
        <v>1.1100000000000001</v>
      </c>
      <c r="K3703" s="378">
        <f>+E3703*G3703*J3703</f>
        <v>60923.016000000003</v>
      </c>
      <c r="L3703" s="56"/>
      <c r="M3703" s="25"/>
      <c r="N3703" s="26"/>
      <c r="O3703" s="2"/>
      <c r="P3703" s="27"/>
      <c r="Q3703" s="26"/>
      <c r="R3703" s="28"/>
    </row>
    <row r="3704" spans="1:20" ht="30" customHeight="1" x14ac:dyDescent="0.45">
      <c r="A3704" s="47" t="s">
        <v>1022</v>
      </c>
      <c r="B3704" s="1008" t="s">
        <v>1943</v>
      </c>
      <c r="C3704" s="1009"/>
      <c r="D3704" s="1010"/>
      <c r="E3704" s="422">
        <v>0.53</v>
      </c>
      <c r="F3704" s="56" t="s">
        <v>35</v>
      </c>
      <c r="G3704" s="424">
        <f>3.5*43560</f>
        <v>152460</v>
      </c>
      <c r="H3704" s="351" t="s">
        <v>1942</v>
      </c>
      <c r="I3704" s="58"/>
      <c r="J3704" s="223">
        <v>1.1100000000000001</v>
      </c>
      <c r="K3704" s="378">
        <f>+E3704*G3704*J3704</f>
        <v>89692.218000000008</v>
      </c>
      <c r="L3704" s="56"/>
      <c r="M3704" s="25"/>
      <c r="N3704" s="26"/>
      <c r="O3704" s="2"/>
      <c r="P3704" s="27"/>
      <c r="Q3704" s="26"/>
      <c r="R3704" s="28"/>
    </row>
    <row r="3705" spans="1:20" ht="30" customHeight="1" x14ac:dyDescent="0.45">
      <c r="A3705" s="47" t="s">
        <v>1897</v>
      </c>
      <c r="B3705" s="1008" t="s">
        <v>1944</v>
      </c>
      <c r="C3705" s="1009"/>
      <c r="D3705" s="1010"/>
      <c r="E3705" s="740">
        <f>(3875+6550)/2</f>
        <v>5212.5</v>
      </c>
      <c r="F3705" s="348" t="s">
        <v>88</v>
      </c>
      <c r="G3705" s="222"/>
      <c r="H3705" s="223"/>
      <c r="I3705" s="58"/>
      <c r="J3705" s="410">
        <v>1.1100000000000001</v>
      </c>
      <c r="K3705" s="221">
        <f>+E3705*J3705</f>
        <v>5785.8750000000009</v>
      </c>
      <c r="L3705" s="56"/>
      <c r="M3705" s="25"/>
      <c r="N3705" s="26"/>
      <c r="O3705" s="2"/>
      <c r="P3705" s="27"/>
      <c r="Q3705" s="26"/>
      <c r="R3705" s="28"/>
    </row>
    <row r="3706" spans="1:20" ht="30" customHeight="1" x14ac:dyDescent="0.45">
      <c r="A3706" s="47" t="s">
        <v>438</v>
      </c>
      <c r="B3706" s="1018" t="s">
        <v>1945</v>
      </c>
      <c r="C3706" s="1019"/>
      <c r="D3706" s="1020"/>
      <c r="E3706" s="741">
        <f>(4500+11700)/2</f>
        <v>8100</v>
      </c>
      <c r="F3706" s="348" t="s">
        <v>88</v>
      </c>
      <c r="G3706" s="222"/>
      <c r="H3706" s="223"/>
      <c r="I3706" s="58"/>
      <c r="J3706" s="410">
        <v>1.1100000000000001</v>
      </c>
      <c r="K3706" s="378">
        <f>E3706*J3706</f>
        <v>8991</v>
      </c>
      <c r="L3706" s="56"/>
      <c r="M3706" s="156"/>
      <c r="N3706" s="26"/>
      <c r="O3706" s="2"/>
      <c r="P3706" s="27"/>
      <c r="Q3706" s="26"/>
      <c r="R3706" s="28"/>
    </row>
    <row r="3707" spans="1:20" ht="30" customHeight="1" x14ac:dyDescent="0.45">
      <c r="A3707" s="47" t="s">
        <v>1851</v>
      </c>
      <c r="B3707" s="1018" t="s">
        <v>1946</v>
      </c>
      <c r="C3707" s="1019"/>
      <c r="D3707" s="1020"/>
      <c r="E3707" s="740">
        <v>28.75</v>
      </c>
      <c r="F3707" s="348" t="s">
        <v>113</v>
      </c>
      <c r="G3707" s="222">
        <v>250</v>
      </c>
      <c r="H3707" s="223" t="s">
        <v>113</v>
      </c>
      <c r="I3707" s="58"/>
      <c r="J3707" s="410">
        <v>1.1100000000000001</v>
      </c>
      <c r="K3707" s="378">
        <f>+E3707*G3707*J3707</f>
        <v>7978.1250000000009</v>
      </c>
      <c r="L3707" s="56"/>
      <c r="M3707" s="156"/>
      <c r="N3707" s="26"/>
      <c r="O3707" s="2"/>
      <c r="P3707" s="27"/>
      <c r="Q3707" s="26"/>
      <c r="R3707" s="28"/>
    </row>
    <row r="3708" spans="1:20" ht="30" customHeight="1" x14ac:dyDescent="0.45">
      <c r="A3708" s="47" t="s">
        <v>1915</v>
      </c>
      <c r="B3708" s="1008" t="s">
        <v>1947</v>
      </c>
      <c r="C3708" s="1009"/>
      <c r="D3708" s="1010"/>
      <c r="E3708" s="422">
        <f>+(88.5+118)/2</f>
        <v>103.25</v>
      </c>
      <c r="F3708" s="56" t="s">
        <v>1917</v>
      </c>
      <c r="G3708" s="222">
        <v>600</v>
      </c>
      <c r="H3708" s="351" t="s">
        <v>1948</v>
      </c>
      <c r="I3708" s="58"/>
      <c r="J3708" s="410">
        <v>1.1100000000000001</v>
      </c>
      <c r="K3708" s="378">
        <f>+E3708*G3708*J3708</f>
        <v>68764.5</v>
      </c>
      <c r="L3708" s="56"/>
      <c r="M3708" s="25"/>
      <c r="N3708" s="26"/>
      <c r="O3708" s="2"/>
      <c r="P3708" s="27"/>
      <c r="Q3708" s="26"/>
      <c r="R3708" s="28"/>
    </row>
    <row r="3709" spans="1:20" ht="30" customHeight="1" x14ac:dyDescent="0.45">
      <c r="A3709" s="47"/>
      <c r="B3709" s="1008" t="s">
        <v>1949</v>
      </c>
      <c r="C3709" s="1009"/>
      <c r="D3709" s="1010"/>
      <c r="E3709" s="422"/>
      <c r="F3709" s="56"/>
      <c r="G3709" s="222"/>
      <c r="H3709" s="351"/>
      <c r="I3709" s="58"/>
      <c r="J3709" s="223" t="s">
        <v>38</v>
      </c>
      <c r="K3709" s="378">
        <f>SUM(K3703:K3708)</f>
        <v>242134.734</v>
      </c>
      <c r="L3709" s="56" t="s">
        <v>88</v>
      </c>
      <c r="M3709" s="25"/>
      <c r="N3709" s="26"/>
      <c r="O3709" s="2"/>
      <c r="P3709" s="27"/>
      <c r="Q3709" s="26"/>
      <c r="R3709" s="28"/>
    </row>
    <row r="3710" spans="1:20" ht="30" customHeight="1" x14ac:dyDescent="0.45">
      <c r="A3710" s="47"/>
      <c r="B3710" s="1008" t="s">
        <v>1950</v>
      </c>
      <c r="C3710" s="1009"/>
      <c r="D3710" s="1010"/>
      <c r="E3710" s="422"/>
      <c r="F3710" s="56"/>
      <c r="G3710" s="222"/>
      <c r="H3710" s="351"/>
      <c r="I3710" s="58"/>
      <c r="J3710" s="223"/>
      <c r="K3710" s="378"/>
      <c r="L3710" s="47"/>
      <c r="M3710" s="25"/>
      <c r="N3710" s="26"/>
      <c r="O3710" s="2"/>
      <c r="P3710" s="27"/>
      <c r="Q3710" s="26"/>
      <c r="R3710" s="28"/>
    </row>
    <row r="3711" spans="1:20" ht="30" customHeight="1" x14ac:dyDescent="0.45">
      <c r="A3711" s="47" t="s">
        <v>1022</v>
      </c>
      <c r="B3711" s="1008" t="s">
        <v>1951</v>
      </c>
      <c r="C3711" s="1009"/>
      <c r="D3711" s="1010"/>
      <c r="E3711" s="422">
        <v>0.53</v>
      </c>
      <c r="F3711" s="56" t="s">
        <v>35</v>
      </c>
      <c r="G3711" s="424">
        <v>57600</v>
      </c>
      <c r="H3711" s="56" t="s">
        <v>35</v>
      </c>
      <c r="I3711" s="58"/>
      <c r="J3711" s="410">
        <v>1.1100000000000001</v>
      </c>
      <c r="K3711" s="378">
        <f>+E3711*G3711*J3711</f>
        <v>33886.080000000002</v>
      </c>
      <c r="L3711" s="56" t="s">
        <v>88</v>
      </c>
      <c r="M3711" s="25"/>
      <c r="N3711" s="26"/>
      <c r="O3711" s="2"/>
      <c r="P3711" s="27"/>
      <c r="Q3711" s="26"/>
      <c r="R3711" s="28"/>
    </row>
    <row r="3712" spans="1:20" ht="30" customHeight="1" x14ac:dyDescent="0.45">
      <c r="A3712" s="47" t="s">
        <v>438</v>
      </c>
      <c r="B3712" s="1008" t="s">
        <v>1952</v>
      </c>
      <c r="C3712" s="1009"/>
      <c r="D3712" s="1010"/>
      <c r="E3712" s="422">
        <f>(3500+8800)/2</f>
        <v>6150</v>
      </c>
      <c r="F3712" s="348" t="s">
        <v>88</v>
      </c>
      <c r="G3712" s="424"/>
      <c r="H3712" s="349"/>
      <c r="I3712" s="58"/>
      <c r="J3712" s="410">
        <v>1.1100000000000001</v>
      </c>
      <c r="K3712" s="378">
        <f>E3712*J3712</f>
        <v>6826.5000000000009</v>
      </c>
      <c r="L3712" s="56" t="s">
        <v>88</v>
      </c>
      <c r="M3712" s="25"/>
      <c r="N3712" s="26"/>
      <c r="P3712" s="27"/>
      <c r="Q3712" s="26"/>
      <c r="R3712" s="28"/>
      <c r="T3712" s="41"/>
    </row>
    <row r="3713" spans="1:25" ht="30" customHeight="1" x14ac:dyDescent="0.45">
      <c r="A3713" s="47"/>
      <c r="B3713" s="1008" t="s">
        <v>1953</v>
      </c>
      <c r="C3713" s="1009"/>
      <c r="D3713" s="1010"/>
      <c r="E3713" s="422"/>
      <c r="F3713" s="348"/>
      <c r="G3713" s="424"/>
      <c r="H3713" s="349"/>
      <c r="I3713" s="58"/>
      <c r="J3713" s="223" t="s">
        <v>38</v>
      </c>
      <c r="K3713" s="378">
        <f>SUM(K3711,K3712)</f>
        <v>40712.58</v>
      </c>
      <c r="L3713" s="56" t="s">
        <v>88</v>
      </c>
      <c r="N3713" s="26"/>
      <c r="P3713" s="27"/>
      <c r="Q3713" s="26"/>
      <c r="R3713" s="28"/>
    </row>
    <row r="3714" spans="1:25" ht="30" customHeight="1" x14ac:dyDescent="0.45">
      <c r="A3714" s="47"/>
      <c r="B3714" s="1008" t="s">
        <v>1954</v>
      </c>
      <c r="C3714" s="1009"/>
      <c r="D3714" s="1010"/>
      <c r="E3714" s="422"/>
      <c r="F3714" s="348"/>
      <c r="G3714" s="222"/>
      <c r="H3714" s="351"/>
      <c r="I3714" s="58"/>
      <c r="J3714" s="223"/>
      <c r="K3714" s="378"/>
      <c r="L3714" s="47"/>
      <c r="M3714" s="25"/>
      <c r="N3714" s="26"/>
      <c r="O3714" s="2"/>
      <c r="P3714" s="27"/>
      <c r="Q3714" s="26"/>
      <c r="R3714" s="28"/>
      <c r="T3714" s="41"/>
    </row>
    <row r="3715" spans="1:25" ht="30" customHeight="1" x14ac:dyDescent="0.45">
      <c r="A3715" s="47" t="s">
        <v>1022</v>
      </c>
      <c r="B3715" s="1008" t="s">
        <v>1955</v>
      </c>
      <c r="C3715" s="1009"/>
      <c r="D3715" s="1010"/>
      <c r="E3715" s="422">
        <v>0.53</v>
      </c>
      <c r="F3715" s="56" t="s">
        <v>35</v>
      </c>
      <c r="G3715" s="424">
        <v>75250</v>
      </c>
      <c r="H3715" s="56" t="s">
        <v>35</v>
      </c>
      <c r="I3715" s="58"/>
      <c r="J3715" s="410">
        <v>1.1100000000000001</v>
      </c>
      <c r="K3715" s="378">
        <f>+E3715*G3715*J3715</f>
        <v>44269.575000000004</v>
      </c>
      <c r="L3715" s="56" t="s">
        <v>88</v>
      </c>
      <c r="M3715" s="25"/>
      <c r="N3715" s="26"/>
      <c r="P3715" s="27"/>
      <c r="Q3715" s="26"/>
      <c r="R3715" s="28"/>
    </row>
    <row r="3716" spans="1:25" ht="30" customHeight="1" x14ac:dyDescent="0.45">
      <c r="A3716" s="47"/>
      <c r="B3716" s="1008" t="s">
        <v>1956</v>
      </c>
      <c r="C3716" s="1009"/>
      <c r="D3716" s="1010"/>
      <c r="E3716" s="422"/>
      <c r="F3716" s="348"/>
      <c r="G3716" s="424"/>
      <c r="H3716" s="351"/>
      <c r="I3716" s="58"/>
      <c r="J3716" s="223"/>
      <c r="K3716" s="378"/>
      <c r="L3716" s="56"/>
      <c r="M3716" s="25"/>
      <c r="N3716" s="26"/>
      <c r="S3716" s="41"/>
    </row>
    <row r="3717" spans="1:25" ht="30" customHeight="1" x14ac:dyDescent="0.45">
      <c r="A3717" s="47" t="s">
        <v>1022</v>
      </c>
      <c r="B3717" s="1018" t="s">
        <v>1957</v>
      </c>
      <c r="C3717" s="1019"/>
      <c r="D3717" s="1020"/>
      <c r="E3717" s="422">
        <v>0.36</v>
      </c>
      <c r="F3717" s="56" t="s">
        <v>35</v>
      </c>
      <c r="G3717" s="424">
        <v>63360</v>
      </c>
      <c r="H3717" s="223" t="s">
        <v>296</v>
      </c>
      <c r="I3717" s="58"/>
      <c r="J3717" s="410">
        <v>1.1100000000000001</v>
      </c>
      <c r="K3717" s="378">
        <f>+E3717*G3717*J3717</f>
        <v>25318.655999999999</v>
      </c>
      <c r="L3717" s="56" t="s">
        <v>88</v>
      </c>
      <c r="M3717" s="25"/>
      <c r="N3717" s="26"/>
      <c r="S3717" s="41"/>
    </row>
    <row r="3718" spans="1:25" ht="30" customHeight="1" x14ac:dyDescent="0.45">
      <c r="A3718" s="47" t="s">
        <v>1022</v>
      </c>
      <c r="B3718" s="1018" t="s">
        <v>1958</v>
      </c>
      <c r="C3718" s="1019"/>
      <c r="D3718" s="1020"/>
      <c r="E3718" s="742">
        <v>0.55000000000000004</v>
      </c>
      <c r="F3718" s="56" t="s">
        <v>35</v>
      </c>
      <c r="G3718" s="424">
        <v>63360</v>
      </c>
      <c r="H3718" s="223" t="s">
        <v>296</v>
      </c>
      <c r="I3718" s="58"/>
      <c r="J3718" s="410">
        <v>1.1100000000000001</v>
      </c>
      <c r="K3718" s="378">
        <f>+E3718*G3718*J3718</f>
        <v>38681.280000000006</v>
      </c>
      <c r="L3718" s="56" t="s">
        <v>88</v>
      </c>
      <c r="M3718" s="25"/>
      <c r="N3718" s="26"/>
      <c r="T3718" s="41"/>
    </row>
    <row r="3719" spans="1:25" ht="30" customHeight="1" x14ac:dyDescent="0.45">
      <c r="A3719" s="47" t="s">
        <v>1022</v>
      </c>
      <c r="B3719" s="1018" t="s">
        <v>1959</v>
      </c>
      <c r="C3719" s="1019"/>
      <c r="D3719" s="1020"/>
      <c r="E3719" s="742">
        <v>4.4000000000000004</v>
      </c>
      <c r="F3719" s="56" t="s">
        <v>113</v>
      </c>
      <c r="G3719" s="424">
        <v>21120</v>
      </c>
      <c r="H3719" s="223" t="s">
        <v>473</v>
      </c>
      <c r="I3719" s="58"/>
      <c r="J3719" s="410">
        <v>1.1100000000000001</v>
      </c>
      <c r="K3719" s="378">
        <f>+E3719*G3719*J3719</f>
        <v>103150.08000000003</v>
      </c>
      <c r="L3719" s="56" t="s">
        <v>88</v>
      </c>
      <c r="M3719" s="25"/>
      <c r="N3719" s="26"/>
      <c r="T3719" s="41"/>
    </row>
    <row r="3720" spans="1:25" ht="30" customHeight="1" x14ac:dyDescent="0.45">
      <c r="A3720" s="225"/>
      <c r="B3720" s="977" t="s">
        <v>1960</v>
      </c>
      <c r="C3720" s="978"/>
      <c r="D3720" s="979"/>
      <c r="E3720" s="743"/>
      <c r="F3720" s="722"/>
      <c r="G3720" s="47"/>
      <c r="H3720" s="47"/>
      <c r="I3720" s="225"/>
      <c r="J3720" s="225" t="s">
        <v>38</v>
      </c>
      <c r="K3720" s="744">
        <f>SUM(K3717:K3719)</f>
        <v>167150.01600000003</v>
      </c>
      <c r="L3720" s="56" t="s">
        <v>88</v>
      </c>
      <c r="M3720" s="121"/>
      <c r="N3720" s="26"/>
      <c r="O3720" s="2"/>
    </row>
    <row r="3721" spans="1:25" ht="30" customHeight="1" x14ac:dyDescent="0.45">
      <c r="A3721" s="58"/>
      <c r="B3721" s="1205"/>
      <c r="C3721" s="1206"/>
      <c r="D3721" s="1158"/>
      <c r="E3721" s="58"/>
      <c r="F3721" s="58"/>
      <c r="G3721" s="58"/>
      <c r="H3721" s="58"/>
      <c r="I3721" s="1157" t="s">
        <v>1961</v>
      </c>
      <c r="J3721" s="1191"/>
      <c r="K3721" s="641">
        <f>+K3700+K3701+K3709+K3713+K3715+K3720</f>
        <v>958468.90500000003</v>
      </c>
      <c r="L3721" s="56" t="s">
        <v>88</v>
      </c>
      <c r="M3721" s="25"/>
      <c r="N3721" s="26"/>
      <c r="O3721" s="2"/>
      <c r="S3721" s="41"/>
    </row>
    <row r="3722" spans="1:25" ht="30" customHeight="1" x14ac:dyDescent="0.45">
      <c r="A3722" s="745"/>
      <c r="B3722" s="1207" t="s">
        <v>1962</v>
      </c>
      <c r="C3722" s="1208"/>
      <c r="D3722" s="1209"/>
      <c r="E3722" s="378"/>
      <c r="F3722" s="56"/>
      <c r="G3722" s="56"/>
      <c r="H3722" s="56"/>
      <c r="I3722" s="1157" t="s">
        <v>1963</v>
      </c>
      <c r="J3722" s="1191"/>
      <c r="K3722" s="378">
        <f>+K3721/6</f>
        <v>159744.8175</v>
      </c>
      <c r="L3722" s="56" t="s">
        <v>88</v>
      </c>
      <c r="M3722" s="25"/>
      <c r="N3722" s="26"/>
      <c r="O3722" s="2"/>
      <c r="S3722" s="41"/>
    </row>
    <row r="3723" spans="1:25" ht="30" customHeight="1" x14ac:dyDescent="0.45">
      <c r="A3723" s="47"/>
      <c r="B3723" s="224"/>
      <c r="C3723" s="224"/>
      <c r="D3723" s="224"/>
      <c r="E3723" s="221"/>
      <c r="F3723" s="1011" t="s">
        <v>285</v>
      </c>
      <c r="G3723" s="1013" t="s">
        <v>286</v>
      </c>
      <c r="H3723" s="1013"/>
      <c r="I3723" s="1013"/>
      <c r="J3723" s="1013"/>
      <c r="K3723" s="278">
        <v>1.06</v>
      </c>
      <c r="L3723" s="47"/>
      <c r="M3723" s="25"/>
      <c r="N3723" s="26"/>
      <c r="O3723" s="2"/>
      <c r="P3723" s="27"/>
      <c r="Q3723" s="26"/>
      <c r="R3723" s="28"/>
    </row>
    <row r="3724" spans="1:25" ht="30" customHeight="1" x14ac:dyDescent="0.45">
      <c r="A3724" s="47"/>
      <c r="B3724" s="224"/>
      <c r="C3724" s="224"/>
      <c r="D3724" s="224"/>
      <c r="E3724" s="221"/>
      <c r="F3724" s="1012"/>
      <c r="G3724" s="1014" t="s">
        <v>287</v>
      </c>
      <c r="H3724" s="1014"/>
      <c r="I3724" s="1014"/>
      <c r="J3724" s="1014"/>
      <c r="K3724" s="278">
        <v>1.05</v>
      </c>
      <c r="L3724" s="47"/>
      <c r="M3724" s="25"/>
      <c r="O3724" s="2"/>
      <c r="P3724" s="27"/>
      <c r="Q3724" s="26"/>
      <c r="R3724" s="28"/>
    </row>
    <row r="3725" spans="1:25" ht="30" customHeight="1" x14ac:dyDescent="0.45">
      <c r="A3725" s="47"/>
      <c r="B3725" s="746"/>
      <c r="C3725" s="467"/>
      <c r="D3725" s="747"/>
      <c r="E3725" s="58"/>
      <c r="F3725" s="58"/>
      <c r="G3725" s="58"/>
      <c r="H3725" s="58"/>
      <c r="I3725" s="58"/>
      <c r="J3725" s="29" t="s">
        <v>39</v>
      </c>
      <c r="K3725" s="313">
        <f>+K3722*K3723/K3724</f>
        <v>161266.19671428573</v>
      </c>
      <c r="L3725" s="47" t="s">
        <v>88</v>
      </c>
      <c r="M3725" s="25"/>
      <c r="O3725" s="2"/>
      <c r="P3725" s="27"/>
      <c r="Q3725" s="26"/>
      <c r="R3725" s="28"/>
    </row>
    <row r="3726" spans="1:25" ht="30" customHeight="1" thickBot="1" x14ac:dyDescent="0.5">
      <c r="A3726" s="47"/>
      <c r="B3726" s="748"/>
      <c r="C3726" s="476"/>
      <c r="D3726" s="749"/>
      <c r="E3726" s="58"/>
      <c r="F3726" s="58"/>
      <c r="G3726" s="1032" t="s">
        <v>288</v>
      </c>
      <c r="H3726" s="1033"/>
      <c r="I3726" s="1034"/>
      <c r="J3726" s="213">
        <f>VLOOKUP(B3698,'[1]Mil Cost Premiums for PUCs'!$A$4:$R$278,18,FALSE)</f>
        <v>1.0485669999999998</v>
      </c>
      <c r="K3726" s="313">
        <f>+K3725*J3726</f>
        <v>169098.41209010841</v>
      </c>
      <c r="L3726" s="47" t="s">
        <v>88</v>
      </c>
      <c r="M3726" s="25"/>
      <c r="O3726" s="2"/>
      <c r="P3726" s="27"/>
      <c r="Q3726" s="26"/>
      <c r="R3726" s="28"/>
    </row>
    <row r="3727" spans="1:25" ht="30" customHeight="1" thickBot="1" x14ac:dyDescent="0.5">
      <c r="A3727" s="999"/>
      <c r="B3727" s="1000"/>
      <c r="C3727" s="1000"/>
      <c r="D3727" s="1000"/>
      <c r="E3727" s="1000"/>
      <c r="F3727" s="1000"/>
      <c r="G3727" s="1000"/>
      <c r="H3727" s="1000"/>
      <c r="I3727" s="1000"/>
      <c r="J3727" s="1000"/>
      <c r="K3727" s="1000"/>
      <c r="L3727" s="1001"/>
      <c r="M3727" s="25"/>
      <c r="O3727" s="2"/>
      <c r="P3727" s="27"/>
      <c r="Q3727" s="26"/>
      <c r="R3727" s="28"/>
    </row>
    <row r="3728" spans="1:25" s="18" customFormat="1" ht="30" customHeight="1" x14ac:dyDescent="0.45">
      <c r="A3728" s="9" t="s">
        <v>4</v>
      </c>
      <c r="B3728" s="10">
        <v>7601</v>
      </c>
      <c r="C3728" s="983" t="s">
        <v>1964</v>
      </c>
      <c r="D3728" s="984"/>
      <c r="E3728" s="13" t="s">
        <v>7</v>
      </c>
      <c r="F3728" s="14" t="s">
        <v>35</v>
      </c>
      <c r="G3728" s="11" t="s">
        <v>6</v>
      </c>
      <c r="H3728" s="163">
        <v>17065.240293040199</v>
      </c>
      <c r="I3728" s="13" t="s">
        <v>9</v>
      </c>
      <c r="J3728" s="985" t="s">
        <v>276</v>
      </c>
      <c r="K3728" s="985"/>
      <c r="L3728" s="986"/>
      <c r="M3728" s="25"/>
      <c r="N3728" s="26"/>
      <c r="O3728" s="3"/>
      <c r="P3728" s="2"/>
      <c r="Q3728" s="2"/>
      <c r="R3728" s="2"/>
      <c r="S3728" s="2"/>
      <c r="T3728" s="41"/>
      <c r="U3728" s="2"/>
      <c r="V3728" s="2"/>
      <c r="W3728" s="2"/>
      <c r="X3728" s="2"/>
      <c r="Y3728" s="2"/>
    </row>
    <row r="3729" spans="1:25" s="18" customFormat="1" ht="30" customHeight="1" x14ac:dyDescent="0.45">
      <c r="A3729" s="85" t="s">
        <v>277</v>
      </c>
      <c r="B3729" s="987" t="s">
        <v>293</v>
      </c>
      <c r="C3729" s="988"/>
      <c r="D3729" s="989"/>
      <c r="E3729" s="220" t="s">
        <v>13</v>
      </c>
      <c r="F3729" s="220" t="s">
        <v>14</v>
      </c>
      <c r="G3729" s="990" t="s">
        <v>15</v>
      </c>
      <c r="H3729" s="991"/>
      <c r="I3729" s="19" t="s">
        <v>1316</v>
      </c>
      <c r="J3729" s="19" t="s">
        <v>278</v>
      </c>
      <c r="K3729" s="23" t="s">
        <v>17</v>
      </c>
      <c r="L3729" s="24"/>
      <c r="M3729" s="25"/>
      <c r="N3729" s="2"/>
      <c r="O3729" s="3"/>
      <c r="P3729" s="2"/>
      <c r="Q3729" s="2"/>
      <c r="R3729" s="2"/>
      <c r="S3729" s="2"/>
      <c r="T3729" s="41"/>
      <c r="U3729" s="2"/>
      <c r="V3729" s="2"/>
      <c r="W3729" s="2"/>
      <c r="X3729" s="2"/>
      <c r="Y3729" s="2"/>
    </row>
    <row r="3730" spans="1:25" s="18" customFormat="1" ht="30" customHeight="1" x14ac:dyDescent="0.45">
      <c r="A3730" s="47" t="s">
        <v>1965</v>
      </c>
      <c r="B3730" s="1008" t="s">
        <v>1966</v>
      </c>
      <c r="C3730" s="1009"/>
      <c r="D3730" s="1010"/>
      <c r="E3730" s="378">
        <v>244</v>
      </c>
      <c r="F3730" s="56" t="s">
        <v>35</v>
      </c>
      <c r="G3730" s="348"/>
      <c r="H3730" s="349"/>
      <c r="I3730" s="58"/>
      <c r="J3730" s="47">
        <v>1.21</v>
      </c>
      <c r="K3730" s="375">
        <f>+E3730*J3730</f>
        <v>295.24</v>
      </c>
      <c r="L3730" s="56" t="s">
        <v>35</v>
      </c>
      <c r="M3730" s="25"/>
      <c r="N3730" s="2"/>
      <c r="O3730" s="3"/>
      <c r="P3730" s="2"/>
      <c r="Q3730" s="2"/>
      <c r="R3730" s="2"/>
      <c r="S3730" s="41"/>
      <c r="T3730" s="41"/>
      <c r="U3730" s="2"/>
      <c r="V3730" s="2"/>
      <c r="W3730" s="2"/>
      <c r="X3730" s="2"/>
      <c r="Y3730" s="2"/>
    </row>
    <row r="3731" spans="1:25" ht="30" customHeight="1" x14ac:dyDescent="0.45">
      <c r="A3731" s="676" t="s">
        <v>1799</v>
      </c>
      <c r="B3731" s="1008" t="s">
        <v>1690</v>
      </c>
      <c r="C3731" s="1009"/>
      <c r="D3731" s="1010"/>
      <c r="E3731" s="378">
        <v>5.09</v>
      </c>
      <c r="F3731" s="56" t="s">
        <v>35</v>
      </c>
      <c r="G3731" s="348"/>
      <c r="H3731" s="349"/>
      <c r="I3731" s="58"/>
      <c r="J3731" s="47">
        <v>1.21</v>
      </c>
      <c r="K3731" s="375">
        <f>+E3731*J3731</f>
        <v>6.1589</v>
      </c>
      <c r="L3731" s="56" t="s">
        <v>35</v>
      </c>
      <c r="M3731" s="25"/>
      <c r="S3731" s="41"/>
    </row>
    <row r="3732" spans="1:25" ht="30" customHeight="1" x14ac:dyDescent="0.45">
      <c r="A3732" s="426"/>
      <c r="B3732" s="1008"/>
      <c r="C3732" s="1009"/>
      <c r="D3732" s="1010"/>
      <c r="E3732" s="221"/>
      <c r="F3732" s="56"/>
      <c r="G3732" s="222"/>
      <c r="H3732" s="223"/>
      <c r="I3732" s="47"/>
      <c r="J3732" s="47" t="s">
        <v>38</v>
      </c>
      <c r="K3732" s="216">
        <f>SUM(K3730:K3731)</f>
        <v>301.39890000000003</v>
      </c>
      <c r="L3732" s="47" t="s">
        <v>35</v>
      </c>
      <c r="M3732" s="25"/>
      <c r="N3732" s="229"/>
      <c r="S3732" s="41"/>
    </row>
    <row r="3733" spans="1:25" ht="30" customHeight="1" x14ac:dyDescent="0.45">
      <c r="A3733" s="47"/>
      <c r="B3733" s="224"/>
      <c r="C3733" s="224"/>
      <c r="D3733" s="224"/>
      <c r="E3733" s="221"/>
      <c r="F3733" s="1011" t="s">
        <v>285</v>
      </c>
      <c r="G3733" s="1013" t="s">
        <v>286</v>
      </c>
      <c r="H3733" s="1013"/>
      <c r="I3733" s="1013"/>
      <c r="J3733" s="1013"/>
      <c r="K3733" s="278">
        <v>1.06</v>
      </c>
      <c r="L3733" s="47"/>
      <c r="M3733" s="25"/>
      <c r="N3733" s="229"/>
      <c r="S3733" s="41"/>
    </row>
    <row r="3734" spans="1:25" ht="30" customHeight="1" x14ac:dyDescent="0.45">
      <c r="A3734" s="47"/>
      <c r="B3734" s="224"/>
      <c r="C3734" s="224"/>
      <c r="D3734" s="224"/>
      <c r="E3734" s="221"/>
      <c r="F3734" s="1012"/>
      <c r="G3734" s="1014" t="s">
        <v>287</v>
      </c>
      <c r="H3734" s="1014"/>
      <c r="I3734" s="1014"/>
      <c r="J3734" s="1014"/>
      <c r="K3734" s="278">
        <v>1.05</v>
      </c>
      <c r="L3734" s="47"/>
      <c r="M3734" s="25"/>
      <c r="N3734" s="229"/>
      <c r="R3734" s="41"/>
      <c r="S3734" s="41"/>
    </row>
    <row r="3735" spans="1:25" ht="30" customHeight="1" x14ac:dyDescent="0.45">
      <c r="A3735" s="426"/>
      <c r="B3735" s="1008"/>
      <c r="C3735" s="1009"/>
      <c r="D3735" s="1010"/>
      <c r="E3735" s="221"/>
      <c r="F3735" s="56"/>
      <c r="G3735" s="222"/>
      <c r="H3735" s="223"/>
      <c r="I3735" s="47"/>
      <c r="J3735" s="47" t="s">
        <v>39</v>
      </c>
      <c r="K3735" s="216">
        <f>+K3732*K3733/K3734</f>
        <v>304.2693657142857</v>
      </c>
      <c r="L3735" s="47" t="s">
        <v>35</v>
      </c>
      <c r="M3735" s="25"/>
      <c r="R3735" s="90"/>
      <c r="S3735" s="90"/>
    </row>
    <row r="3736" spans="1:25" ht="30" customHeight="1" thickBot="1" x14ac:dyDescent="0.5">
      <c r="A3736" s="47"/>
      <c r="B3736" s="47"/>
      <c r="C3736" s="58"/>
      <c r="D3736" s="58"/>
      <c r="E3736" s="58"/>
      <c r="F3736" s="58"/>
      <c r="G3736" s="1032" t="s">
        <v>288</v>
      </c>
      <c r="H3736" s="1033"/>
      <c r="I3736" s="1034"/>
      <c r="J3736" s="213">
        <f>VLOOKUP(B3728,'[1]Mil Cost Premiums for PUCs'!$A$4:$R$278,18,FALSE)</f>
        <v>1.3319480854780448</v>
      </c>
      <c r="K3736" s="216">
        <f>+K3735*J3736</f>
        <v>405.27099913276186</v>
      </c>
      <c r="L3736" s="47" t="s">
        <v>35</v>
      </c>
      <c r="M3736" s="84"/>
      <c r="R3736" s="41"/>
      <c r="S3736" s="41"/>
    </row>
    <row r="3737" spans="1:25" ht="30" customHeight="1" thickBot="1" x14ac:dyDescent="0.5">
      <c r="A3737" s="999"/>
      <c r="B3737" s="1000"/>
      <c r="C3737" s="1000"/>
      <c r="D3737" s="1000"/>
      <c r="E3737" s="1000"/>
      <c r="F3737" s="1000"/>
      <c r="G3737" s="1000"/>
      <c r="H3737" s="1000"/>
      <c r="I3737" s="1000"/>
      <c r="J3737" s="1000"/>
      <c r="K3737" s="1000"/>
      <c r="L3737" s="1001"/>
      <c r="M3737" s="25"/>
      <c r="R3737" s="41"/>
      <c r="S3737" s="41"/>
    </row>
    <row r="3738" spans="1:25" ht="30" customHeight="1" x14ac:dyDescent="0.45">
      <c r="A3738" s="9" t="s">
        <v>4</v>
      </c>
      <c r="B3738" s="10">
        <v>7602</v>
      </c>
      <c r="C3738" s="1002" t="s">
        <v>1967</v>
      </c>
      <c r="D3738" s="1003"/>
      <c r="E3738" s="13" t="s">
        <v>7</v>
      </c>
      <c r="F3738" s="167" t="s">
        <v>88</v>
      </c>
      <c r="G3738" s="11" t="s">
        <v>148</v>
      </c>
      <c r="H3738" s="750">
        <v>1</v>
      </c>
      <c r="I3738" s="13" t="s">
        <v>9</v>
      </c>
      <c r="J3738" s="1155" t="s">
        <v>1968</v>
      </c>
      <c r="K3738" s="1156"/>
      <c r="L3738" s="1127"/>
      <c r="M3738" s="25"/>
      <c r="R3738" s="41"/>
      <c r="S3738" s="41"/>
    </row>
    <row r="3739" spans="1:25" ht="30" customHeight="1" x14ac:dyDescent="0.45">
      <c r="A3739" s="19"/>
      <c r="B3739" s="1005" t="s">
        <v>12</v>
      </c>
      <c r="C3739" s="1005"/>
      <c r="D3739" s="1005"/>
      <c r="E3739" s="19" t="s">
        <v>13</v>
      </c>
      <c r="F3739" s="19" t="s">
        <v>14</v>
      </c>
      <c r="G3739" s="990" t="s">
        <v>15</v>
      </c>
      <c r="H3739" s="991"/>
      <c r="I3739" s="19" t="s">
        <v>59</v>
      </c>
      <c r="J3739" s="19" t="s">
        <v>60</v>
      </c>
      <c r="K3739" s="992" t="s">
        <v>39</v>
      </c>
      <c r="L3739" s="993"/>
      <c r="R3739" s="41"/>
      <c r="S3739" s="41"/>
    </row>
    <row r="3740" spans="1:25" ht="30" customHeight="1" x14ac:dyDescent="0.45">
      <c r="A3740" s="38"/>
      <c r="B3740" s="1204" t="s">
        <v>1969</v>
      </c>
      <c r="C3740" s="1204"/>
      <c r="D3740" s="1204"/>
      <c r="E3740" s="104">
        <f>+(4000+30000)/2</f>
        <v>17000</v>
      </c>
      <c r="F3740" s="105" t="s">
        <v>88</v>
      </c>
      <c r="G3740" s="1084"/>
      <c r="H3740" s="1085"/>
      <c r="I3740" s="595">
        <v>1.1000000000000001</v>
      </c>
      <c r="J3740" s="543">
        <f>+'[1]2023 MILCON Inflation Table'!F19</f>
        <v>1</v>
      </c>
      <c r="K3740" s="108">
        <f>+E3740*I3740*J3740</f>
        <v>18700</v>
      </c>
      <c r="L3740" s="105" t="s">
        <v>88</v>
      </c>
      <c r="M3740" s="25"/>
      <c r="N3740" s="26"/>
      <c r="O3740" s="2"/>
      <c r="P3740" s="27"/>
      <c r="Q3740" s="26"/>
      <c r="R3740" s="28"/>
    </row>
    <row r="3741" spans="1:25" ht="30" customHeight="1" thickBot="1" x14ac:dyDescent="0.5">
      <c r="A3741" s="111"/>
      <c r="B3741" s="1204" t="s">
        <v>1970</v>
      </c>
      <c r="C3741" s="1204"/>
      <c r="D3741" s="1204"/>
      <c r="E3741" s="651"/>
      <c r="F3741" s="491"/>
      <c r="G3741" s="1032" t="s">
        <v>288</v>
      </c>
      <c r="H3741" s="1033"/>
      <c r="I3741" s="1034"/>
      <c r="J3741" s="213">
        <f>VLOOKUP(B3738,'[1]Mil Cost Premiums for PUCs'!$A$4:$R$278,18,FALSE)</f>
        <v>1.1199953840399997</v>
      </c>
      <c r="K3741" s="216">
        <f>+K3740*J3741</f>
        <v>20943.913681547994</v>
      </c>
      <c r="L3741" s="105" t="s">
        <v>88</v>
      </c>
      <c r="M3741" s="25"/>
      <c r="N3741" s="26"/>
      <c r="O3741" s="2"/>
      <c r="P3741" s="27"/>
      <c r="Q3741" s="26"/>
      <c r="R3741" s="28"/>
    </row>
    <row r="3742" spans="1:25" ht="30" customHeight="1" thickBot="1" x14ac:dyDescent="0.5">
      <c r="A3742" s="999"/>
      <c r="B3742" s="1000"/>
      <c r="C3742" s="1000"/>
      <c r="D3742" s="1000"/>
      <c r="E3742" s="1000"/>
      <c r="F3742" s="1000"/>
      <c r="G3742" s="1000"/>
      <c r="H3742" s="1000"/>
      <c r="I3742" s="1000"/>
      <c r="J3742" s="1000"/>
      <c r="K3742" s="1000"/>
      <c r="L3742" s="1001"/>
      <c r="M3742" s="25"/>
      <c r="R3742" s="41"/>
      <c r="S3742" s="41"/>
    </row>
    <row r="3743" spans="1:25" ht="30" customHeight="1" x14ac:dyDescent="0.45">
      <c r="A3743" s="9" t="s">
        <v>4</v>
      </c>
      <c r="B3743" s="10">
        <v>7603</v>
      </c>
      <c r="C3743" s="1002" t="s">
        <v>1971</v>
      </c>
      <c r="D3743" s="1003"/>
      <c r="E3743" s="13" t="s">
        <v>7</v>
      </c>
      <c r="F3743" s="167" t="s">
        <v>88</v>
      </c>
      <c r="G3743" s="11" t="s">
        <v>148</v>
      </c>
      <c r="H3743" s="750">
        <v>1</v>
      </c>
      <c r="I3743" s="13" t="s">
        <v>9</v>
      </c>
      <c r="J3743" s="1155" t="s">
        <v>673</v>
      </c>
      <c r="K3743" s="1156"/>
      <c r="L3743" s="1127"/>
      <c r="M3743" s="25"/>
      <c r="R3743" s="41"/>
      <c r="S3743" s="41"/>
    </row>
    <row r="3744" spans="1:25" ht="30" customHeight="1" x14ac:dyDescent="0.45">
      <c r="A3744" s="19"/>
      <c r="B3744" s="1005" t="s">
        <v>12</v>
      </c>
      <c r="C3744" s="1005"/>
      <c r="D3744" s="1005"/>
      <c r="E3744" s="19" t="s">
        <v>13</v>
      </c>
      <c r="F3744" s="19" t="s">
        <v>14</v>
      </c>
      <c r="G3744" s="990" t="s">
        <v>15</v>
      </c>
      <c r="H3744" s="991"/>
      <c r="I3744" s="19" t="s">
        <v>59</v>
      </c>
      <c r="J3744" s="19" t="s">
        <v>60</v>
      </c>
      <c r="K3744" s="992" t="s">
        <v>39</v>
      </c>
      <c r="L3744" s="993"/>
      <c r="M3744" s="25"/>
      <c r="R3744" s="41"/>
      <c r="S3744" s="41"/>
    </row>
    <row r="3745" spans="1:20" ht="30" customHeight="1" thickBot="1" x14ac:dyDescent="0.5">
      <c r="A3745" s="38"/>
      <c r="B3745" s="1203" t="s">
        <v>676</v>
      </c>
      <c r="C3745" s="1203"/>
      <c r="D3745" s="1203"/>
      <c r="E3745" s="104"/>
      <c r="F3745" s="105"/>
      <c r="G3745" s="1084"/>
      <c r="H3745" s="1085"/>
      <c r="I3745" s="105"/>
      <c r="J3745" s="106"/>
      <c r="K3745" s="108" t="s">
        <v>676</v>
      </c>
      <c r="L3745" s="105" t="s">
        <v>88</v>
      </c>
      <c r="M3745" s="25"/>
      <c r="R3745" s="41"/>
      <c r="S3745" s="41"/>
    </row>
    <row r="3746" spans="1:20" ht="30" customHeight="1" thickBot="1" x14ac:dyDescent="0.5">
      <c r="A3746" s="999"/>
      <c r="B3746" s="1000"/>
      <c r="C3746" s="1000"/>
      <c r="D3746" s="1000"/>
      <c r="E3746" s="1000"/>
      <c r="F3746" s="1000"/>
      <c r="G3746" s="1000"/>
      <c r="H3746" s="1000"/>
      <c r="I3746" s="1000"/>
      <c r="J3746" s="1000"/>
      <c r="K3746" s="1000"/>
      <c r="L3746" s="1001"/>
      <c r="M3746" s="25"/>
      <c r="R3746" s="41"/>
      <c r="S3746" s="41"/>
    </row>
    <row r="3747" spans="1:20" ht="30" customHeight="1" x14ac:dyDescent="0.45">
      <c r="A3747" s="9" t="s">
        <v>4</v>
      </c>
      <c r="B3747" s="10">
        <v>7604</v>
      </c>
      <c r="C3747" s="983" t="s">
        <v>1972</v>
      </c>
      <c r="D3747" s="984"/>
      <c r="E3747" s="13" t="s">
        <v>7</v>
      </c>
      <c r="F3747" s="14" t="s">
        <v>488</v>
      </c>
      <c r="G3747" s="11" t="s">
        <v>6</v>
      </c>
      <c r="H3747" s="163">
        <v>4660</v>
      </c>
      <c r="I3747" s="13" t="s">
        <v>9</v>
      </c>
      <c r="J3747" s="985" t="s">
        <v>575</v>
      </c>
      <c r="K3747" s="985"/>
      <c r="L3747" s="986"/>
      <c r="M3747" s="25"/>
      <c r="R3747" s="41"/>
      <c r="S3747" s="41"/>
    </row>
    <row r="3748" spans="1:20" ht="30" customHeight="1" x14ac:dyDescent="0.45">
      <c r="A3748" s="85" t="s">
        <v>277</v>
      </c>
      <c r="B3748" s="1005" t="s">
        <v>12</v>
      </c>
      <c r="C3748" s="1005"/>
      <c r="D3748" s="1005"/>
      <c r="E3748" s="220" t="s">
        <v>13</v>
      </c>
      <c r="F3748" s="220" t="s">
        <v>14</v>
      </c>
      <c r="G3748" s="990" t="s">
        <v>15</v>
      </c>
      <c r="H3748" s="991"/>
      <c r="I3748" s="19" t="s">
        <v>278</v>
      </c>
      <c r="J3748" s="19"/>
      <c r="K3748" s="23" t="s">
        <v>17</v>
      </c>
      <c r="L3748" s="24"/>
      <c r="M3748" s="25"/>
      <c r="R3748" s="41"/>
      <c r="S3748" s="41"/>
    </row>
    <row r="3749" spans="1:20" ht="30" customHeight="1" x14ac:dyDescent="0.45">
      <c r="A3749" s="642" t="s">
        <v>1489</v>
      </c>
      <c r="B3749" s="1008" t="s">
        <v>1973</v>
      </c>
      <c r="C3749" s="1009"/>
      <c r="D3749" s="1010"/>
      <c r="E3749" s="378">
        <v>166</v>
      </c>
      <c r="F3749" s="56" t="s">
        <v>1974</v>
      </c>
      <c r="G3749" s="348">
        <v>1.54</v>
      </c>
      <c r="H3749" s="309" t="s">
        <v>1975</v>
      </c>
      <c r="I3749" s="365">
        <v>1.03</v>
      </c>
      <c r="J3749" s="47"/>
      <c r="K3749" s="375">
        <f>+E3749*I3749/G3749</f>
        <v>111.02597402597404</v>
      </c>
      <c r="L3749" s="56" t="s">
        <v>488</v>
      </c>
      <c r="M3749" s="25"/>
      <c r="R3749" s="41"/>
      <c r="S3749" s="41"/>
      <c r="T3749" s="41"/>
    </row>
    <row r="3750" spans="1:20" ht="30" customHeight="1" x14ac:dyDescent="0.45">
      <c r="A3750" s="47"/>
      <c r="B3750" s="224"/>
      <c r="C3750" s="224"/>
      <c r="D3750" s="224"/>
      <c r="E3750" s="221"/>
      <c r="F3750" s="1011" t="s">
        <v>285</v>
      </c>
      <c r="G3750" s="1013" t="s">
        <v>286</v>
      </c>
      <c r="H3750" s="1013"/>
      <c r="I3750" s="1013"/>
      <c r="J3750" s="1013"/>
      <c r="K3750" s="202">
        <v>1.07</v>
      </c>
      <c r="L3750" s="47"/>
      <c r="M3750" s="25"/>
      <c r="R3750" s="41"/>
      <c r="S3750" s="41"/>
      <c r="T3750" s="41"/>
    </row>
    <row r="3751" spans="1:20" ht="30" customHeight="1" x14ac:dyDescent="0.45">
      <c r="A3751" s="225"/>
      <c r="B3751" s="536"/>
      <c r="C3751" s="536"/>
      <c r="D3751" s="536"/>
      <c r="E3751" s="537"/>
      <c r="F3751" s="1197"/>
      <c r="G3751" s="1014" t="s">
        <v>580</v>
      </c>
      <c r="H3751" s="1014"/>
      <c r="I3751" s="1014"/>
      <c r="J3751" s="1014"/>
      <c r="K3751" s="751">
        <v>1.08</v>
      </c>
      <c r="L3751" s="225"/>
      <c r="M3751" s="25"/>
      <c r="R3751" s="41"/>
      <c r="S3751" s="41"/>
      <c r="T3751" s="41"/>
    </row>
    <row r="3752" spans="1:20" ht="30" customHeight="1" x14ac:dyDescent="0.45">
      <c r="A3752" s="752"/>
      <c r="B3752" s="1202"/>
      <c r="C3752" s="1202"/>
      <c r="D3752" s="1202"/>
      <c r="E3752" s="753"/>
      <c r="F3752" s="531"/>
      <c r="G3752" s="531"/>
      <c r="H3752" s="531"/>
      <c r="I3752" s="531"/>
      <c r="J3752" s="531" t="s">
        <v>39</v>
      </c>
      <c r="K3752" s="754">
        <f>+K3749*K3750/K3751</f>
        <v>109.99795574795576</v>
      </c>
      <c r="L3752" s="531" t="s">
        <v>488</v>
      </c>
      <c r="M3752" s="25"/>
      <c r="S3752" s="41"/>
      <c r="T3752" s="41"/>
    </row>
    <row r="3753" spans="1:20" ht="30" customHeight="1" x14ac:dyDescent="0.45">
      <c r="A3753" s="531"/>
      <c r="B3753" s="1052" t="s">
        <v>1976</v>
      </c>
      <c r="C3753" s="1052"/>
      <c r="D3753" s="1052"/>
      <c r="E3753" s="538"/>
      <c r="F3753" s="538"/>
      <c r="G3753" s="1021" t="s">
        <v>288</v>
      </c>
      <c r="H3753" s="1022"/>
      <c r="I3753" s="1023"/>
      <c r="J3753" s="755">
        <f>VLOOKUP(B3747,'[1]Mil Cost Premiums for PUCs'!$A$4:$R$278,18,FALSE)</f>
        <v>1.1199953840399997</v>
      </c>
      <c r="K3753" s="754">
        <f>+K3752*J3753</f>
        <v>123.19720269154659</v>
      </c>
      <c r="L3753" s="531" t="s">
        <v>488</v>
      </c>
      <c r="M3753" s="25"/>
      <c r="N3753" s="306"/>
      <c r="S3753" s="41"/>
      <c r="T3753" s="41"/>
    </row>
    <row r="3754" spans="1:20" ht="30" customHeight="1" x14ac:dyDescent="0.45">
      <c r="A3754" s="541"/>
      <c r="B3754" s="541"/>
      <c r="C3754" s="542"/>
      <c r="D3754" s="542"/>
      <c r="E3754" s="542"/>
      <c r="F3754" s="1024" t="s">
        <v>581</v>
      </c>
      <c r="G3754" s="1024"/>
      <c r="H3754" s="1024"/>
      <c r="I3754" s="1024"/>
      <c r="J3754" s="756">
        <v>1.0833999999999999</v>
      </c>
      <c r="K3754" s="757">
        <f>K3753*J3754</f>
        <v>133.47184939602158</v>
      </c>
      <c r="L3754" s="541" t="s">
        <v>488</v>
      </c>
      <c r="M3754" s="25"/>
      <c r="S3754" s="41"/>
      <c r="T3754" s="41"/>
    </row>
    <row r="3755" spans="1:20" ht="30" customHeight="1" thickBot="1" x14ac:dyDescent="0.5">
      <c r="A3755" s="225"/>
      <c r="B3755" s="225"/>
      <c r="C3755" s="150"/>
      <c r="D3755" s="150"/>
      <c r="E3755" s="150"/>
      <c r="F3755" s="150"/>
      <c r="G3755" s="1025" t="s">
        <v>299</v>
      </c>
      <c r="H3755" s="1026"/>
      <c r="I3755" s="1027"/>
      <c r="J3755" s="226">
        <v>1.1214</v>
      </c>
      <c r="K3755" s="227">
        <f>+K3754*J3755</f>
        <v>149.6753319126986</v>
      </c>
      <c r="L3755" s="541" t="s">
        <v>488</v>
      </c>
      <c r="M3755" s="25"/>
    </row>
    <row r="3756" spans="1:20" ht="30" customHeight="1" thickBot="1" x14ac:dyDescent="0.5">
      <c r="A3756" s="1077"/>
      <c r="B3756" s="1078"/>
      <c r="C3756" s="1078"/>
      <c r="D3756" s="1078"/>
      <c r="E3756" s="1078"/>
      <c r="F3756" s="1078"/>
      <c r="G3756" s="1078"/>
      <c r="H3756" s="1078"/>
      <c r="I3756" s="1078"/>
      <c r="J3756" s="1078"/>
      <c r="K3756" s="1078"/>
      <c r="L3756" s="1079"/>
      <c r="M3756" s="25"/>
      <c r="S3756" s="41"/>
      <c r="T3756" s="41"/>
    </row>
    <row r="3757" spans="1:20" ht="30" customHeight="1" x14ac:dyDescent="0.45">
      <c r="A3757" s="93" t="s">
        <v>4</v>
      </c>
      <c r="B3757" s="76">
        <v>7605</v>
      </c>
      <c r="C3757" s="1073" t="s">
        <v>1977</v>
      </c>
      <c r="D3757" s="1074"/>
      <c r="E3757" s="94" t="s">
        <v>7</v>
      </c>
      <c r="F3757" s="95" t="s">
        <v>88</v>
      </c>
      <c r="G3757" s="408"/>
      <c r="H3757" s="758"/>
      <c r="I3757" s="94" t="s">
        <v>9</v>
      </c>
      <c r="J3757" s="1088" t="s">
        <v>1978</v>
      </c>
      <c r="K3757" s="1088"/>
      <c r="L3757" s="1089"/>
      <c r="S3757" s="41"/>
    </row>
    <row r="3758" spans="1:20" ht="30" customHeight="1" x14ac:dyDescent="0.45">
      <c r="A3758" s="19"/>
      <c r="B3758" s="1005" t="s">
        <v>12</v>
      </c>
      <c r="C3758" s="1005"/>
      <c r="D3758" s="1005"/>
      <c r="E3758" s="19" t="s">
        <v>534</v>
      </c>
      <c r="F3758" s="19" t="s">
        <v>14</v>
      </c>
      <c r="G3758" s="990" t="s">
        <v>15</v>
      </c>
      <c r="H3758" s="991"/>
      <c r="I3758" s="21" t="s">
        <v>59</v>
      </c>
      <c r="J3758" s="19" t="s">
        <v>60</v>
      </c>
      <c r="K3758" s="23" t="s">
        <v>17</v>
      </c>
      <c r="L3758" s="24"/>
      <c r="M3758" s="25"/>
      <c r="N3758" s="26"/>
      <c r="O3758" s="2"/>
      <c r="P3758" s="27"/>
      <c r="Q3758" s="26"/>
      <c r="R3758" s="28"/>
    </row>
    <row r="3759" spans="1:20" ht="30" customHeight="1" x14ac:dyDescent="0.45">
      <c r="A3759" s="38"/>
      <c r="B3759" s="1092" t="s">
        <v>1979</v>
      </c>
      <c r="C3759" s="1092"/>
      <c r="D3759" s="1092"/>
      <c r="E3759" s="104">
        <v>6390138</v>
      </c>
      <c r="F3759" s="105" t="s">
        <v>119</v>
      </c>
      <c r="G3759" s="47">
        <v>184</v>
      </c>
      <c r="H3759" s="79" t="s">
        <v>1980</v>
      </c>
      <c r="I3759" s="759">
        <v>1.05</v>
      </c>
      <c r="J3759" s="346">
        <f>+'[1]2023 MILCON Inflation Table'!F4</f>
        <v>1.6555629516459143</v>
      </c>
      <c r="K3759" s="104">
        <f>+E3759/G3759/I3759*J3759</f>
        <v>54758.155945676604</v>
      </c>
      <c r="L3759" s="105" t="s">
        <v>88</v>
      </c>
      <c r="M3759" s="25"/>
      <c r="S3759" s="41"/>
    </row>
    <row r="3760" spans="1:20" ht="30" customHeight="1" x14ac:dyDescent="0.45">
      <c r="A3760" s="1104" t="s">
        <v>1981</v>
      </c>
      <c r="B3760" s="1105"/>
      <c r="C3760" s="1105"/>
      <c r="D3760" s="1106"/>
      <c r="E3760" s="760"/>
      <c r="F3760" s="105"/>
      <c r="G3760" s="47"/>
      <c r="H3760" s="439"/>
      <c r="I3760" s="1135" t="s">
        <v>1982</v>
      </c>
      <c r="J3760" s="1137"/>
      <c r="K3760" s="104">
        <f>+K3759</f>
        <v>54758.155945676604</v>
      </c>
      <c r="L3760" s="47" t="s">
        <v>88</v>
      </c>
      <c r="M3760" s="25"/>
      <c r="S3760" s="41"/>
    </row>
    <row r="3761" spans="1:20" ht="30" customHeight="1" thickBot="1" x14ac:dyDescent="0.5">
      <c r="A3761" s="1199"/>
      <c r="B3761" s="1200"/>
      <c r="C3761" s="1200"/>
      <c r="D3761" s="1201"/>
      <c r="E3761" s="1175" t="s">
        <v>1983</v>
      </c>
      <c r="F3761" s="1086"/>
      <c r="G3761" s="1086"/>
      <c r="H3761" s="1087"/>
      <c r="I3761" s="58"/>
      <c r="J3761" s="85" t="s">
        <v>39</v>
      </c>
      <c r="K3761" s="761">
        <f>+K3760</f>
        <v>54758.155945676604</v>
      </c>
      <c r="L3761" s="47" t="s">
        <v>88</v>
      </c>
      <c r="M3761" s="25"/>
      <c r="R3761" s="41"/>
      <c r="S3761" s="41"/>
    </row>
    <row r="3762" spans="1:20" ht="30" customHeight="1" thickBot="1" x14ac:dyDescent="0.5">
      <c r="A3762" s="999"/>
      <c r="B3762" s="1000"/>
      <c r="C3762" s="1000"/>
      <c r="D3762" s="1000"/>
      <c r="E3762" s="1000"/>
      <c r="F3762" s="1000"/>
      <c r="G3762" s="1000"/>
      <c r="H3762" s="1000"/>
      <c r="I3762" s="1000"/>
      <c r="J3762" s="1000"/>
      <c r="K3762" s="1000"/>
      <c r="L3762" s="1001"/>
      <c r="M3762" s="25"/>
      <c r="R3762" s="41"/>
      <c r="S3762" s="41"/>
    </row>
    <row r="3763" spans="1:20" ht="30" customHeight="1" x14ac:dyDescent="0.45">
      <c r="A3763" s="9" t="s">
        <v>4</v>
      </c>
      <c r="B3763" s="10">
        <v>8111</v>
      </c>
      <c r="C3763" s="983" t="s">
        <v>1984</v>
      </c>
      <c r="D3763" s="984"/>
      <c r="E3763" s="13" t="s">
        <v>7</v>
      </c>
      <c r="F3763" s="14" t="s">
        <v>1985</v>
      </c>
      <c r="G3763" s="11" t="s">
        <v>6</v>
      </c>
      <c r="H3763" s="184">
        <v>307.827460445778</v>
      </c>
      <c r="I3763" s="13" t="s">
        <v>9</v>
      </c>
      <c r="J3763" s="985" t="s">
        <v>10</v>
      </c>
      <c r="K3763" s="985"/>
      <c r="L3763" s="986"/>
      <c r="M3763" s="25"/>
      <c r="S3763" s="41"/>
      <c r="T3763" s="41"/>
    </row>
    <row r="3764" spans="1:20" ht="30" customHeight="1" x14ac:dyDescent="0.45">
      <c r="A3764" s="19" t="s">
        <v>11</v>
      </c>
      <c r="B3764" s="1005" t="s">
        <v>12</v>
      </c>
      <c r="C3764" s="1005"/>
      <c r="D3764" s="1005"/>
      <c r="E3764" s="19" t="s">
        <v>1986</v>
      </c>
      <c r="F3764" s="19" t="s">
        <v>1987</v>
      </c>
      <c r="G3764" s="1007" t="s">
        <v>15</v>
      </c>
      <c r="H3764" s="1007"/>
      <c r="I3764" s="1007" t="s">
        <v>16</v>
      </c>
      <c r="J3764" s="1007"/>
      <c r="K3764" s="85" t="s">
        <v>17</v>
      </c>
      <c r="L3764" s="24"/>
      <c r="M3764" s="25"/>
      <c r="S3764" s="41"/>
      <c r="T3764" s="41"/>
    </row>
    <row r="3765" spans="1:20" ht="30" customHeight="1" x14ac:dyDescent="0.45">
      <c r="A3765" s="47">
        <v>81160</v>
      </c>
      <c r="B3765" s="1092" t="s">
        <v>1988</v>
      </c>
      <c r="C3765" s="1030"/>
      <c r="D3765" s="1030"/>
      <c r="E3765" s="762">
        <v>1072708.1299999999</v>
      </c>
      <c r="F3765" s="394">
        <v>1000</v>
      </c>
      <c r="G3765" s="47">
        <v>1000</v>
      </c>
      <c r="H3765" s="47" t="s">
        <v>1989</v>
      </c>
      <c r="I3765" s="1198">
        <f>+'[1]2023 MILCON Inflation Table'!F22</f>
        <v>0.93771935922451721</v>
      </c>
      <c r="J3765" s="1198"/>
      <c r="K3765" s="335">
        <f>+E3765/G3765*I3765</f>
        <v>1005.89918029853</v>
      </c>
      <c r="L3765" s="223" t="s">
        <v>1985</v>
      </c>
      <c r="M3765" s="25"/>
      <c r="S3765" s="41"/>
    </row>
    <row r="3766" spans="1:20" ht="30" customHeight="1" x14ac:dyDescent="0.45">
      <c r="A3766" s="47"/>
      <c r="B3766" s="197"/>
      <c r="C3766" s="198"/>
      <c r="D3766" s="199"/>
      <c r="E3766" s="763"/>
      <c r="F3766" s="434"/>
      <c r="G3766" s="356"/>
      <c r="H3766" s="223"/>
      <c r="I3766" s="232"/>
      <c r="J3766" s="351" t="s">
        <v>56</v>
      </c>
      <c r="K3766" s="335">
        <f>AVERAGE(K3765:K3765)</f>
        <v>1005.89918029853</v>
      </c>
      <c r="L3766" s="47" t="s">
        <v>1985</v>
      </c>
      <c r="M3766" s="121"/>
      <c r="N3766" s="144"/>
      <c r="S3766" s="41"/>
      <c r="T3766" s="41"/>
    </row>
    <row r="3767" spans="1:20" ht="30" customHeight="1" thickBot="1" x14ac:dyDescent="0.5">
      <c r="A3767" s="47"/>
      <c r="B3767" s="1008"/>
      <c r="C3767" s="1009"/>
      <c r="D3767" s="1010"/>
      <c r="E3767" s="161"/>
      <c r="F3767" s="415"/>
      <c r="G3767" s="161"/>
      <c r="H3767" s="161"/>
      <c r="I3767" s="58"/>
      <c r="J3767" s="85" t="s">
        <v>39</v>
      </c>
      <c r="K3767" s="335">
        <f>AVERAGE(K3765:K3766)</f>
        <v>1005.89918029853</v>
      </c>
      <c r="L3767" s="47" t="s">
        <v>1985</v>
      </c>
      <c r="M3767" s="25"/>
      <c r="S3767" s="41"/>
      <c r="T3767" s="41"/>
    </row>
    <row r="3768" spans="1:20" ht="30" customHeight="1" thickBot="1" x14ac:dyDescent="0.5">
      <c r="A3768" s="999"/>
      <c r="B3768" s="1000"/>
      <c r="C3768" s="1000"/>
      <c r="D3768" s="1000"/>
      <c r="E3768" s="1000"/>
      <c r="F3768" s="1000"/>
      <c r="G3768" s="1000"/>
      <c r="H3768" s="1000"/>
      <c r="I3768" s="1000"/>
      <c r="J3768" s="1000"/>
      <c r="K3768" s="1000"/>
      <c r="L3768" s="1001"/>
      <c r="M3768" s="25"/>
      <c r="O3768" s="2"/>
      <c r="S3768" s="41"/>
    </row>
    <row r="3769" spans="1:20" ht="30" customHeight="1" x14ac:dyDescent="0.45">
      <c r="A3769" s="9" t="s">
        <v>4</v>
      </c>
      <c r="B3769" s="10">
        <v>8112</v>
      </c>
      <c r="C3769" s="1138" t="s">
        <v>1990</v>
      </c>
      <c r="D3769" s="1139"/>
      <c r="E3769" s="13" t="s">
        <v>7</v>
      </c>
      <c r="F3769" s="14" t="s">
        <v>1985</v>
      </c>
      <c r="G3769" s="11" t="s">
        <v>6</v>
      </c>
      <c r="H3769" s="184">
        <v>307.827460445778</v>
      </c>
      <c r="I3769" s="13" t="s">
        <v>9</v>
      </c>
      <c r="J3769" s="985" t="s">
        <v>10</v>
      </c>
      <c r="K3769" s="985"/>
      <c r="L3769" s="986"/>
      <c r="M3769" s="25"/>
      <c r="S3769" s="41"/>
      <c r="T3769" s="41"/>
    </row>
    <row r="3770" spans="1:20" ht="30" customHeight="1" x14ac:dyDescent="0.45">
      <c r="A3770" s="19" t="s">
        <v>11</v>
      </c>
      <c r="B3770" s="1005" t="s">
        <v>12</v>
      </c>
      <c r="C3770" s="1005"/>
      <c r="D3770" s="1005"/>
      <c r="E3770" s="20" t="s">
        <v>1986</v>
      </c>
      <c r="F3770" s="19" t="s">
        <v>1987</v>
      </c>
      <c r="G3770" s="1114" t="s">
        <v>15</v>
      </c>
      <c r="H3770" s="1115"/>
      <c r="I3770" s="1068" t="s">
        <v>16</v>
      </c>
      <c r="J3770" s="1069"/>
      <c r="K3770" s="23" t="s">
        <v>17</v>
      </c>
      <c r="L3770" s="24"/>
      <c r="M3770" s="25"/>
      <c r="S3770" s="41"/>
      <c r="T3770" s="41"/>
    </row>
    <row r="3771" spans="1:20" ht="30" customHeight="1" x14ac:dyDescent="0.45">
      <c r="A3771" s="47">
        <v>81160</v>
      </c>
      <c r="B3771" s="1092" t="s">
        <v>1991</v>
      </c>
      <c r="C3771" s="1030"/>
      <c r="D3771" s="1030"/>
      <c r="E3771" s="378">
        <v>225253.88</v>
      </c>
      <c r="F3771" s="394">
        <v>125</v>
      </c>
      <c r="G3771" s="222">
        <v>125</v>
      </c>
      <c r="H3771" s="223" t="s">
        <v>1989</v>
      </c>
      <c r="I3771" s="1090">
        <f>+'[1]2023 MILCON Inflation Table'!F22</f>
        <v>0.93771935922451721</v>
      </c>
      <c r="J3771" s="1091"/>
      <c r="K3771" s="335">
        <f>+E3771/F3771*I3771</f>
        <v>1689.7993921314903</v>
      </c>
      <c r="L3771" s="47" t="s">
        <v>1985</v>
      </c>
      <c r="M3771" s="25"/>
      <c r="S3771" s="41"/>
    </row>
    <row r="3772" spans="1:20" ht="30" customHeight="1" x14ac:dyDescent="0.45">
      <c r="A3772" s="47">
        <v>81160</v>
      </c>
      <c r="B3772" s="1092" t="s">
        <v>1992</v>
      </c>
      <c r="C3772" s="1030"/>
      <c r="D3772" s="1030"/>
      <c r="E3772" s="378">
        <v>306416.69</v>
      </c>
      <c r="F3772" s="394">
        <v>200</v>
      </c>
      <c r="G3772" s="222">
        <v>200</v>
      </c>
      <c r="H3772" s="223" t="s">
        <v>1989</v>
      </c>
      <c r="I3772" s="1090">
        <f>+I3771</f>
        <v>0.93771935922451721</v>
      </c>
      <c r="J3772" s="1091"/>
      <c r="K3772" s="335">
        <f>+E3772/F3772*I3772</f>
        <v>1436.6643110124878</v>
      </c>
      <c r="L3772" s="47" t="s">
        <v>1985</v>
      </c>
      <c r="M3772" s="25"/>
      <c r="S3772" s="41"/>
    </row>
    <row r="3773" spans="1:20" ht="30" customHeight="1" x14ac:dyDescent="0.45">
      <c r="A3773" s="47">
        <v>81160</v>
      </c>
      <c r="B3773" s="1092" t="s">
        <v>1993</v>
      </c>
      <c r="C3773" s="1030"/>
      <c r="D3773" s="1030"/>
      <c r="E3773" s="378">
        <v>328165.44</v>
      </c>
      <c r="F3773" s="394">
        <v>300</v>
      </c>
      <c r="G3773" s="222">
        <v>300</v>
      </c>
      <c r="H3773" s="223" t="s">
        <v>1989</v>
      </c>
      <c r="I3773" s="1090">
        <f>+I3771</f>
        <v>0.93771935922451721</v>
      </c>
      <c r="J3773" s="1091"/>
      <c r="K3773" s="335">
        <f>+E3773/F3773*I3773</f>
        <v>1025.7569537214392</v>
      </c>
      <c r="L3773" s="47" t="s">
        <v>1985</v>
      </c>
      <c r="S3773" s="41"/>
    </row>
    <row r="3774" spans="1:20" ht="30" customHeight="1" x14ac:dyDescent="0.45">
      <c r="A3774" s="47">
        <v>81160</v>
      </c>
      <c r="B3774" s="1092" t="s">
        <v>1994</v>
      </c>
      <c r="C3774" s="1030"/>
      <c r="D3774" s="1030"/>
      <c r="E3774" s="378">
        <v>443848.86</v>
      </c>
      <c r="F3774" s="394">
        <v>400</v>
      </c>
      <c r="G3774" s="222">
        <v>400</v>
      </c>
      <c r="H3774" s="223" t="s">
        <v>1989</v>
      </c>
      <c r="I3774" s="1090">
        <f>+I3771</f>
        <v>0.93771935922451721</v>
      </c>
      <c r="J3774" s="1091"/>
      <c r="K3774" s="335">
        <f>+E3774/F3774*I3774</f>
        <v>1040.514171479331</v>
      </c>
      <c r="L3774" s="47" t="s">
        <v>1985</v>
      </c>
      <c r="M3774" s="25"/>
      <c r="N3774" s="26"/>
      <c r="O3774" s="2"/>
      <c r="P3774" s="27"/>
      <c r="Q3774" s="26"/>
      <c r="R3774" s="28"/>
      <c r="T3774" s="41"/>
    </row>
    <row r="3775" spans="1:20" ht="30" customHeight="1" x14ac:dyDescent="0.45">
      <c r="A3775" s="47">
        <v>81160</v>
      </c>
      <c r="B3775" s="1092" t="s">
        <v>1988</v>
      </c>
      <c r="C3775" s="1030"/>
      <c r="D3775" s="1030"/>
      <c r="E3775" s="378">
        <v>582236.15</v>
      </c>
      <c r="F3775" s="394">
        <v>500</v>
      </c>
      <c r="G3775" s="222">
        <v>500</v>
      </c>
      <c r="H3775" s="223" t="s">
        <v>1989</v>
      </c>
      <c r="I3775" s="1090">
        <f>+I3771</f>
        <v>0.93771935922451721</v>
      </c>
      <c r="J3775" s="1091"/>
      <c r="K3775" s="335">
        <f>+E3775/F3775*I3775</f>
        <v>1091.9482189906998</v>
      </c>
      <c r="L3775" s="47" t="s">
        <v>1985</v>
      </c>
      <c r="M3775" s="25"/>
      <c r="T3775" s="41"/>
    </row>
    <row r="3776" spans="1:20" ht="30" customHeight="1" x14ac:dyDescent="0.45">
      <c r="A3776" s="47"/>
      <c r="B3776" s="197"/>
      <c r="C3776" s="198"/>
      <c r="D3776" s="199"/>
      <c r="E3776" s="763" t="s">
        <v>56</v>
      </c>
      <c r="F3776" s="434">
        <f>AVERAGE(F3771:F3775)</f>
        <v>305</v>
      </c>
      <c r="G3776" s="356"/>
      <c r="H3776" s="223"/>
      <c r="I3776" s="232"/>
      <c r="J3776" s="351" t="s">
        <v>56</v>
      </c>
      <c r="K3776" s="335">
        <f>AVERAGE(K3771:K3775)</f>
        <v>1256.9366094670895</v>
      </c>
      <c r="L3776" s="47" t="s">
        <v>1985</v>
      </c>
      <c r="M3776" s="121"/>
      <c r="N3776" s="144"/>
      <c r="S3776" s="41"/>
      <c r="T3776" s="41"/>
    </row>
    <row r="3777" spans="1:20" ht="30" customHeight="1" thickBot="1" x14ac:dyDescent="0.5">
      <c r="A3777" s="47"/>
      <c r="B3777" s="1008"/>
      <c r="C3777" s="1009"/>
      <c r="D3777" s="1010"/>
      <c r="E3777" s="161"/>
      <c r="F3777" s="415"/>
      <c r="G3777" s="161"/>
      <c r="H3777" s="161"/>
      <c r="I3777" s="58"/>
      <c r="J3777" s="85" t="s">
        <v>39</v>
      </c>
      <c r="K3777" s="335">
        <f>AVERAGE(K3771:K3776)</f>
        <v>1256.9366094670895</v>
      </c>
      <c r="L3777" s="47" t="s">
        <v>1985</v>
      </c>
      <c r="M3777" s="25"/>
      <c r="S3777" s="41"/>
      <c r="T3777" s="41"/>
    </row>
    <row r="3778" spans="1:20" ht="30" customHeight="1" thickBot="1" x14ac:dyDescent="0.5">
      <c r="A3778" s="999"/>
      <c r="B3778" s="1000"/>
      <c r="C3778" s="1000"/>
      <c r="D3778" s="1000"/>
      <c r="E3778" s="1000"/>
      <c r="F3778" s="1000"/>
      <c r="G3778" s="1000"/>
      <c r="H3778" s="1000"/>
      <c r="I3778" s="1000"/>
      <c r="J3778" s="1000"/>
      <c r="K3778" s="1000"/>
      <c r="L3778" s="1001"/>
      <c r="M3778" s="25"/>
      <c r="O3778" s="2"/>
      <c r="S3778" s="41"/>
    </row>
    <row r="3779" spans="1:20" ht="30" customHeight="1" x14ac:dyDescent="0.45">
      <c r="A3779" s="9" t="s">
        <v>4</v>
      </c>
      <c r="B3779" s="10">
        <v>8113</v>
      </c>
      <c r="C3779" s="983" t="s">
        <v>1995</v>
      </c>
      <c r="D3779" s="984"/>
      <c r="E3779" s="13" t="s">
        <v>7</v>
      </c>
      <c r="F3779" s="14" t="s">
        <v>1996</v>
      </c>
      <c r="G3779" s="11" t="s">
        <v>6</v>
      </c>
      <c r="H3779" s="163">
        <v>3000</v>
      </c>
      <c r="I3779" s="13" t="s">
        <v>9</v>
      </c>
      <c r="J3779" s="985" t="s">
        <v>575</v>
      </c>
      <c r="K3779" s="985"/>
      <c r="L3779" s="986"/>
      <c r="M3779" s="25"/>
      <c r="O3779" s="2"/>
      <c r="S3779" s="41"/>
    </row>
    <row r="3780" spans="1:20" ht="30" customHeight="1" x14ac:dyDescent="0.45">
      <c r="A3780" s="85" t="s">
        <v>277</v>
      </c>
      <c r="B3780" s="987" t="s">
        <v>293</v>
      </c>
      <c r="C3780" s="988"/>
      <c r="D3780" s="989"/>
      <c r="E3780" s="220" t="s">
        <v>13</v>
      </c>
      <c r="F3780" s="220" t="s">
        <v>14</v>
      </c>
      <c r="G3780" s="990" t="s">
        <v>15</v>
      </c>
      <c r="H3780" s="991"/>
      <c r="I3780" s="19" t="s">
        <v>278</v>
      </c>
      <c r="J3780" s="19"/>
      <c r="K3780" s="23" t="s">
        <v>17</v>
      </c>
      <c r="L3780" s="24"/>
      <c r="M3780" s="25"/>
      <c r="O3780" s="2"/>
      <c r="S3780" s="41"/>
    </row>
    <row r="3781" spans="1:20" ht="30" customHeight="1" x14ac:dyDescent="0.45">
      <c r="A3781" s="642" t="s">
        <v>1254</v>
      </c>
      <c r="B3781" s="1018" t="s">
        <v>1997</v>
      </c>
      <c r="C3781" s="1019"/>
      <c r="D3781" s="1020"/>
      <c r="E3781" s="378">
        <f>(1850+5800)/2</f>
        <v>3825</v>
      </c>
      <c r="F3781" s="56" t="s">
        <v>1985</v>
      </c>
      <c r="G3781" s="222">
        <v>1000</v>
      </c>
      <c r="H3781" s="223" t="s">
        <v>1998</v>
      </c>
      <c r="I3781" s="365">
        <v>1.05</v>
      </c>
      <c r="J3781" s="681"/>
      <c r="K3781" s="375">
        <f>+E3781*G3781*I3781</f>
        <v>4016250</v>
      </c>
      <c r="L3781" s="56" t="s">
        <v>1996</v>
      </c>
      <c r="M3781" s="25"/>
      <c r="O3781" s="2"/>
      <c r="P3781" s="27"/>
      <c r="Q3781" s="26"/>
      <c r="R3781" s="28"/>
    </row>
    <row r="3782" spans="1:20" ht="30" customHeight="1" x14ac:dyDescent="0.45">
      <c r="A3782" s="47"/>
      <c r="B3782" s="224"/>
      <c r="C3782" s="224"/>
      <c r="D3782" s="224"/>
      <c r="E3782" s="221"/>
      <c r="F3782" s="1011" t="s">
        <v>285</v>
      </c>
      <c r="G3782" s="1013" t="s">
        <v>286</v>
      </c>
      <c r="H3782" s="1013"/>
      <c r="I3782" s="1013"/>
      <c r="J3782" s="1013"/>
      <c r="K3782" s="202">
        <v>1.07</v>
      </c>
      <c r="L3782" s="47"/>
      <c r="M3782" s="25"/>
      <c r="O3782" s="2"/>
      <c r="P3782" s="27"/>
      <c r="Q3782" s="26"/>
      <c r="R3782" s="28"/>
    </row>
    <row r="3783" spans="1:20" ht="30" customHeight="1" x14ac:dyDescent="0.45">
      <c r="A3783" s="47"/>
      <c r="B3783" s="224"/>
      <c r="C3783" s="224"/>
      <c r="D3783" s="224"/>
      <c r="E3783" s="221"/>
      <c r="F3783" s="1012"/>
      <c r="G3783" s="1014" t="s">
        <v>580</v>
      </c>
      <c r="H3783" s="1014"/>
      <c r="I3783" s="1014"/>
      <c r="J3783" s="1014"/>
      <c r="K3783" s="202">
        <v>1.08</v>
      </c>
      <c r="L3783" s="47"/>
      <c r="M3783" s="25"/>
      <c r="O3783" s="2"/>
      <c r="P3783" s="27"/>
      <c r="Q3783" s="26"/>
      <c r="R3783" s="28"/>
    </row>
    <row r="3784" spans="1:20" ht="30" customHeight="1" x14ac:dyDescent="0.45">
      <c r="A3784" s="642"/>
      <c r="B3784" s="224"/>
      <c r="C3784" s="224"/>
      <c r="D3784" s="224"/>
      <c r="E3784" s="352"/>
      <c r="F3784" s="56"/>
      <c r="G3784" s="222"/>
      <c r="H3784" s="223"/>
      <c r="I3784" s="365"/>
      <c r="J3784" s="47" t="s">
        <v>39</v>
      </c>
      <c r="K3784" s="375">
        <f>+K3781*K3782/K3783</f>
        <v>3979062.4999999995</v>
      </c>
      <c r="L3784" s="47" t="s">
        <v>1996</v>
      </c>
      <c r="M3784" s="25"/>
      <c r="O3784" s="2"/>
      <c r="P3784" s="27"/>
      <c r="Q3784" s="26"/>
      <c r="R3784" s="28"/>
    </row>
    <row r="3785" spans="1:20" ht="30" customHeight="1" x14ac:dyDescent="0.45">
      <c r="A3785" s="58"/>
      <c r="B3785" s="224"/>
      <c r="C3785" s="224"/>
      <c r="D3785" s="224"/>
      <c r="E3785" s="524"/>
      <c r="F3785" s="58"/>
      <c r="G3785" s="1021" t="s">
        <v>288</v>
      </c>
      <c r="H3785" s="1022"/>
      <c r="I3785" s="1023"/>
      <c r="J3785" s="213">
        <f>VLOOKUP(B3779,'[1]Mil Cost Premiums for PUCs'!$A$4:$R$278,18,FALSE)</f>
        <v>1.1199953840399997</v>
      </c>
      <c r="K3785" s="216">
        <f>+K3784*J3785</f>
        <v>4456531.6328066606</v>
      </c>
      <c r="L3785" s="47" t="s">
        <v>1996</v>
      </c>
      <c r="M3785" s="25"/>
      <c r="O3785" s="2"/>
      <c r="P3785" s="27"/>
      <c r="Q3785" s="26"/>
      <c r="R3785" s="28"/>
    </row>
    <row r="3786" spans="1:20" ht="30" customHeight="1" thickBot="1" x14ac:dyDescent="0.5">
      <c r="A3786" s="525" t="s">
        <v>1999</v>
      </c>
      <c r="B3786" s="47"/>
      <c r="C3786" s="58"/>
      <c r="D3786" s="58"/>
      <c r="E3786" s="552"/>
      <c r="F3786" s="1024" t="s">
        <v>581</v>
      </c>
      <c r="G3786" s="1024"/>
      <c r="H3786" s="1024"/>
      <c r="I3786" s="1024"/>
      <c r="J3786" s="756">
        <v>1.0833999999999999</v>
      </c>
      <c r="K3786" s="757">
        <f>K3785*J3786</f>
        <v>4828206.3709827354</v>
      </c>
      <c r="L3786" s="47" t="s">
        <v>1996</v>
      </c>
      <c r="M3786" s="25"/>
      <c r="O3786" s="2"/>
      <c r="P3786" s="27"/>
      <c r="Q3786" s="26"/>
      <c r="R3786" s="28"/>
    </row>
    <row r="3787" spans="1:20" ht="30" customHeight="1" thickBot="1" x14ac:dyDescent="0.5">
      <c r="B3787" s="225"/>
      <c r="C3787" s="150"/>
      <c r="D3787" s="150"/>
      <c r="E3787" s="150"/>
      <c r="F3787" s="150"/>
      <c r="G3787" s="1025" t="s">
        <v>299</v>
      </c>
      <c r="H3787" s="1026"/>
      <c r="I3787" s="1027"/>
      <c r="J3787" s="226">
        <v>1.1214</v>
      </c>
      <c r="K3787" s="227">
        <f>+K3786*J3787</f>
        <v>5414350.6244200394</v>
      </c>
      <c r="L3787" s="47" t="s">
        <v>1996</v>
      </c>
      <c r="M3787" s="25"/>
    </row>
    <row r="3788" spans="1:20" ht="30" customHeight="1" thickBot="1" x14ac:dyDescent="0.5">
      <c r="A3788" s="999"/>
      <c r="B3788" s="1000"/>
      <c r="C3788" s="1000"/>
      <c r="D3788" s="1000"/>
      <c r="E3788" s="1000"/>
      <c r="F3788" s="1000"/>
      <c r="G3788" s="1000"/>
      <c r="H3788" s="1000"/>
      <c r="I3788" s="1000"/>
      <c r="J3788" s="1000"/>
      <c r="K3788" s="1000"/>
      <c r="L3788" s="1001"/>
      <c r="M3788" s="25"/>
      <c r="O3788" s="2"/>
      <c r="P3788" s="27"/>
      <c r="Q3788" s="26"/>
      <c r="R3788" s="28"/>
    </row>
    <row r="3789" spans="1:20" ht="30" customHeight="1" x14ac:dyDescent="0.45">
      <c r="A3789" s="9" t="s">
        <v>4</v>
      </c>
      <c r="B3789" s="10">
        <v>8114</v>
      </c>
      <c r="C3789" s="983" t="s">
        <v>2000</v>
      </c>
      <c r="D3789" s="984"/>
      <c r="E3789" s="13" t="s">
        <v>7</v>
      </c>
      <c r="F3789" s="14" t="s">
        <v>1985</v>
      </c>
      <c r="G3789" s="11" t="s">
        <v>6</v>
      </c>
      <c r="H3789" s="163">
        <v>440</v>
      </c>
      <c r="I3789" s="13" t="s">
        <v>9</v>
      </c>
      <c r="J3789" s="985" t="s">
        <v>575</v>
      </c>
      <c r="K3789" s="985"/>
      <c r="L3789" s="986"/>
      <c r="M3789" s="25"/>
      <c r="N3789" s="26"/>
      <c r="O3789" s="2"/>
      <c r="P3789" s="27"/>
      <c r="Q3789" s="26"/>
      <c r="R3789" s="28"/>
    </row>
    <row r="3790" spans="1:20" ht="30" customHeight="1" x14ac:dyDescent="0.45">
      <c r="A3790" s="85" t="s">
        <v>277</v>
      </c>
      <c r="B3790" s="987" t="s">
        <v>293</v>
      </c>
      <c r="C3790" s="988"/>
      <c r="D3790" s="989"/>
      <c r="E3790" s="220" t="s">
        <v>13</v>
      </c>
      <c r="F3790" s="220" t="s">
        <v>14</v>
      </c>
      <c r="G3790" s="990" t="s">
        <v>15</v>
      </c>
      <c r="H3790" s="991"/>
      <c r="I3790" s="19" t="s">
        <v>278</v>
      </c>
      <c r="J3790" s="19"/>
      <c r="K3790" s="23" t="s">
        <v>17</v>
      </c>
      <c r="L3790" s="24"/>
      <c r="M3790" s="25"/>
      <c r="N3790" s="26"/>
      <c r="O3790" s="2"/>
      <c r="P3790" s="27"/>
      <c r="Q3790" s="26"/>
      <c r="R3790" s="28"/>
    </row>
    <row r="3791" spans="1:20" ht="30" customHeight="1" x14ac:dyDescent="0.45">
      <c r="A3791" s="642" t="s">
        <v>1254</v>
      </c>
      <c r="B3791" s="1018" t="s">
        <v>2001</v>
      </c>
      <c r="C3791" s="1019"/>
      <c r="D3791" s="1020"/>
      <c r="E3791" s="378">
        <f>(2800+6550)/2</f>
        <v>4675</v>
      </c>
      <c r="F3791" s="56" t="s">
        <v>1985</v>
      </c>
      <c r="G3791" s="222"/>
      <c r="H3791" s="223"/>
      <c r="I3791" s="365">
        <v>1.05</v>
      </c>
      <c r="J3791" s="681"/>
      <c r="K3791" s="375">
        <f>+E3791*I3791</f>
        <v>4908.75</v>
      </c>
      <c r="L3791" s="56" t="s">
        <v>1985</v>
      </c>
      <c r="M3791" s="25"/>
      <c r="N3791" s="26"/>
      <c r="O3791" s="2"/>
      <c r="P3791" s="27"/>
      <c r="Q3791" s="26"/>
      <c r="R3791" s="28"/>
    </row>
    <row r="3792" spans="1:20" ht="30" customHeight="1" x14ac:dyDescent="0.45">
      <c r="A3792" s="47"/>
      <c r="B3792" s="224"/>
      <c r="C3792" s="224"/>
      <c r="D3792" s="224"/>
      <c r="E3792" s="221"/>
      <c r="F3792" s="1011" t="s">
        <v>285</v>
      </c>
      <c r="G3792" s="1013" t="s">
        <v>286</v>
      </c>
      <c r="H3792" s="1013"/>
      <c r="I3792" s="1013"/>
      <c r="J3792" s="1013"/>
      <c r="K3792" s="202">
        <v>1.07</v>
      </c>
      <c r="L3792" s="47"/>
      <c r="M3792" s="25"/>
      <c r="N3792" s="26"/>
      <c r="O3792" s="2"/>
      <c r="P3792" s="27"/>
      <c r="Q3792" s="26"/>
      <c r="R3792" s="28"/>
    </row>
    <row r="3793" spans="1:24" ht="30" customHeight="1" x14ac:dyDescent="0.45">
      <c r="A3793" s="47"/>
      <c r="B3793" s="224"/>
      <c r="C3793" s="224"/>
      <c r="D3793" s="224"/>
      <c r="E3793" s="221"/>
      <c r="F3793" s="1012"/>
      <c r="G3793" s="1014" t="s">
        <v>580</v>
      </c>
      <c r="H3793" s="1014"/>
      <c r="I3793" s="1014"/>
      <c r="J3793" s="1014"/>
      <c r="K3793" s="202">
        <v>1.08</v>
      </c>
      <c r="L3793" s="47"/>
      <c r="M3793" s="25"/>
      <c r="N3793" s="26"/>
      <c r="O3793" s="2"/>
      <c r="P3793" s="27"/>
      <c r="Q3793" s="26"/>
      <c r="R3793" s="28"/>
    </row>
    <row r="3794" spans="1:24" ht="30" customHeight="1" x14ac:dyDescent="0.45">
      <c r="A3794" s="642"/>
      <c r="B3794" s="224"/>
      <c r="C3794" s="224"/>
      <c r="D3794" s="224"/>
      <c r="E3794" s="221"/>
      <c r="F3794" s="56"/>
      <c r="G3794" s="222"/>
      <c r="H3794" s="223"/>
      <c r="I3794" s="365"/>
      <c r="J3794" s="47" t="s">
        <v>39</v>
      </c>
      <c r="K3794" s="375">
        <f>+K3791*K3792/K3793</f>
        <v>4863.2986111111113</v>
      </c>
      <c r="L3794" s="47" t="s">
        <v>1985</v>
      </c>
      <c r="N3794" s="26"/>
      <c r="O3794" s="2"/>
      <c r="P3794" s="27"/>
      <c r="Q3794" s="26"/>
      <c r="R3794" s="28"/>
    </row>
    <row r="3795" spans="1:24" ht="30" customHeight="1" x14ac:dyDescent="0.45">
      <c r="A3795" s="224"/>
      <c r="B3795" s="224"/>
      <c r="C3795" s="224"/>
      <c r="D3795" s="224"/>
      <c r="E3795" s="58"/>
      <c r="F3795" s="58"/>
      <c r="G3795" s="1021" t="s">
        <v>288</v>
      </c>
      <c r="H3795" s="1022"/>
      <c r="I3795" s="1023"/>
      <c r="J3795" s="213">
        <f>VLOOKUP(B3789,'[1]Mil Cost Premiums for PUCs'!$A$4:$R$278,18,FALSE)</f>
        <v>1.1199953840399997</v>
      </c>
      <c r="K3795" s="216">
        <f>+K3794*J3795</f>
        <v>5446.8719956525856</v>
      </c>
      <c r="L3795" s="47" t="s">
        <v>1985</v>
      </c>
      <c r="M3795" s="25"/>
      <c r="N3795" s="26"/>
      <c r="O3795" s="2"/>
      <c r="P3795" s="27"/>
      <c r="Q3795" s="26"/>
      <c r="R3795" s="28"/>
    </row>
    <row r="3796" spans="1:24" ht="30" customHeight="1" thickBot="1" x14ac:dyDescent="0.5">
      <c r="A3796" s="225"/>
      <c r="B3796" s="225"/>
      <c r="C3796" s="150"/>
      <c r="D3796" s="150"/>
      <c r="E3796" s="150"/>
      <c r="F3796" s="150"/>
      <c r="G3796" s="1025" t="s">
        <v>299</v>
      </c>
      <c r="H3796" s="1026"/>
      <c r="I3796" s="1027"/>
      <c r="J3796" s="226">
        <v>1.1214</v>
      </c>
      <c r="K3796" s="227">
        <f>+K3795*J3796</f>
        <v>6108.122255924809</v>
      </c>
      <c r="L3796" s="225" t="s">
        <v>1996</v>
      </c>
      <c r="M3796" s="25"/>
    </row>
    <row r="3797" spans="1:24" ht="30" customHeight="1" thickBot="1" x14ac:dyDescent="0.5">
      <c r="A3797" s="999"/>
      <c r="B3797" s="1000"/>
      <c r="C3797" s="1000"/>
      <c r="D3797" s="1000"/>
      <c r="E3797" s="1000"/>
      <c r="F3797" s="1000"/>
      <c r="G3797" s="1000"/>
      <c r="H3797" s="1000"/>
      <c r="I3797" s="1000"/>
      <c r="J3797" s="1000"/>
      <c r="K3797" s="1000"/>
      <c r="L3797" s="1001"/>
      <c r="M3797" s="25"/>
      <c r="N3797" s="26"/>
      <c r="O3797" s="2"/>
      <c r="P3797" s="27"/>
      <c r="Q3797" s="26"/>
      <c r="R3797" s="28"/>
    </row>
    <row r="3798" spans="1:24" ht="30" customHeight="1" x14ac:dyDescent="0.45">
      <c r="A3798" s="9" t="s">
        <v>4</v>
      </c>
      <c r="B3798" s="10">
        <v>8115</v>
      </c>
      <c r="C3798" s="983" t="s">
        <v>2002</v>
      </c>
      <c r="D3798" s="984"/>
      <c r="E3798" s="13" t="s">
        <v>7</v>
      </c>
      <c r="F3798" s="14" t="s">
        <v>1985</v>
      </c>
      <c r="G3798" s="11" t="s">
        <v>6</v>
      </c>
      <c r="H3798" s="163">
        <v>424</v>
      </c>
      <c r="I3798" s="13" t="s">
        <v>9</v>
      </c>
      <c r="J3798" s="985" t="s">
        <v>276</v>
      </c>
      <c r="K3798" s="985"/>
      <c r="L3798" s="986"/>
      <c r="M3798" s="25"/>
      <c r="N3798" s="26"/>
      <c r="O3798" s="2"/>
      <c r="P3798" s="27"/>
      <c r="Q3798" s="764"/>
      <c r="R3798" s="28"/>
    </row>
    <row r="3799" spans="1:24" ht="30" customHeight="1" x14ac:dyDescent="0.45">
      <c r="A3799" s="85" t="s">
        <v>277</v>
      </c>
      <c r="B3799" s="987" t="s">
        <v>293</v>
      </c>
      <c r="C3799" s="988"/>
      <c r="D3799" s="989"/>
      <c r="E3799" s="220" t="s">
        <v>13</v>
      </c>
      <c r="F3799" s="220" t="s">
        <v>14</v>
      </c>
      <c r="G3799" s="990" t="s">
        <v>15</v>
      </c>
      <c r="H3799" s="991"/>
      <c r="I3799" s="19" t="s">
        <v>1316</v>
      </c>
      <c r="J3799" s="19" t="s">
        <v>278</v>
      </c>
      <c r="K3799" s="23" t="s">
        <v>17</v>
      </c>
      <c r="L3799" s="24"/>
      <c r="M3799" s="25"/>
      <c r="N3799" s="26"/>
      <c r="O3799" s="2"/>
      <c r="P3799" s="27"/>
      <c r="Q3799" s="26"/>
      <c r="R3799" s="28"/>
    </row>
    <row r="3800" spans="1:24" ht="30" customHeight="1" x14ac:dyDescent="0.45">
      <c r="A3800" s="642" t="s">
        <v>2003</v>
      </c>
      <c r="B3800" s="1018" t="s">
        <v>2004</v>
      </c>
      <c r="C3800" s="1019"/>
      <c r="D3800" s="1020"/>
      <c r="E3800" s="378">
        <v>3375</v>
      </c>
      <c r="F3800" s="56" t="s">
        <v>2005</v>
      </c>
      <c r="G3800" s="222">
        <v>0.3</v>
      </c>
      <c r="H3800" s="223" t="s">
        <v>2006</v>
      </c>
      <c r="I3800" s="58"/>
      <c r="J3800" s="365">
        <v>1.32</v>
      </c>
      <c r="K3800" s="375">
        <f>+E3800/G3800*J3800</f>
        <v>14850</v>
      </c>
      <c r="L3800" s="56" t="s">
        <v>1985</v>
      </c>
      <c r="M3800" s="25"/>
      <c r="N3800" s="26"/>
      <c r="O3800" s="2"/>
      <c r="P3800" s="27"/>
      <c r="Q3800" s="26"/>
      <c r="R3800" s="28"/>
    </row>
    <row r="3801" spans="1:24" ht="30" customHeight="1" x14ac:dyDescent="0.45">
      <c r="A3801" s="642" t="s">
        <v>2003</v>
      </c>
      <c r="B3801" s="1008" t="s">
        <v>2007</v>
      </c>
      <c r="C3801" s="1009"/>
      <c r="D3801" s="1010"/>
      <c r="E3801" s="221">
        <f>+(195000+225000)/2</f>
        <v>210000</v>
      </c>
      <c r="F3801" s="56" t="s">
        <v>1985</v>
      </c>
      <c r="G3801" s="222">
        <v>300</v>
      </c>
      <c r="H3801" s="223" t="s">
        <v>2008</v>
      </c>
      <c r="I3801" s="58"/>
      <c r="J3801" s="365">
        <v>1.32</v>
      </c>
      <c r="K3801" s="375">
        <f>+E3801/G3801*J3801</f>
        <v>924</v>
      </c>
      <c r="L3801" s="47" t="s">
        <v>1985</v>
      </c>
      <c r="M3801" s="25"/>
      <c r="N3801" s="26"/>
      <c r="O3801" s="2"/>
      <c r="P3801" s="27"/>
      <c r="Q3801" s="26"/>
      <c r="R3801" s="28"/>
    </row>
    <row r="3802" spans="1:24" ht="30" customHeight="1" x14ac:dyDescent="0.45">
      <c r="A3802" s="642" t="s">
        <v>2003</v>
      </c>
      <c r="B3802" s="1008" t="s">
        <v>2009</v>
      </c>
      <c r="C3802" s="1009"/>
      <c r="D3802" s="1010"/>
      <c r="E3802" s="221">
        <v>825</v>
      </c>
      <c r="F3802" s="56" t="s">
        <v>88</v>
      </c>
      <c r="G3802" s="765">
        <f>20/300</f>
        <v>6.6666666666666666E-2</v>
      </c>
      <c r="H3802" s="223" t="s">
        <v>2010</v>
      </c>
      <c r="I3802" s="58"/>
      <c r="J3802" s="365">
        <v>1.32</v>
      </c>
      <c r="K3802" s="375">
        <f>+E3802*G3802*J3802</f>
        <v>72.600000000000009</v>
      </c>
      <c r="L3802" s="47" t="s">
        <v>1985</v>
      </c>
      <c r="M3802" s="25"/>
      <c r="N3802" s="26"/>
      <c r="O3802" s="2"/>
      <c r="P3802" s="27"/>
      <c r="Q3802" s="26"/>
      <c r="R3802" s="28"/>
    </row>
    <row r="3803" spans="1:24" ht="30" customHeight="1" x14ac:dyDescent="0.45">
      <c r="A3803" s="642" t="s">
        <v>2003</v>
      </c>
      <c r="B3803" s="1018" t="s">
        <v>2011</v>
      </c>
      <c r="C3803" s="1019"/>
      <c r="D3803" s="1020"/>
      <c r="E3803" s="221">
        <v>8700</v>
      </c>
      <c r="F3803" s="56" t="s">
        <v>88</v>
      </c>
      <c r="G3803" s="765">
        <f>18/300</f>
        <v>0.06</v>
      </c>
      <c r="H3803" s="223" t="s">
        <v>2010</v>
      </c>
      <c r="I3803" s="58"/>
      <c r="J3803" s="365">
        <v>1.32</v>
      </c>
      <c r="K3803" s="375">
        <f>+E3803*G3803*J3803</f>
        <v>689.04000000000008</v>
      </c>
      <c r="L3803" s="47" t="s">
        <v>1985</v>
      </c>
      <c r="M3803" s="25"/>
      <c r="N3803" s="26"/>
      <c r="S3803" s="41"/>
      <c r="T3803" s="41"/>
    </row>
    <row r="3804" spans="1:24" ht="30" customHeight="1" x14ac:dyDescent="0.45">
      <c r="A3804" s="766"/>
      <c r="B3804" s="198"/>
      <c r="C3804" s="198"/>
      <c r="D3804" s="199"/>
      <c r="E3804" s="221"/>
      <c r="F3804" s="56"/>
      <c r="G3804" s="222"/>
      <c r="H3804" s="223"/>
      <c r="I3804" s="365"/>
      <c r="J3804" s="47" t="s">
        <v>38</v>
      </c>
      <c r="K3804" s="375">
        <f>SUM(K3800:K3803)</f>
        <v>16535.64</v>
      </c>
      <c r="L3804" s="47" t="s">
        <v>1985</v>
      </c>
      <c r="M3804" s="25"/>
      <c r="N3804" s="26"/>
      <c r="S3804" s="41"/>
      <c r="T3804" s="41"/>
    </row>
    <row r="3805" spans="1:24" ht="30" customHeight="1" x14ac:dyDescent="0.45">
      <c r="A3805" s="47"/>
      <c r="B3805" s="224"/>
      <c r="C3805" s="224"/>
      <c r="D3805" s="224"/>
      <c r="E3805" s="221"/>
      <c r="F3805" s="1011" t="s">
        <v>285</v>
      </c>
      <c r="G3805" s="1013" t="s">
        <v>286</v>
      </c>
      <c r="H3805" s="1013"/>
      <c r="I3805" s="1013"/>
      <c r="J3805" s="1013"/>
      <c r="K3805" s="278">
        <v>1.06</v>
      </c>
      <c r="L3805" s="47"/>
      <c r="M3805" s="25"/>
      <c r="N3805" s="18"/>
      <c r="O3805" s="5"/>
      <c r="P3805" s="18"/>
      <c r="Q3805" s="18"/>
      <c r="R3805" s="18"/>
      <c r="S3805" s="18"/>
      <c r="T3805" s="18"/>
      <c r="U3805" s="18"/>
      <c r="V3805" s="18"/>
      <c r="W3805" s="18"/>
      <c r="X3805" s="18"/>
    </row>
    <row r="3806" spans="1:24" s="18" customFormat="1" ht="30" customHeight="1" x14ac:dyDescent="0.45">
      <c r="A3806" s="47"/>
      <c r="B3806" s="536"/>
      <c r="C3806" s="536"/>
      <c r="D3806" s="536"/>
      <c r="E3806" s="537"/>
      <c r="F3806" s="1197"/>
      <c r="G3806" s="1014" t="s">
        <v>287</v>
      </c>
      <c r="H3806" s="1014"/>
      <c r="I3806" s="1014"/>
      <c r="J3806" s="1014"/>
      <c r="K3806" s="278">
        <v>1.05</v>
      </c>
      <c r="L3806" s="225"/>
      <c r="M3806" s="25"/>
      <c r="N3806" s="2"/>
      <c r="O3806" s="3"/>
      <c r="P3806" s="2"/>
      <c r="Q3806" s="2"/>
      <c r="R3806" s="2"/>
      <c r="S3806" s="2"/>
      <c r="T3806" s="2"/>
      <c r="U3806" s="2"/>
      <c r="V3806" s="2"/>
      <c r="W3806" s="2"/>
      <c r="X3806" s="2"/>
    </row>
    <row r="3807" spans="1:24" ht="30" customHeight="1" x14ac:dyDescent="0.45">
      <c r="A3807" s="767"/>
      <c r="B3807" s="768"/>
      <c r="C3807" s="768"/>
      <c r="D3807" s="547"/>
      <c r="E3807" s="753"/>
      <c r="F3807" s="531"/>
      <c r="G3807" s="531"/>
      <c r="H3807" s="531"/>
      <c r="I3807" s="769"/>
      <c r="J3807" s="531" t="s">
        <v>39</v>
      </c>
      <c r="K3807" s="770">
        <f>+K3804*K3805/K3806</f>
        <v>16693.122285714286</v>
      </c>
      <c r="L3807" s="531" t="s">
        <v>1985</v>
      </c>
      <c r="M3807" s="25"/>
    </row>
    <row r="3808" spans="1:24" ht="30" customHeight="1" thickBot="1" x14ac:dyDescent="0.5">
      <c r="A3808" s="547"/>
      <c r="B3808" s="547"/>
      <c r="C3808" s="547"/>
      <c r="D3808" s="771"/>
      <c r="E3808" s="538"/>
      <c r="F3808" s="538"/>
      <c r="G3808" s="1032" t="s">
        <v>288</v>
      </c>
      <c r="H3808" s="1033"/>
      <c r="I3808" s="1034"/>
      <c r="J3808" s="755">
        <f>VLOOKUP(B3798,'[1]Mil Cost Premiums for PUCs'!$A$4:$R$278,18,FALSE)</f>
        <v>1.1199953840399997</v>
      </c>
      <c r="K3808" s="754">
        <f>K3807*J3808</f>
        <v>18696.219905215246</v>
      </c>
      <c r="L3808" s="531" t="s">
        <v>1985</v>
      </c>
      <c r="M3808" s="25"/>
      <c r="O3808" s="2"/>
      <c r="P3808" s="27"/>
      <c r="Q3808" s="26"/>
      <c r="R3808" s="28"/>
    </row>
    <row r="3809" spans="1:18" ht="30" customHeight="1" thickBot="1" x14ac:dyDescent="0.5">
      <c r="A3809" s="1077"/>
      <c r="B3809" s="1078"/>
      <c r="C3809" s="1078"/>
      <c r="D3809" s="1078"/>
      <c r="E3809" s="1078"/>
      <c r="F3809" s="1078"/>
      <c r="G3809" s="1078"/>
      <c r="H3809" s="1078"/>
      <c r="I3809" s="1078"/>
      <c r="J3809" s="1078"/>
      <c r="K3809" s="1078"/>
      <c r="L3809" s="1079"/>
      <c r="M3809" s="25"/>
      <c r="N3809" s="186"/>
      <c r="O3809" s="2"/>
      <c r="P3809" s="27"/>
      <c r="Q3809" s="26"/>
      <c r="R3809" s="28"/>
    </row>
    <row r="3810" spans="1:18" ht="30" customHeight="1" x14ac:dyDescent="0.45">
      <c r="A3810" s="93" t="s">
        <v>4</v>
      </c>
      <c r="B3810" s="76">
        <v>8121</v>
      </c>
      <c r="C3810" s="1132" t="s">
        <v>2012</v>
      </c>
      <c r="D3810" s="1133"/>
      <c r="E3810" s="94" t="s">
        <v>7</v>
      </c>
      <c r="F3810" s="95" t="s">
        <v>113</v>
      </c>
      <c r="G3810" s="102" t="s">
        <v>6</v>
      </c>
      <c r="H3810" s="772">
        <v>35706.283159062099</v>
      </c>
      <c r="I3810" s="94" t="s">
        <v>9</v>
      </c>
      <c r="J3810" s="985" t="s">
        <v>10</v>
      </c>
      <c r="K3810" s="985"/>
      <c r="L3810" s="986"/>
      <c r="N3810" s="186"/>
      <c r="O3810" s="2"/>
      <c r="P3810" s="27"/>
      <c r="Q3810" s="26"/>
      <c r="R3810" s="28"/>
    </row>
    <row r="3811" spans="1:18" ht="30" customHeight="1" x14ac:dyDescent="0.45">
      <c r="A3811" s="19" t="s">
        <v>11</v>
      </c>
      <c r="B3811" s="1005" t="s">
        <v>12</v>
      </c>
      <c r="C3811" s="1005"/>
      <c r="D3811" s="1005"/>
      <c r="E3811" s="20" t="s">
        <v>13</v>
      </c>
      <c r="F3811" s="19" t="s">
        <v>267</v>
      </c>
      <c r="G3811" s="1114" t="s">
        <v>15</v>
      </c>
      <c r="H3811" s="1115"/>
      <c r="I3811" s="1068" t="s">
        <v>16</v>
      </c>
      <c r="J3811" s="1069"/>
      <c r="K3811" s="23" t="s">
        <v>17</v>
      </c>
      <c r="L3811" s="24"/>
      <c r="M3811" s="25"/>
      <c r="N3811" s="26"/>
      <c r="O3811" s="2"/>
      <c r="P3811" s="27"/>
      <c r="Q3811" s="26"/>
      <c r="R3811" s="28"/>
    </row>
    <row r="3812" spans="1:18" ht="30" customHeight="1" x14ac:dyDescent="0.45">
      <c r="A3812" s="47">
        <v>81241</v>
      </c>
      <c r="B3812" s="1018" t="s">
        <v>2013</v>
      </c>
      <c r="C3812" s="1019"/>
      <c r="D3812" s="1020"/>
      <c r="E3812" s="221">
        <v>94878.31</v>
      </c>
      <c r="F3812" s="394">
        <v>1000</v>
      </c>
      <c r="G3812" s="222">
        <v>1000</v>
      </c>
      <c r="H3812" s="223" t="s">
        <v>2014</v>
      </c>
      <c r="I3812" s="1090">
        <f>+'[1]2023 MILCON Inflation Table'!F22</f>
        <v>0.93771935922451721</v>
      </c>
      <c r="J3812" s="1091"/>
      <c r="K3812" s="335">
        <f>+E3812/G3812*I3812</f>
        <v>88.969228057505106</v>
      </c>
      <c r="L3812" s="29" t="s">
        <v>113</v>
      </c>
      <c r="M3812" s="25"/>
      <c r="N3812" s="186"/>
      <c r="O3812" s="2"/>
      <c r="P3812" s="27"/>
      <c r="Q3812" s="26"/>
      <c r="R3812" s="28"/>
    </row>
    <row r="3813" spans="1:18" ht="30" customHeight="1" x14ac:dyDescent="0.45">
      <c r="A3813" s="47">
        <v>81241</v>
      </c>
      <c r="B3813" s="1018" t="s">
        <v>2015</v>
      </c>
      <c r="C3813" s="1019"/>
      <c r="D3813" s="1020"/>
      <c r="E3813" s="221">
        <v>118212.35</v>
      </c>
      <c r="F3813" s="394">
        <v>1000</v>
      </c>
      <c r="G3813" s="222">
        <v>1000</v>
      </c>
      <c r="H3813" s="223" t="s">
        <v>2014</v>
      </c>
      <c r="I3813" s="1090">
        <f>+I3812</f>
        <v>0.93771935922451721</v>
      </c>
      <c r="J3813" s="1091"/>
      <c r="K3813" s="335">
        <f>+E3813/G3813*I3813</f>
        <v>110.85000909442435</v>
      </c>
      <c r="L3813" s="29" t="s">
        <v>113</v>
      </c>
      <c r="M3813" s="25"/>
      <c r="N3813" s="26"/>
      <c r="O3813" s="2"/>
      <c r="P3813" s="27"/>
      <c r="Q3813" s="26"/>
      <c r="R3813" s="28"/>
    </row>
    <row r="3814" spans="1:18" ht="30" customHeight="1" x14ac:dyDescent="0.45">
      <c r="A3814" s="47"/>
      <c r="B3814" s="197"/>
      <c r="C3814" s="198"/>
      <c r="D3814" s="199"/>
      <c r="E3814" s="353"/>
      <c r="F3814" s="434"/>
      <c r="G3814" s="356"/>
      <c r="H3814" s="223"/>
      <c r="I3814" s="232"/>
      <c r="J3814" s="351" t="s">
        <v>56</v>
      </c>
      <c r="K3814" s="335">
        <f>AVERAGE(K3812:K3813)</f>
        <v>99.909618575964728</v>
      </c>
      <c r="L3814" s="47" t="s">
        <v>113</v>
      </c>
      <c r="M3814" s="25"/>
      <c r="N3814" s="26"/>
      <c r="O3814" s="2"/>
      <c r="P3814" s="27"/>
      <c r="Q3814" s="26"/>
      <c r="R3814" s="28"/>
    </row>
    <row r="3815" spans="1:18" ht="30" customHeight="1" thickBot="1" x14ac:dyDescent="0.5">
      <c r="A3815" s="47"/>
      <c r="B3815" s="1008"/>
      <c r="C3815" s="1009"/>
      <c r="D3815" s="1010"/>
      <c r="E3815" s="161"/>
      <c r="F3815" s="415"/>
      <c r="G3815" s="161"/>
      <c r="H3815" s="389"/>
      <c r="I3815" s="58"/>
      <c r="J3815" s="85" t="s">
        <v>39</v>
      </c>
      <c r="K3815" s="185">
        <f>+K3814</f>
        <v>99.909618575964728</v>
      </c>
      <c r="L3815" s="29" t="s">
        <v>113</v>
      </c>
      <c r="M3815" s="25"/>
      <c r="N3815" s="26"/>
      <c r="O3815" s="2"/>
      <c r="P3815" s="27"/>
      <c r="Q3815" s="26"/>
      <c r="R3815" s="28"/>
    </row>
    <row r="3816" spans="1:18" ht="30" customHeight="1" thickBot="1" x14ac:dyDescent="0.5">
      <c r="A3816" s="999"/>
      <c r="B3816" s="1000"/>
      <c r="C3816" s="1000"/>
      <c r="D3816" s="1000"/>
      <c r="E3816" s="1000"/>
      <c r="F3816" s="1000"/>
      <c r="G3816" s="1000"/>
      <c r="H3816" s="1000"/>
      <c r="I3816" s="1000"/>
      <c r="J3816" s="1000"/>
      <c r="K3816" s="1000"/>
      <c r="L3816" s="1001"/>
      <c r="M3816" s="25"/>
      <c r="N3816" s="26"/>
      <c r="O3816" s="2"/>
      <c r="P3816" s="27"/>
      <c r="Q3816" s="26"/>
      <c r="R3816" s="28"/>
    </row>
    <row r="3817" spans="1:18" ht="30" customHeight="1" x14ac:dyDescent="0.45">
      <c r="A3817" s="93" t="s">
        <v>4</v>
      </c>
      <c r="B3817" s="10">
        <v>8122</v>
      </c>
      <c r="C3817" s="91" t="s">
        <v>2016</v>
      </c>
      <c r="D3817" s="155"/>
      <c r="E3817" s="94" t="s">
        <v>7</v>
      </c>
      <c r="F3817" s="95" t="s">
        <v>88</v>
      </c>
      <c r="G3817" s="161" t="s">
        <v>148</v>
      </c>
      <c r="H3817" s="360">
        <v>1</v>
      </c>
      <c r="I3817" s="94" t="s">
        <v>9</v>
      </c>
      <c r="J3817" s="985" t="s">
        <v>10</v>
      </c>
      <c r="K3817" s="985"/>
      <c r="L3817" s="986"/>
      <c r="N3817" s="186"/>
      <c r="O3817" s="2"/>
      <c r="P3817" s="27"/>
      <c r="Q3817" s="26"/>
      <c r="R3817" s="28"/>
    </row>
    <row r="3818" spans="1:18" ht="30" customHeight="1" x14ac:dyDescent="0.45">
      <c r="A3818" s="19" t="s">
        <v>11</v>
      </c>
      <c r="B3818" s="1005" t="s">
        <v>12</v>
      </c>
      <c r="C3818" s="1005"/>
      <c r="D3818" s="1005"/>
      <c r="E3818" s="20" t="s">
        <v>13</v>
      </c>
      <c r="F3818" s="19" t="s">
        <v>267</v>
      </c>
      <c r="G3818" s="1114" t="s">
        <v>15</v>
      </c>
      <c r="H3818" s="1115"/>
      <c r="I3818" s="1068" t="s">
        <v>16</v>
      </c>
      <c r="J3818" s="1069"/>
      <c r="K3818" s="23" t="s">
        <v>17</v>
      </c>
      <c r="L3818" s="24"/>
      <c r="M3818" s="25"/>
      <c r="N3818" s="26"/>
      <c r="O3818" s="2"/>
      <c r="P3818" s="27"/>
      <c r="Q3818" s="26"/>
      <c r="R3818" s="28"/>
    </row>
    <row r="3819" spans="1:18" ht="30" customHeight="1" x14ac:dyDescent="0.45">
      <c r="A3819" s="47">
        <v>81230</v>
      </c>
      <c r="B3819" s="1018" t="s">
        <v>2017</v>
      </c>
      <c r="C3819" s="1019"/>
      <c r="D3819" s="1020"/>
      <c r="E3819" s="221">
        <v>9352.2999999999993</v>
      </c>
      <c r="F3819" s="394">
        <v>1</v>
      </c>
      <c r="G3819" s="222"/>
      <c r="H3819" s="223"/>
      <c r="I3819" s="1090">
        <f>+'[1]2023 MILCON Inflation Table'!F22</f>
        <v>0.93771935922451721</v>
      </c>
      <c r="J3819" s="1091"/>
      <c r="K3819" s="335">
        <f>+E3819*I3819</f>
        <v>8769.8327632754517</v>
      </c>
      <c r="L3819" s="29" t="s">
        <v>113</v>
      </c>
      <c r="M3819" s="25"/>
      <c r="N3819" s="186"/>
      <c r="O3819" s="2"/>
      <c r="P3819" s="27"/>
      <c r="Q3819" s="26"/>
      <c r="R3819" s="28"/>
    </row>
    <row r="3820" spans="1:18" ht="30" customHeight="1" x14ac:dyDescent="0.45">
      <c r="A3820" s="47">
        <v>81230</v>
      </c>
      <c r="B3820" s="1018" t="s">
        <v>2018</v>
      </c>
      <c r="C3820" s="1019"/>
      <c r="D3820" s="1020"/>
      <c r="E3820" s="221">
        <v>16560.689999999999</v>
      </c>
      <c r="F3820" s="394">
        <v>1</v>
      </c>
      <c r="G3820" s="222"/>
      <c r="H3820" s="223"/>
      <c r="I3820" s="1090">
        <f>+I3819</f>
        <v>0.93771935922451721</v>
      </c>
      <c r="J3820" s="1091"/>
      <c r="K3820" s="335">
        <f>+E3820*I3820</f>
        <v>15529.279615115869</v>
      </c>
      <c r="L3820" s="29" t="s">
        <v>113</v>
      </c>
      <c r="M3820" s="25"/>
      <c r="N3820" s="26"/>
      <c r="O3820" s="2"/>
      <c r="P3820" s="27"/>
      <c r="Q3820" s="26"/>
      <c r="R3820" s="28"/>
    </row>
    <row r="3821" spans="1:18" ht="30" customHeight="1" x14ac:dyDescent="0.45">
      <c r="A3821" s="47"/>
      <c r="B3821" s="197"/>
      <c r="C3821" s="198"/>
      <c r="D3821" s="199"/>
      <c r="E3821" s="353"/>
      <c r="F3821" s="434"/>
      <c r="G3821" s="356"/>
      <c r="H3821" s="223"/>
      <c r="I3821" s="232"/>
      <c r="J3821" s="351" t="s">
        <v>56</v>
      </c>
      <c r="K3821" s="335">
        <f>AVERAGE(K3819:K3820)</f>
        <v>12149.55618919566</v>
      </c>
      <c r="L3821" s="47" t="s">
        <v>113</v>
      </c>
      <c r="M3821" s="25"/>
      <c r="N3821" s="26"/>
      <c r="O3821" s="2"/>
      <c r="P3821" s="27"/>
      <c r="Q3821" s="26"/>
      <c r="R3821" s="28"/>
    </row>
    <row r="3822" spans="1:18" ht="30" customHeight="1" thickBot="1" x14ac:dyDescent="0.5">
      <c r="A3822" s="47"/>
      <c r="B3822" s="1008"/>
      <c r="C3822" s="1009"/>
      <c r="D3822" s="1010"/>
      <c r="E3822" s="161"/>
      <c r="F3822" s="415"/>
      <c r="G3822" s="161"/>
      <c r="H3822" s="389"/>
      <c r="I3822" s="58"/>
      <c r="J3822" s="85" t="s">
        <v>39</v>
      </c>
      <c r="K3822" s="185">
        <f>+K3821</f>
        <v>12149.55618919566</v>
      </c>
      <c r="L3822" s="29" t="s">
        <v>113</v>
      </c>
      <c r="M3822" s="25"/>
      <c r="N3822" s="26"/>
      <c r="O3822" s="2"/>
      <c r="P3822" s="27"/>
      <c r="Q3822" s="26"/>
      <c r="R3822" s="28"/>
    </row>
    <row r="3823" spans="1:18" ht="30" customHeight="1" thickBot="1" x14ac:dyDescent="0.5">
      <c r="A3823" s="999"/>
      <c r="B3823" s="1000"/>
      <c r="C3823" s="1000"/>
      <c r="D3823" s="1000"/>
      <c r="E3823" s="1000"/>
      <c r="F3823" s="1000"/>
      <c r="G3823" s="1000"/>
      <c r="H3823" s="1000"/>
      <c r="I3823" s="1000"/>
      <c r="J3823" s="1000"/>
      <c r="K3823" s="1000"/>
      <c r="L3823" s="1001"/>
      <c r="M3823" s="25"/>
      <c r="N3823" s="26"/>
      <c r="O3823" s="2"/>
      <c r="P3823" s="27"/>
      <c r="Q3823" s="26"/>
      <c r="R3823" s="28"/>
    </row>
    <row r="3824" spans="1:18" ht="30" customHeight="1" x14ac:dyDescent="0.45">
      <c r="A3824" s="9" t="s">
        <v>4</v>
      </c>
      <c r="B3824" s="10">
        <v>8123</v>
      </c>
      <c r="C3824" s="1138" t="s">
        <v>2019</v>
      </c>
      <c r="D3824" s="1139"/>
      <c r="E3824" s="13" t="s">
        <v>7</v>
      </c>
      <c r="F3824" s="14" t="s">
        <v>113</v>
      </c>
      <c r="G3824" s="11" t="s">
        <v>6</v>
      </c>
      <c r="H3824" s="184">
        <v>21181</v>
      </c>
      <c r="I3824" s="13" t="s">
        <v>9</v>
      </c>
      <c r="J3824" s="985" t="s">
        <v>10</v>
      </c>
      <c r="K3824" s="985"/>
      <c r="L3824" s="986"/>
      <c r="M3824" s="25"/>
      <c r="N3824" s="26"/>
      <c r="O3824" s="2"/>
      <c r="P3824" s="27"/>
      <c r="Q3824" s="26"/>
      <c r="R3824" s="28"/>
    </row>
    <row r="3825" spans="1:20" ht="30" customHeight="1" x14ac:dyDescent="0.45">
      <c r="A3825" s="19" t="s">
        <v>11</v>
      </c>
      <c r="B3825" s="1005" t="s">
        <v>12</v>
      </c>
      <c r="C3825" s="1005"/>
      <c r="D3825" s="1005"/>
      <c r="E3825" s="20" t="s">
        <v>2020</v>
      </c>
      <c r="F3825" s="19" t="s">
        <v>267</v>
      </c>
      <c r="G3825" s="1114" t="s">
        <v>15</v>
      </c>
      <c r="H3825" s="1115"/>
      <c r="I3825" s="1068" t="s">
        <v>490</v>
      </c>
      <c r="J3825" s="1069"/>
      <c r="K3825" s="23" t="s">
        <v>17</v>
      </c>
      <c r="L3825" s="24"/>
      <c r="M3825" s="25"/>
      <c r="N3825" s="26"/>
      <c r="O3825" s="2"/>
      <c r="P3825" s="27"/>
      <c r="Q3825" s="26"/>
      <c r="R3825" s="28"/>
    </row>
    <row r="3826" spans="1:20" ht="30" customHeight="1" x14ac:dyDescent="0.45">
      <c r="A3826" s="47">
        <v>81242</v>
      </c>
      <c r="B3826" s="1018" t="s">
        <v>2021</v>
      </c>
      <c r="C3826" s="1019"/>
      <c r="D3826" s="1020"/>
      <c r="E3826" s="221">
        <v>55.25</v>
      </c>
      <c r="F3826" s="773">
        <v>1</v>
      </c>
      <c r="G3826" s="424"/>
      <c r="H3826" s="223"/>
      <c r="I3826" s="1090">
        <f>+'[1]2023 MILCON Inflation Table'!F22</f>
        <v>0.93771935922451721</v>
      </c>
      <c r="J3826" s="1091"/>
      <c r="K3826" s="335">
        <f>+E3826*I3826</f>
        <v>51.808994597154573</v>
      </c>
      <c r="L3826" s="47" t="s">
        <v>113</v>
      </c>
      <c r="M3826" s="25"/>
      <c r="N3826" s="26"/>
      <c r="O3826" s="2"/>
      <c r="P3826" s="27"/>
      <c r="Q3826" s="26"/>
      <c r="R3826" s="28"/>
    </row>
    <row r="3827" spans="1:20" ht="30" customHeight="1" x14ac:dyDescent="0.45">
      <c r="A3827" s="47">
        <v>81242</v>
      </c>
      <c r="B3827" s="1018" t="s">
        <v>2022</v>
      </c>
      <c r="C3827" s="1019"/>
      <c r="D3827" s="1020"/>
      <c r="E3827" s="730">
        <v>63.06</v>
      </c>
      <c r="F3827" s="394">
        <v>1</v>
      </c>
      <c r="G3827" s="308"/>
      <c r="H3827" s="223"/>
      <c r="I3827" s="1090">
        <f>+I3826</f>
        <v>0.93771935922451721</v>
      </c>
      <c r="J3827" s="1091"/>
      <c r="K3827" s="335">
        <f>+E3827*I3827</f>
        <v>59.132582792698059</v>
      </c>
      <c r="L3827" s="47" t="s">
        <v>113</v>
      </c>
      <c r="M3827" s="25"/>
      <c r="N3827" s="26"/>
      <c r="O3827" s="2"/>
      <c r="P3827" s="27"/>
      <c r="Q3827" s="26"/>
      <c r="R3827" s="28"/>
    </row>
    <row r="3828" spans="1:20" ht="30" customHeight="1" x14ac:dyDescent="0.45">
      <c r="A3828" s="47">
        <v>81242</v>
      </c>
      <c r="B3828" s="1018" t="s">
        <v>2023</v>
      </c>
      <c r="C3828" s="1019"/>
      <c r="D3828" s="1020"/>
      <c r="E3828" s="730">
        <v>365.8</v>
      </c>
      <c r="F3828" s="394">
        <v>1</v>
      </c>
      <c r="G3828" s="222"/>
      <c r="H3828" s="223"/>
      <c r="I3828" s="1090">
        <f>+I3826</f>
        <v>0.93771935922451721</v>
      </c>
      <c r="J3828" s="1091"/>
      <c r="K3828" s="335">
        <f>+E3828*I3828</f>
        <v>343.01774160432842</v>
      </c>
      <c r="L3828" s="47" t="s">
        <v>113</v>
      </c>
      <c r="M3828" s="25"/>
      <c r="N3828" s="26"/>
      <c r="P3828" s="27"/>
      <c r="Q3828" s="26"/>
      <c r="R3828" s="28"/>
      <c r="T3828" s="90"/>
    </row>
    <row r="3829" spans="1:20" ht="30" customHeight="1" x14ac:dyDescent="0.45">
      <c r="A3829" s="47">
        <v>81242</v>
      </c>
      <c r="B3829" s="1018" t="s">
        <v>2024</v>
      </c>
      <c r="C3829" s="1019"/>
      <c r="D3829" s="1020"/>
      <c r="E3829" s="216">
        <v>302.76</v>
      </c>
      <c r="F3829" s="394">
        <v>1</v>
      </c>
      <c r="G3829" s="222"/>
      <c r="H3829" s="223"/>
      <c r="I3829" s="1090">
        <f>+I3826</f>
        <v>0.93771935922451721</v>
      </c>
      <c r="J3829" s="1091"/>
      <c r="K3829" s="335">
        <f>+E3829*I3829</f>
        <v>283.90391319881485</v>
      </c>
      <c r="L3829" s="47" t="s">
        <v>113</v>
      </c>
      <c r="M3829" s="25"/>
      <c r="N3829" s="26"/>
      <c r="P3829" s="27"/>
      <c r="Q3829" s="26"/>
      <c r="R3829" s="28"/>
      <c r="T3829" s="90"/>
    </row>
    <row r="3830" spans="1:20" ht="30" customHeight="1" x14ac:dyDescent="0.45">
      <c r="A3830" s="47">
        <v>81242</v>
      </c>
      <c r="B3830" s="1018" t="s">
        <v>2023</v>
      </c>
      <c r="C3830" s="1019"/>
      <c r="D3830" s="1020"/>
      <c r="E3830" s="216">
        <v>365.8</v>
      </c>
      <c r="F3830" s="394">
        <v>1</v>
      </c>
      <c r="G3830" s="222"/>
      <c r="H3830" s="223"/>
      <c r="I3830" s="1090">
        <f>+I3826</f>
        <v>0.93771935922451721</v>
      </c>
      <c r="J3830" s="1091"/>
      <c r="K3830" s="335">
        <f>+E3830*I3830</f>
        <v>343.01774160432842</v>
      </c>
      <c r="L3830" s="47" t="s">
        <v>113</v>
      </c>
      <c r="M3830" s="25"/>
      <c r="N3830" s="26"/>
      <c r="S3830" s="41"/>
      <c r="T3830" s="90"/>
    </row>
    <row r="3831" spans="1:20" ht="30" customHeight="1" x14ac:dyDescent="0.45">
      <c r="A3831" s="47"/>
      <c r="B3831" s="1008"/>
      <c r="C3831" s="1009"/>
      <c r="D3831" s="1010"/>
      <c r="E3831" s="355"/>
      <c r="F3831" s="774"/>
      <c r="G3831" s="356"/>
      <c r="H3831" s="223"/>
      <c r="I3831" s="391"/>
      <c r="J3831" s="379" t="s">
        <v>56</v>
      </c>
      <c r="K3831" s="335">
        <f>AVERAGE(K3826:K3830)</f>
        <v>216.17619475946486</v>
      </c>
      <c r="L3831" s="47" t="s">
        <v>113</v>
      </c>
      <c r="M3831" s="25"/>
      <c r="N3831" s="26"/>
      <c r="S3831" s="90"/>
      <c r="T3831" s="41"/>
    </row>
    <row r="3832" spans="1:20" ht="30" customHeight="1" thickBot="1" x14ac:dyDescent="0.5">
      <c r="A3832" s="47"/>
      <c r="B3832" s="994"/>
      <c r="C3832" s="994"/>
      <c r="D3832" s="994"/>
      <c r="E3832" s="161"/>
      <c r="F3832" s="415"/>
      <c r="G3832" s="161"/>
      <c r="H3832" s="389"/>
      <c r="I3832" s="58"/>
      <c r="J3832" s="85" t="s">
        <v>39</v>
      </c>
      <c r="K3832" s="335">
        <f>+K3831</f>
        <v>216.17619475946486</v>
      </c>
      <c r="L3832" s="47" t="s">
        <v>113</v>
      </c>
      <c r="M3832" s="25"/>
      <c r="N3832" s="26"/>
      <c r="S3832" s="90"/>
      <c r="T3832" s="41"/>
    </row>
    <row r="3833" spans="1:20" ht="30" customHeight="1" thickBot="1" x14ac:dyDescent="0.5">
      <c r="A3833" s="999"/>
      <c r="B3833" s="1000"/>
      <c r="C3833" s="1000"/>
      <c r="D3833" s="1000"/>
      <c r="E3833" s="1000"/>
      <c r="F3833" s="1000"/>
      <c r="G3833" s="1000"/>
      <c r="H3833" s="1000"/>
      <c r="I3833" s="1000"/>
      <c r="J3833" s="1000"/>
      <c r="K3833" s="1000"/>
      <c r="L3833" s="1001"/>
      <c r="M3833" s="25"/>
      <c r="N3833" s="26"/>
      <c r="S3833" s="90"/>
      <c r="T3833" s="41"/>
    </row>
    <row r="3834" spans="1:20" ht="30" customHeight="1" x14ac:dyDescent="0.45">
      <c r="A3834" s="80" t="s">
        <v>4</v>
      </c>
      <c r="B3834" s="80">
        <v>8124</v>
      </c>
      <c r="C3834" s="1196" t="s">
        <v>2025</v>
      </c>
      <c r="D3834" s="1196"/>
      <c r="E3834" s="81" t="s">
        <v>7</v>
      </c>
      <c r="F3834" s="82" t="s">
        <v>1985</v>
      </c>
      <c r="G3834" s="102" t="s">
        <v>6</v>
      </c>
      <c r="H3834" s="775">
        <v>9.2899999999999991</v>
      </c>
      <c r="I3834" s="94" t="s">
        <v>9</v>
      </c>
      <c r="J3834" s="1088" t="s">
        <v>2026</v>
      </c>
      <c r="K3834" s="1088"/>
      <c r="L3834" s="1089"/>
      <c r="M3834" s="25"/>
      <c r="N3834" s="26"/>
      <c r="S3834" s="41"/>
      <c r="T3834" s="41"/>
    </row>
    <row r="3835" spans="1:20" ht="30" customHeight="1" x14ac:dyDescent="0.45">
      <c r="A3835" s="85" t="s">
        <v>2027</v>
      </c>
      <c r="B3835" s="987" t="s">
        <v>2028</v>
      </c>
      <c r="C3835" s="988"/>
      <c r="D3835" s="989"/>
      <c r="E3835" s="682" t="s">
        <v>2029</v>
      </c>
      <c r="F3835" s="220" t="s">
        <v>2030</v>
      </c>
      <c r="G3835" s="277" t="s">
        <v>2031</v>
      </c>
      <c r="H3835" s="277" t="s">
        <v>2032</v>
      </c>
      <c r="I3835" s="504" t="s">
        <v>2033</v>
      </c>
      <c r="J3835" s="19" t="s">
        <v>490</v>
      </c>
      <c r="K3835" s="992" t="s">
        <v>17</v>
      </c>
      <c r="L3835" s="993"/>
      <c r="M3835" s="25"/>
      <c r="N3835" s="26"/>
      <c r="S3835" s="41"/>
      <c r="T3835" s="41"/>
    </row>
    <row r="3836" spans="1:20" ht="30" customHeight="1" x14ac:dyDescent="0.45">
      <c r="A3836" s="47" t="s">
        <v>2034</v>
      </c>
      <c r="B3836" s="1195" t="s">
        <v>2035</v>
      </c>
      <c r="C3836" s="1195"/>
      <c r="D3836" s="1195"/>
      <c r="E3836" s="221" t="s">
        <v>2036</v>
      </c>
      <c r="F3836" s="47">
        <v>1.4</v>
      </c>
      <c r="G3836" s="221">
        <v>813</v>
      </c>
      <c r="H3836" s="221">
        <v>2836</v>
      </c>
      <c r="I3836" s="776">
        <f>+(G3836+H3836)/F3836</f>
        <v>2606.4285714285716</v>
      </c>
      <c r="J3836" s="447">
        <f>+'[1]2023 MILCON Inflation Table'!F15</f>
        <v>1.2839611975731238</v>
      </c>
      <c r="K3836" s="777" t="s">
        <v>2037</v>
      </c>
      <c r="L3836" s="47"/>
      <c r="M3836" s="121"/>
      <c r="N3836" s="26"/>
      <c r="S3836" s="41"/>
      <c r="T3836" s="41"/>
    </row>
    <row r="3837" spans="1:20" ht="30" customHeight="1" x14ac:dyDescent="0.45">
      <c r="A3837" s="47" t="s">
        <v>2034</v>
      </c>
      <c r="B3837" s="1195" t="s">
        <v>2035</v>
      </c>
      <c r="C3837" s="1195"/>
      <c r="D3837" s="1195"/>
      <c r="E3837" s="221" t="s">
        <v>2038</v>
      </c>
      <c r="F3837" s="47">
        <v>1.4</v>
      </c>
      <c r="G3837" s="200">
        <v>596</v>
      </c>
      <c r="H3837" s="221">
        <v>3020</v>
      </c>
      <c r="I3837" s="776">
        <f t="shared" ref="I3837:I3844" si="63">+(G3837+H3837)/F3837</f>
        <v>2582.8571428571431</v>
      </c>
      <c r="J3837" s="447">
        <f>+J3836</f>
        <v>1.2839611975731238</v>
      </c>
      <c r="K3837" s="778">
        <f>+(I3836*J3836+I3837*J3837)/2</f>
        <v>3331.4207501316946</v>
      </c>
      <c r="L3837" s="47" t="s">
        <v>1985</v>
      </c>
      <c r="M3837" s="25"/>
      <c r="N3837" s="26"/>
      <c r="S3837" s="41"/>
      <c r="T3837" s="41"/>
    </row>
    <row r="3838" spans="1:20" ht="30" customHeight="1" x14ac:dyDescent="0.45">
      <c r="A3838" s="47" t="s">
        <v>2039</v>
      </c>
      <c r="B3838" s="1195" t="s">
        <v>2035</v>
      </c>
      <c r="C3838" s="1195"/>
      <c r="D3838" s="1195"/>
      <c r="E3838" s="221" t="s">
        <v>2036</v>
      </c>
      <c r="F3838" s="47">
        <v>6.6</v>
      </c>
      <c r="G3838" s="200">
        <v>1182</v>
      </c>
      <c r="H3838" s="221">
        <v>3090</v>
      </c>
      <c r="I3838" s="776">
        <f t="shared" si="63"/>
        <v>647.27272727272725</v>
      </c>
      <c r="J3838" s="447">
        <f>+J3836</f>
        <v>1.2839611975731238</v>
      </c>
      <c r="K3838" s="777"/>
      <c r="L3838" s="47"/>
      <c r="M3838" s="25"/>
      <c r="S3838" s="41"/>
      <c r="T3838" s="41"/>
    </row>
    <row r="3839" spans="1:20" ht="30" customHeight="1" x14ac:dyDescent="0.45">
      <c r="A3839" s="47" t="s">
        <v>2039</v>
      </c>
      <c r="B3839" s="1195" t="s">
        <v>2035</v>
      </c>
      <c r="C3839" s="1195"/>
      <c r="D3839" s="1195"/>
      <c r="E3839" s="221" t="s">
        <v>2038</v>
      </c>
      <c r="F3839" s="47">
        <v>6.6</v>
      </c>
      <c r="G3839" s="200">
        <v>938</v>
      </c>
      <c r="H3839" s="221">
        <v>3090</v>
      </c>
      <c r="I3839" s="776">
        <f t="shared" si="63"/>
        <v>610.30303030303037</v>
      </c>
      <c r="J3839" s="447">
        <f>+J3836</f>
        <v>1.2839611975731238</v>
      </c>
      <c r="K3839" s="777"/>
      <c r="L3839" s="47"/>
      <c r="M3839" s="25"/>
      <c r="O3839" s="5"/>
      <c r="S3839" s="41"/>
      <c r="T3839" s="18"/>
    </row>
    <row r="3840" spans="1:20" ht="30" customHeight="1" x14ac:dyDescent="0.45">
      <c r="A3840" s="47" t="s">
        <v>2039</v>
      </c>
      <c r="B3840" s="1195" t="s">
        <v>2040</v>
      </c>
      <c r="C3840" s="1195"/>
      <c r="D3840" s="1195"/>
      <c r="E3840" s="221" t="s">
        <v>2036</v>
      </c>
      <c r="F3840" s="47">
        <v>6.6</v>
      </c>
      <c r="G3840" s="200">
        <v>3127</v>
      </c>
      <c r="H3840" s="221">
        <v>3090</v>
      </c>
      <c r="I3840" s="776">
        <f t="shared" si="63"/>
        <v>941.969696969697</v>
      </c>
      <c r="J3840" s="447">
        <f>+J3836</f>
        <v>1.2839611975731238</v>
      </c>
      <c r="K3840" s="777" t="s">
        <v>2041</v>
      </c>
      <c r="L3840" s="47"/>
      <c r="M3840" s="25"/>
      <c r="O3840" s="5"/>
      <c r="S3840" s="41"/>
      <c r="T3840" s="18"/>
    </row>
    <row r="3841" spans="1:25" ht="30" customHeight="1" x14ac:dyDescent="0.45">
      <c r="A3841" s="47" t="s">
        <v>2039</v>
      </c>
      <c r="B3841" s="1195" t="s">
        <v>2040</v>
      </c>
      <c r="C3841" s="1195"/>
      <c r="D3841" s="1195"/>
      <c r="E3841" s="221" t="s">
        <v>2038</v>
      </c>
      <c r="F3841" s="47">
        <v>6.6</v>
      </c>
      <c r="G3841" s="200">
        <v>2793</v>
      </c>
      <c r="H3841" s="221">
        <v>3090</v>
      </c>
      <c r="I3841" s="776">
        <f t="shared" si="63"/>
        <v>891.36363636363637</v>
      </c>
      <c r="J3841" s="447">
        <f>+J3836</f>
        <v>1.2839611975731238</v>
      </c>
      <c r="K3841" s="778">
        <f>+(I3838*J3838+I3839*J3839+I3840*J3840+I3841*J3841)/4</f>
        <v>992.15183448832295</v>
      </c>
      <c r="L3841" s="47" t="s">
        <v>1985</v>
      </c>
      <c r="M3841" s="25"/>
      <c r="O3841" s="5"/>
      <c r="S3841" s="41"/>
      <c r="T3841" s="18"/>
      <c r="U3841" s="18"/>
      <c r="V3841" s="18"/>
      <c r="W3841" s="18"/>
      <c r="X3841" s="18"/>
    </row>
    <row r="3842" spans="1:25" ht="30" customHeight="1" x14ac:dyDescent="0.45">
      <c r="A3842" s="47" t="s">
        <v>2042</v>
      </c>
      <c r="B3842" s="1195" t="s">
        <v>2043</v>
      </c>
      <c r="C3842" s="1195"/>
      <c r="D3842" s="1195"/>
      <c r="E3842" s="221" t="s">
        <v>2036</v>
      </c>
      <c r="F3842" s="47">
        <v>50</v>
      </c>
      <c r="G3842" s="200">
        <v>28401</v>
      </c>
      <c r="H3842" s="221">
        <v>26964</v>
      </c>
      <c r="I3842" s="776">
        <f t="shared" si="63"/>
        <v>1107.3</v>
      </c>
      <c r="J3842" s="447">
        <f>+J3836</f>
        <v>1.2839611975731238</v>
      </c>
      <c r="K3842" s="777"/>
      <c r="L3842" s="47"/>
      <c r="M3842" s="25"/>
      <c r="P3842" s="18"/>
      <c r="Q3842" s="18"/>
      <c r="R3842" s="18"/>
      <c r="S3842" s="18"/>
      <c r="U3842" s="18"/>
      <c r="V3842" s="18"/>
      <c r="W3842" s="18"/>
      <c r="X3842" s="18"/>
      <c r="Y3842" s="18"/>
    </row>
    <row r="3843" spans="1:25" ht="30" customHeight="1" x14ac:dyDescent="0.45">
      <c r="A3843" s="47" t="s">
        <v>2042</v>
      </c>
      <c r="B3843" s="1195" t="s">
        <v>2044</v>
      </c>
      <c r="C3843" s="1195"/>
      <c r="D3843" s="1195"/>
      <c r="E3843" s="221" t="s">
        <v>2036</v>
      </c>
      <c r="F3843" s="47">
        <v>150</v>
      </c>
      <c r="G3843" s="216">
        <v>75000</v>
      </c>
      <c r="H3843" s="221">
        <v>28312</v>
      </c>
      <c r="I3843" s="776">
        <f t="shared" si="63"/>
        <v>688.74666666666667</v>
      </c>
      <c r="J3843" s="447">
        <f>+J3836</f>
        <v>1.2839611975731238</v>
      </c>
      <c r="K3843" s="777" t="s">
        <v>2045</v>
      </c>
      <c r="L3843" s="47"/>
      <c r="M3843" s="25"/>
      <c r="P3843" s="18"/>
      <c r="Q3843" s="18"/>
      <c r="R3843" s="18"/>
      <c r="S3843" s="18"/>
      <c r="U3843" s="18"/>
      <c r="V3843" s="18"/>
      <c r="W3843" s="18"/>
      <c r="X3843" s="18"/>
      <c r="Y3843" s="18"/>
    </row>
    <row r="3844" spans="1:25" ht="30" customHeight="1" x14ac:dyDescent="0.45">
      <c r="A3844" s="47" t="s">
        <v>2042</v>
      </c>
      <c r="B3844" s="1195" t="s">
        <v>2046</v>
      </c>
      <c r="C3844" s="1195"/>
      <c r="D3844" s="1195"/>
      <c r="E3844" s="221" t="s">
        <v>2036</v>
      </c>
      <c r="F3844" s="47">
        <v>350</v>
      </c>
      <c r="G3844" s="216">
        <v>140000</v>
      </c>
      <c r="H3844" s="221">
        <v>39097</v>
      </c>
      <c r="I3844" s="776">
        <f t="shared" si="63"/>
        <v>511.70571428571429</v>
      </c>
      <c r="J3844" s="447">
        <f>+J3836</f>
        <v>1.2839611975731238</v>
      </c>
      <c r="K3844" s="778">
        <f>+(J3842*I3842+I3843*J3843+I3844*J3844)/3</f>
        <v>987.68817024994894</v>
      </c>
      <c r="L3844" s="47" t="s">
        <v>1985</v>
      </c>
      <c r="M3844" s="25"/>
      <c r="O3844" s="5"/>
      <c r="P3844" s="18"/>
      <c r="Q3844" s="18"/>
      <c r="R3844" s="18"/>
      <c r="S3844" s="18"/>
      <c r="U3844" s="18"/>
      <c r="V3844" s="18"/>
      <c r="W3844" s="18"/>
      <c r="X3844" s="18"/>
      <c r="Y3844" s="18"/>
    </row>
    <row r="3845" spans="1:25" s="18" customFormat="1" ht="30" customHeight="1" x14ac:dyDescent="0.45">
      <c r="A3845" s="47"/>
      <c r="B3845" s="1092"/>
      <c r="C3845" s="1092"/>
      <c r="D3845" s="1092"/>
      <c r="E3845" s="221"/>
      <c r="F3845" s="58"/>
      <c r="G3845" s="58"/>
      <c r="H3845" s="179"/>
      <c r="I3845" s="47"/>
      <c r="J3845" s="47" t="s">
        <v>27</v>
      </c>
      <c r="K3845" s="779">
        <f>+K3837*0.1+K3841*0.75+K3844*0.15</f>
        <v>1225.4091764169038</v>
      </c>
      <c r="L3845" s="47" t="s">
        <v>1985</v>
      </c>
      <c r="M3845" s="25"/>
      <c r="N3845" s="2"/>
      <c r="O3845" s="3"/>
      <c r="P3845" s="2"/>
      <c r="Q3845" s="2"/>
      <c r="R3845" s="2"/>
      <c r="S3845" s="2"/>
      <c r="T3845" s="41"/>
      <c r="U3845" s="2"/>
      <c r="V3845" s="2"/>
      <c r="W3845" s="2"/>
      <c r="X3845" s="2"/>
    </row>
    <row r="3846" spans="1:25" s="18" customFormat="1" ht="30" customHeight="1" x14ac:dyDescent="0.45">
      <c r="A3846" s="47"/>
      <c r="B3846" s="1008" t="s">
        <v>2047</v>
      </c>
      <c r="C3846" s="1009"/>
      <c r="D3846" s="1010"/>
      <c r="E3846" s="58"/>
      <c r="F3846" s="2"/>
      <c r="G3846" s="58"/>
      <c r="H3846" s="58"/>
      <c r="I3846" s="183" t="s">
        <v>288</v>
      </c>
      <c r="J3846" s="213">
        <f>VLOOKUP(B3834,'[1]Mil Cost Premiums for PUCs'!$A$4:$R$278,18,FALSE)</f>
        <v>1.0905505199999999</v>
      </c>
      <c r="K3846" s="216">
        <f>+K3845*J3846</f>
        <v>1336.370614554226</v>
      </c>
      <c r="L3846" s="47" t="s">
        <v>1985</v>
      </c>
      <c r="M3846" s="25"/>
      <c r="N3846" s="491"/>
      <c r="O3846" s="3"/>
      <c r="P3846" s="2"/>
      <c r="Q3846" s="2"/>
      <c r="R3846" s="2"/>
      <c r="S3846" s="2"/>
      <c r="T3846" s="41"/>
      <c r="U3846" s="2"/>
      <c r="V3846" s="2"/>
      <c r="W3846" s="2"/>
      <c r="X3846" s="2"/>
      <c r="Y3846" s="2"/>
    </row>
    <row r="3847" spans="1:25" s="18" customFormat="1" ht="68.25" customHeight="1" thickBot="1" x14ac:dyDescent="0.5">
      <c r="A3847" s="1181" t="s">
        <v>2048</v>
      </c>
      <c r="B3847" s="1182"/>
      <c r="C3847" s="1182"/>
      <c r="D3847" s="1182"/>
      <c r="E3847" s="1182"/>
      <c r="F3847" s="1182"/>
      <c r="G3847" s="1182"/>
      <c r="H3847" s="1182"/>
      <c r="I3847" s="1182"/>
      <c r="J3847" s="1182"/>
      <c r="K3847" s="1182"/>
      <c r="L3847" s="1183"/>
      <c r="M3847" s="25"/>
      <c r="N3847" s="2"/>
      <c r="O3847" s="2"/>
      <c r="P3847" s="2"/>
      <c r="Q3847" s="2"/>
      <c r="R3847" s="2"/>
      <c r="S3847" s="2"/>
      <c r="T3847" s="2"/>
      <c r="U3847" s="2"/>
      <c r="V3847" s="2"/>
      <c r="W3847" s="2"/>
      <c r="X3847" s="2"/>
      <c r="Y3847" s="2"/>
    </row>
    <row r="3848" spans="1:25" ht="30" customHeight="1" thickBot="1" x14ac:dyDescent="0.5">
      <c r="A3848" s="999"/>
      <c r="B3848" s="1000"/>
      <c r="C3848" s="1000"/>
      <c r="D3848" s="1000"/>
      <c r="E3848" s="1000"/>
      <c r="F3848" s="1000"/>
      <c r="G3848" s="1000"/>
      <c r="H3848" s="1000"/>
      <c r="I3848" s="1000"/>
      <c r="J3848" s="1000"/>
      <c r="K3848" s="1000"/>
      <c r="L3848" s="1001"/>
      <c r="M3848" s="25"/>
      <c r="S3848" s="41"/>
    </row>
    <row r="3849" spans="1:25" ht="30" customHeight="1" x14ac:dyDescent="0.45">
      <c r="A3849" s="9" t="s">
        <v>4</v>
      </c>
      <c r="B3849" s="10">
        <v>8131</v>
      </c>
      <c r="C3849" s="983" t="s">
        <v>2049</v>
      </c>
      <c r="D3849" s="984"/>
      <c r="E3849" s="13" t="s">
        <v>7</v>
      </c>
      <c r="F3849" s="14" t="s">
        <v>2050</v>
      </c>
      <c r="G3849" s="11" t="s">
        <v>6</v>
      </c>
      <c r="H3849" s="163">
        <v>5939.66403031346</v>
      </c>
      <c r="I3849" s="13" t="s">
        <v>9</v>
      </c>
      <c r="J3849" s="985" t="s">
        <v>76</v>
      </c>
      <c r="K3849" s="985"/>
      <c r="L3849" s="986"/>
      <c r="M3849" s="25"/>
      <c r="N3849" s="186"/>
      <c r="O3849" s="2"/>
      <c r="P3849" s="27"/>
      <c r="Q3849" s="26"/>
      <c r="R3849" s="28"/>
    </row>
    <row r="3850" spans="1:25" ht="30" customHeight="1" x14ac:dyDescent="0.45">
      <c r="A3850" s="19" t="s">
        <v>77</v>
      </c>
      <c r="B3850" s="1005" t="s">
        <v>12</v>
      </c>
      <c r="C3850" s="1005"/>
      <c r="D3850" s="1005"/>
      <c r="E3850" s="19" t="s">
        <v>78</v>
      </c>
      <c r="F3850" s="19" t="s">
        <v>79</v>
      </c>
      <c r="G3850" s="19" t="s">
        <v>80</v>
      </c>
      <c r="H3850" s="19" t="s">
        <v>81</v>
      </c>
      <c r="I3850" s="19" t="s">
        <v>82</v>
      </c>
      <c r="J3850" s="85" t="s">
        <v>222</v>
      </c>
      <c r="K3850" s="85" t="s">
        <v>84</v>
      </c>
      <c r="L3850" s="85"/>
      <c r="M3850" s="25"/>
      <c r="N3850" s="186"/>
      <c r="O3850" s="2"/>
      <c r="P3850" s="27"/>
      <c r="Q3850" s="26"/>
      <c r="R3850" s="28"/>
    </row>
    <row r="3851" spans="1:25" ht="30" customHeight="1" x14ac:dyDescent="0.45">
      <c r="A3851" s="105" t="s">
        <v>2051</v>
      </c>
      <c r="B3851" s="224" t="s">
        <v>2052</v>
      </c>
      <c r="C3851" s="179"/>
      <c r="D3851" s="179"/>
      <c r="E3851" s="780">
        <v>2400</v>
      </c>
      <c r="F3851" s="105" t="s">
        <v>35</v>
      </c>
      <c r="G3851" s="781">
        <v>19647.195253018501</v>
      </c>
      <c r="H3851" s="781">
        <v>18475.0315714889</v>
      </c>
      <c r="I3851" s="781">
        <v>685.86801170047795</v>
      </c>
      <c r="J3851" s="781">
        <v>0</v>
      </c>
      <c r="K3851" s="781">
        <v>38808.0948362079</v>
      </c>
      <c r="L3851" s="105" t="s">
        <v>35</v>
      </c>
      <c r="M3851" s="25"/>
      <c r="N3851" s="186"/>
      <c r="O3851" s="2"/>
      <c r="P3851" s="27"/>
      <c r="Q3851" s="26"/>
      <c r="R3851" s="28"/>
    </row>
    <row r="3852" spans="1:25" ht="30" customHeight="1" x14ac:dyDescent="0.45">
      <c r="A3852" s="105" t="s">
        <v>2053</v>
      </c>
      <c r="B3852" s="224" t="s">
        <v>2054</v>
      </c>
      <c r="C3852" s="179"/>
      <c r="D3852" s="179"/>
      <c r="E3852" s="780">
        <v>3</v>
      </c>
      <c r="F3852" s="105" t="s">
        <v>88</v>
      </c>
      <c r="G3852" s="781">
        <v>106018.946984804</v>
      </c>
      <c r="H3852" s="781">
        <v>17750.519051249499</v>
      </c>
      <c r="I3852" s="781">
        <v>1746.7074168450399</v>
      </c>
      <c r="J3852" s="781">
        <v>0</v>
      </c>
      <c r="K3852" s="781">
        <v>125516.17345289901</v>
      </c>
      <c r="L3852" s="105" t="s">
        <v>88</v>
      </c>
      <c r="M3852" s="25"/>
      <c r="N3852" s="186"/>
      <c r="O3852" s="2"/>
      <c r="P3852" s="27"/>
      <c r="Q3852" s="26"/>
      <c r="R3852" s="28"/>
    </row>
    <row r="3853" spans="1:25" ht="30" customHeight="1" x14ac:dyDescent="0.45">
      <c r="A3853" s="105" t="s">
        <v>2055</v>
      </c>
      <c r="B3853" s="224" t="s">
        <v>2056</v>
      </c>
      <c r="C3853" s="179"/>
      <c r="D3853" s="179"/>
      <c r="E3853" s="780">
        <v>3</v>
      </c>
      <c r="F3853" s="105" t="s">
        <v>88</v>
      </c>
      <c r="G3853" s="781">
        <v>17742.819025700901</v>
      </c>
      <c r="H3853" s="781">
        <v>8457.4707578163307</v>
      </c>
      <c r="I3853" s="781">
        <v>0</v>
      </c>
      <c r="J3853" s="781">
        <v>0</v>
      </c>
      <c r="K3853" s="781">
        <v>26200.289783517299</v>
      </c>
      <c r="L3853" s="105" t="s">
        <v>88</v>
      </c>
      <c r="M3853" s="25"/>
      <c r="N3853" s="186"/>
      <c r="O3853" s="2"/>
      <c r="P3853" s="27"/>
      <c r="Q3853" s="26"/>
      <c r="R3853" s="28"/>
    </row>
    <row r="3854" spans="1:25" ht="30" customHeight="1" x14ac:dyDescent="0.45">
      <c r="A3854" s="105" t="s">
        <v>2057</v>
      </c>
      <c r="B3854" s="224" t="s">
        <v>2058</v>
      </c>
      <c r="C3854" s="179"/>
      <c r="D3854" s="179"/>
      <c r="E3854" s="780">
        <v>6</v>
      </c>
      <c r="F3854" s="105" t="s">
        <v>88</v>
      </c>
      <c r="G3854" s="781">
        <v>7085.3187457042004</v>
      </c>
      <c r="H3854" s="781">
        <v>2498.9755220576599</v>
      </c>
      <c r="I3854" s="781">
        <v>0</v>
      </c>
      <c r="J3854" s="781">
        <v>0</v>
      </c>
      <c r="K3854" s="781">
        <v>9584.2942677618594</v>
      </c>
      <c r="L3854" s="105" t="s">
        <v>88</v>
      </c>
      <c r="M3854" s="25"/>
      <c r="N3854" s="186"/>
      <c r="O3854" s="2"/>
      <c r="P3854" s="27"/>
      <c r="Q3854" s="26"/>
      <c r="R3854" s="28"/>
    </row>
    <row r="3855" spans="1:25" ht="30" customHeight="1" x14ac:dyDescent="0.45">
      <c r="A3855" s="105" t="s">
        <v>2059</v>
      </c>
      <c r="B3855" s="224" t="s">
        <v>2060</v>
      </c>
      <c r="C3855" s="179"/>
      <c r="D3855" s="179"/>
      <c r="E3855" s="780">
        <v>3</v>
      </c>
      <c r="F3855" s="105" t="s">
        <v>88</v>
      </c>
      <c r="G3855" s="781">
        <v>47850.503334703702</v>
      </c>
      <c r="H3855" s="781">
        <v>0</v>
      </c>
      <c r="I3855" s="781">
        <v>0</v>
      </c>
      <c r="J3855" s="781">
        <v>0</v>
      </c>
      <c r="K3855" s="781">
        <v>47850.503334703702</v>
      </c>
      <c r="L3855" s="105" t="s">
        <v>88</v>
      </c>
      <c r="M3855" s="25"/>
      <c r="N3855" s="377"/>
      <c r="O3855" s="2"/>
      <c r="P3855" s="27"/>
      <c r="Q3855" s="26"/>
      <c r="R3855" s="28"/>
    </row>
    <row r="3856" spans="1:25" ht="30" customHeight="1" x14ac:dyDescent="0.45">
      <c r="A3856" s="105" t="s">
        <v>2061</v>
      </c>
      <c r="B3856" s="224" t="s">
        <v>2062</v>
      </c>
      <c r="C3856" s="179"/>
      <c r="D3856" s="179"/>
      <c r="E3856" s="780">
        <v>6</v>
      </c>
      <c r="F3856" s="105" t="s">
        <v>88</v>
      </c>
      <c r="G3856" s="781">
        <v>536.53576201845101</v>
      </c>
      <c r="H3856" s="781">
        <v>1384.16495022463</v>
      </c>
      <c r="I3856" s="781">
        <v>0</v>
      </c>
      <c r="J3856" s="781">
        <v>0</v>
      </c>
      <c r="K3856" s="781">
        <v>1920.70071224308</v>
      </c>
      <c r="L3856" s="105" t="s">
        <v>88</v>
      </c>
      <c r="M3856" s="25"/>
      <c r="N3856" s="377"/>
      <c r="O3856" s="2"/>
      <c r="P3856" s="27"/>
      <c r="Q3856" s="26"/>
      <c r="R3856" s="28"/>
    </row>
    <row r="3857" spans="1:18" ht="30" customHeight="1" x14ac:dyDescent="0.45">
      <c r="A3857" s="105" t="s">
        <v>2063</v>
      </c>
      <c r="B3857" s="224" t="s">
        <v>2064</v>
      </c>
      <c r="C3857" s="179"/>
      <c r="D3857" s="179"/>
      <c r="E3857" s="780">
        <v>12</v>
      </c>
      <c r="F3857" s="105" t="s">
        <v>88</v>
      </c>
      <c r="G3857" s="781">
        <v>3678.6600980317999</v>
      </c>
      <c r="H3857" s="781">
        <v>4994.7780248261997</v>
      </c>
      <c r="I3857" s="781">
        <v>0</v>
      </c>
      <c r="J3857" s="781">
        <v>0</v>
      </c>
      <c r="K3857" s="781">
        <v>8673.4381228580005</v>
      </c>
      <c r="L3857" s="105" t="s">
        <v>88</v>
      </c>
      <c r="M3857" s="25"/>
      <c r="N3857" s="26"/>
      <c r="O3857" s="2"/>
      <c r="P3857" s="27"/>
      <c r="Q3857" s="26"/>
      <c r="R3857" s="28"/>
    </row>
    <row r="3858" spans="1:18" ht="30" customHeight="1" x14ac:dyDescent="0.45">
      <c r="A3858" s="105" t="s">
        <v>2065</v>
      </c>
      <c r="B3858" s="224" t="s">
        <v>2066</v>
      </c>
      <c r="C3858" s="179"/>
      <c r="D3858" s="179"/>
      <c r="E3858" s="780">
        <v>9</v>
      </c>
      <c r="F3858" s="105" t="s">
        <v>2067</v>
      </c>
      <c r="G3858" s="781">
        <v>1902.1497643089699</v>
      </c>
      <c r="H3858" s="781">
        <v>336.25531515652602</v>
      </c>
      <c r="I3858" s="781">
        <v>0</v>
      </c>
      <c r="J3858" s="781">
        <v>7320.9164919632503</v>
      </c>
      <c r="K3858" s="781">
        <v>9559.3215714287398</v>
      </c>
      <c r="L3858" s="105" t="s">
        <v>2067</v>
      </c>
      <c r="M3858" s="25"/>
      <c r="N3858" s="63"/>
      <c r="O3858" s="2"/>
      <c r="P3858" s="27"/>
      <c r="Q3858" s="26"/>
      <c r="R3858" s="28"/>
    </row>
    <row r="3859" spans="1:18" ht="30" customHeight="1" x14ac:dyDescent="0.45">
      <c r="A3859" s="105" t="s">
        <v>2068</v>
      </c>
      <c r="B3859" s="224" t="s">
        <v>2069</v>
      </c>
      <c r="C3859" s="179"/>
      <c r="D3859" s="179"/>
      <c r="E3859" s="780">
        <v>9</v>
      </c>
      <c r="F3859" s="105" t="s">
        <v>88</v>
      </c>
      <c r="G3859" s="781">
        <v>49449.620412727199</v>
      </c>
      <c r="H3859" s="781">
        <v>4881.7175299084502</v>
      </c>
      <c r="I3859" s="781">
        <v>0</v>
      </c>
      <c r="J3859" s="781">
        <v>0</v>
      </c>
      <c r="K3859" s="781">
        <v>54331.337942635699</v>
      </c>
      <c r="L3859" s="105" t="s">
        <v>88</v>
      </c>
      <c r="M3859" s="25"/>
      <c r="N3859" s="63"/>
      <c r="O3859" s="2"/>
      <c r="P3859" s="27"/>
      <c r="Q3859" s="26"/>
      <c r="R3859" s="28"/>
    </row>
    <row r="3860" spans="1:18" ht="30" customHeight="1" x14ac:dyDescent="0.45">
      <c r="A3860" s="105" t="s">
        <v>2070</v>
      </c>
      <c r="B3860" s="1008" t="s">
        <v>2071</v>
      </c>
      <c r="C3860" s="1009"/>
      <c r="D3860" s="1010"/>
      <c r="E3860" s="780">
        <v>60</v>
      </c>
      <c r="F3860" s="105" t="s">
        <v>113</v>
      </c>
      <c r="G3860" s="781">
        <v>44775.278184658499</v>
      </c>
      <c r="H3860" s="781">
        <v>7913.4273790323396</v>
      </c>
      <c r="I3860" s="781">
        <v>0</v>
      </c>
      <c r="J3860" s="781">
        <v>0</v>
      </c>
      <c r="K3860" s="781">
        <v>52688.705563690797</v>
      </c>
      <c r="L3860" s="105" t="s">
        <v>113</v>
      </c>
      <c r="M3860" s="25"/>
      <c r="N3860" s="26"/>
      <c r="O3860" s="2"/>
      <c r="P3860" s="27"/>
      <c r="Q3860" s="26"/>
      <c r="R3860" s="28"/>
    </row>
    <row r="3861" spans="1:18" ht="30" customHeight="1" x14ac:dyDescent="0.45">
      <c r="A3861" s="105" t="s">
        <v>2072</v>
      </c>
      <c r="B3861" s="224" t="s">
        <v>2073</v>
      </c>
      <c r="C3861" s="179"/>
      <c r="D3861" s="179"/>
      <c r="E3861" s="780">
        <v>60</v>
      </c>
      <c r="F3861" s="105" t="s">
        <v>113</v>
      </c>
      <c r="G3861" s="781">
        <v>46743.422280687402</v>
      </c>
      <c r="H3861" s="781">
        <v>7913.2806035395697</v>
      </c>
      <c r="I3861" s="781">
        <v>0</v>
      </c>
      <c r="J3861" s="781">
        <v>0</v>
      </c>
      <c r="K3861" s="781">
        <v>54656.702884227001</v>
      </c>
      <c r="L3861" s="105" t="s">
        <v>113</v>
      </c>
      <c r="M3861" s="25"/>
      <c r="N3861" s="26"/>
      <c r="O3861" s="2"/>
      <c r="P3861" s="27"/>
      <c r="Q3861" s="26"/>
      <c r="R3861" s="28"/>
    </row>
    <row r="3862" spans="1:18" ht="30" customHeight="1" x14ac:dyDescent="0.45">
      <c r="A3862" s="105" t="s">
        <v>2074</v>
      </c>
      <c r="B3862" s="224" t="s">
        <v>2075</v>
      </c>
      <c r="C3862" s="179"/>
      <c r="D3862" s="179"/>
      <c r="E3862" s="780">
        <v>40</v>
      </c>
      <c r="F3862" s="105" t="s">
        <v>113</v>
      </c>
      <c r="G3862" s="781">
        <v>82006.004001206005</v>
      </c>
      <c r="H3862" s="781">
        <v>17585.385280143</v>
      </c>
      <c r="I3862" s="781">
        <v>0</v>
      </c>
      <c r="J3862" s="781">
        <v>0</v>
      </c>
      <c r="K3862" s="781">
        <v>99591.389281349097</v>
      </c>
      <c r="L3862" s="105" t="s">
        <v>113</v>
      </c>
      <c r="M3862" s="25"/>
      <c r="N3862" s="26"/>
      <c r="O3862" s="2"/>
      <c r="P3862" s="27"/>
      <c r="Q3862" s="26"/>
      <c r="R3862" s="28"/>
    </row>
    <row r="3863" spans="1:18" ht="30" customHeight="1" x14ac:dyDescent="0.45">
      <c r="A3863" s="105" t="s">
        <v>2076</v>
      </c>
      <c r="B3863" s="1181" t="s">
        <v>2077</v>
      </c>
      <c r="C3863" s="1182"/>
      <c r="D3863" s="1183"/>
      <c r="E3863" s="780">
        <v>3</v>
      </c>
      <c r="F3863" s="105" t="s">
        <v>88</v>
      </c>
      <c r="G3863" s="781">
        <v>150070.98584609901</v>
      </c>
      <c r="H3863" s="781">
        <v>25989.5885429886</v>
      </c>
      <c r="I3863" s="781">
        <v>3014.4424933024202</v>
      </c>
      <c r="J3863" s="781">
        <v>0</v>
      </c>
      <c r="K3863" s="781">
        <v>179075.01688238999</v>
      </c>
      <c r="L3863" s="105" t="s">
        <v>88</v>
      </c>
      <c r="M3863" s="25"/>
      <c r="N3863" s="26"/>
      <c r="O3863" s="2"/>
      <c r="P3863" s="27"/>
      <c r="Q3863" s="26"/>
      <c r="R3863" s="28"/>
    </row>
    <row r="3864" spans="1:18" ht="30" customHeight="1" x14ac:dyDescent="0.45">
      <c r="A3864" s="105" t="s">
        <v>2078</v>
      </c>
      <c r="B3864" s="224" t="s">
        <v>2079</v>
      </c>
      <c r="C3864" s="179"/>
      <c r="D3864" s="179"/>
      <c r="E3864" s="780">
        <v>3</v>
      </c>
      <c r="F3864" s="105" t="s">
        <v>88</v>
      </c>
      <c r="G3864" s="781">
        <v>275540.17344405199</v>
      </c>
      <c r="H3864" s="781">
        <v>14142.513910289899</v>
      </c>
      <c r="I3864" s="781">
        <v>2627.99623156094</v>
      </c>
      <c r="J3864" s="781">
        <v>0</v>
      </c>
      <c r="K3864" s="781">
        <v>292310.68358590303</v>
      </c>
      <c r="L3864" s="105" t="s">
        <v>88</v>
      </c>
      <c r="M3864" s="25"/>
      <c r="N3864" s="26"/>
      <c r="O3864" s="2"/>
      <c r="P3864" s="27"/>
      <c r="Q3864" s="26"/>
      <c r="R3864" s="28"/>
    </row>
    <row r="3865" spans="1:18" ht="30" customHeight="1" x14ac:dyDescent="0.45">
      <c r="A3865" s="105" t="s">
        <v>2080</v>
      </c>
      <c r="B3865" s="224" t="s">
        <v>2081</v>
      </c>
      <c r="C3865" s="179"/>
      <c r="D3865" s="179"/>
      <c r="E3865" s="780">
        <v>6</v>
      </c>
      <c r="F3865" s="105" t="s">
        <v>88</v>
      </c>
      <c r="G3865" s="781">
        <v>8856.6484321302505</v>
      </c>
      <c r="H3865" s="781">
        <v>4122.4859340161702</v>
      </c>
      <c r="I3865" s="781">
        <v>478.14455138114499</v>
      </c>
      <c r="J3865" s="781">
        <v>0</v>
      </c>
      <c r="K3865" s="781">
        <v>13457.278917527599</v>
      </c>
      <c r="L3865" s="105" t="s">
        <v>88</v>
      </c>
      <c r="M3865" s="25"/>
      <c r="N3865" s="26"/>
      <c r="O3865" s="2"/>
      <c r="P3865" s="27"/>
      <c r="Q3865" s="26"/>
      <c r="R3865" s="28"/>
    </row>
    <row r="3866" spans="1:18" ht="30" customHeight="1" x14ac:dyDescent="0.45">
      <c r="A3866" s="105" t="s">
        <v>2082</v>
      </c>
      <c r="B3866" s="224" t="s">
        <v>2083</v>
      </c>
      <c r="C3866" s="179"/>
      <c r="D3866" s="179"/>
      <c r="E3866" s="780">
        <v>12</v>
      </c>
      <c r="F3866" s="105" t="s">
        <v>88</v>
      </c>
      <c r="G3866" s="781">
        <v>6750.7342493792803</v>
      </c>
      <c r="H3866" s="781">
        <v>4945.8884425078904</v>
      </c>
      <c r="I3866" s="781">
        <v>0</v>
      </c>
      <c r="J3866" s="781">
        <v>0</v>
      </c>
      <c r="K3866" s="781">
        <v>11696.6226918872</v>
      </c>
      <c r="L3866" s="105" t="s">
        <v>88</v>
      </c>
      <c r="M3866" s="25"/>
      <c r="N3866" s="26"/>
      <c r="O3866" s="2"/>
      <c r="P3866" s="27"/>
      <c r="Q3866" s="26"/>
      <c r="R3866" s="28"/>
    </row>
    <row r="3867" spans="1:18" ht="30" customHeight="1" x14ac:dyDescent="0.45">
      <c r="A3867" s="105" t="s">
        <v>2084</v>
      </c>
      <c r="B3867" s="224" t="s">
        <v>2085</v>
      </c>
      <c r="C3867" s="179"/>
      <c r="D3867" s="179"/>
      <c r="E3867" s="780">
        <v>1500</v>
      </c>
      <c r="F3867" s="105" t="s">
        <v>113</v>
      </c>
      <c r="G3867" s="781">
        <v>5879.8304868864698</v>
      </c>
      <c r="H3867" s="781">
        <v>2637.95590183688</v>
      </c>
      <c r="I3867" s="781">
        <v>0</v>
      </c>
      <c r="J3867" s="781">
        <v>0</v>
      </c>
      <c r="K3867" s="781">
        <v>8517.7863887233507</v>
      </c>
      <c r="L3867" s="105" t="s">
        <v>113</v>
      </c>
      <c r="M3867" s="25"/>
      <c r="N3867" s="26"/>
      <c r="O3867" s="2"/>
      <c r="P3867" s="27"/>
      <c r="Q3867" s="26"/>
      <c r="R3867" s="28"/>
    </row>
    <row r="3868" spans="1:18" ht="30" customHeight="1" x14ac:dyDescent="0.45">
      <c r="A3868" s="1104" t="s">
        <v>2086</v>
      </c>
      <c r="B3868" s="1105"/>
      <c r="C3868" s="1105"/>
      <c r="D3868" s="1106"/>
      <c r="E3868" s="58"/>
      <c r="F3868" s="58"/>
      <c r="G3868" s="782"/>
      <c r="H3868" s="782"/>
      <c r="I3868" s="782"/>
      <c r="J3868" s="442">
        <f>SUM(J3851:J3867)</f>
        <v>7320.9164919632503</v>
      </c>
      <c r="K3868" s="334">
        <f>SUM(K3851:K3867)</f>
        <v>1034438.3402199533</v>
      </c>
      <c r="L3868" s="105" t="s">
        <v>119</v>
      </c>
      <c r="M3868" s="25"/>
      <c r="N3868" s="26"/>
      <c r="O3868" s="2"/>
      <c r="P3868" s="27"/>
      <c r="Q3868" s="26"/>
      <c r="R3868" s="28"/>
    </row>
    <row r="3869" spans="1:18" ht="30" customHeight="1" x14ac:dyDescent="0.45">
      <c r="A3869" s="1166"/>
      <c r="B3869" s="1167"/>
      <c r="C3869" s="1167"/>
      <c r="D3869" s="1168"/>
      <c r="E3869" s="58"/>
      <c r="F3869" s="58"/>
      <c r="G3869" s="782"/>
      <c r="H3869" s="782"/>
      <c r="I3869" s="782"/>
      <c r="J3869" s="783" t="s">
        <v>39</v>
      </c>
      <c r="K3869" s="334">
        <f>+K3868/H3849</f>
        <v>174.15771918085437</v>
      </c>
      <c r="L3869" s="47" t="s">
        <v>2050</v>
      </c>
      <c r="M3869" s="25"/>
      <c r="N3869" s="26"/>
      <c r="O3869" s="2"/>
      <c r="P3869" s="27"/>
      <c r="Q3869" s="26"/>
      <c r="R3869" s="28"/>
    </row>
    <row r="3870" spans="1:18" ht="30" customHeight="1" x14ac:dyDescent="0.45">
      <c r="A3870" s="1166"/>
      <c r="B3870" s="1167"/>
      <c r="C3870" s="1167"/>
      <c r="D3870" s="1168"/>
      <c r="E3870" s="58"/>
      <c r="F3870" s="58"/>
      <c r="G3870" s="58"/>
      <c r="H3870" s="58"/>
      <c r="I3870" s="58"/>
      <c r="J3870" s="183"/>
      <c r="K3870" s="784"/>
      <c r="L3870" s="85"/>
      <c r="M3870" s="25"/>
      <c r="N3870" s="26"/>
      <c r="O3870" s="2"/>
      <c r="P3870" s="27"/>
      <c r="Q3870" s="26"/>
      <c r="R3870" s="28"/>
    </row>
    <row r="3871" spans="1:18" ht="30" customHeight="1" thickBot="1" x14ac:dyDescent="0.5">
      <c r="A3871" s="1166"/>
      <c r="B3871" s="1167"/>
      <c r="C3871" s="1167"/>
      <c r="D3871" s="1168"/>
      <c r="E3871" s="58" t="s">
        <v>2087</v>
      </c>
      <c r="F3871" s="58"/>
      <c r="G3871" s="58"/>
      <c r="H3871" s="58"/>
      <c r="I3871" s="58"/>
      <c r="J3871" s="58"/>
      <c r="K3871" s="58"/>
      <c r="L3871" s="58"/>
      <c r="M3871" s="25"/>
      <c r="N3871" s="26"/>
      <c r="O3871" s="2"/>
      <c r="P3871" s="27"/>
      <c r="Q3871" s="26"/>
      <c r="R3871" s="28"/>
    </row>
    <row r="3872" spans="1:18" ht="30" customHeight="1" thickBot="1" x14ac:dyDescent="0.5">
      <c r="A3872" s="999"/>
      <c r="B3872" s="1000"/>
      <c r="C3872" s="1000"/>
      <c r="D3872" s="1000"/>
      <c r="E3872" s="1000"/>
      <c r="F3872" s="1000"/>
      <c r="G3872" s="1000"/>
      <c r="H3872" s="1000"/>
      <c r="I3872" s="1000"/>
      <c r="J3872" s="1000"/>
      <c r="K3872" s="1000"/>
      <c r="L3872" s="1001"/>
      <c r="M3872" s="25"/>
      <c r="N3872" s="26"/>
      <c r="O3872" s="2"/>
      <c r="P3872" s="27"/>
      <c r="Q3872" s="26"/>
      <c r="R3872" s="28"/>
    </row>
    <row r="3873" spans="1:18" ht="30" customHeight="1" x14ac:dyDescent="0.45">
      <c r="A3873" s="9" t="s">
        <v>4</v>
      </c>
      <c r="B3873" s="10">
        <v>8132</v>
      </c>
      <c r="C3873" s="983" t="s">
        <v>2088</v>
      </c>
      <c r="D3873" s="984"/>
      <c r="E3873" s="13" t="s">
        <v>7</v>
      </c>
      <c r="F3873" s="14" t="s">
        <v>2050</v>
      </c>
      <c r="G3873" s="11" t="s">
        <v>6</v>
      </c>
      <c r="H3873" s="184">
        <v>30428.920274361699</v>
      </c>
      <c r="I3873" s="13" t="s">
        <v>9</v>
      </c>
      <c r="J3873" s="985" t="s">
        <v>10</v>
      </c>
      <c r="K3873" s="985"/>
      <c r="L3873" s="986"/>
      <c r="M3873" s="25"/>
      <c r="N3873" s="26"/>
      <c r="O3873" s="2"/>
      <c r="P3873" s="27"/>
      <c r="Q3873" s="26"/>
      <c r="R3873" s="28"/>
    </row>
    <row r="3874" spans="1:18" ht="30" customHeight="1" x14ac:dyDescent="0.45">
      <c r="A3874" s="19" t="s">
        <v>11</v>
      </c>
      <c r="B3874" s="1005" t="s">
        <v>12</v>
      </c>
      <c r="C3874" s="1005"/>
      <c r="D3874" s="1005"/>
      <c r="E3874" s="20" t="s">
        <v>2020</v>
      </c>
      <c r="F3874" s="19" t="s">
        <v>267</v>
      </c>
      <c r="G3874" s="1114" t="s">
        <v>15</v>
      </c>
      <c r="H3874" s="1115"/>
      <c r="I3874" s="1068" t="s">
        <v>490</v>
      </c>
      <c r="J3874" s="1069"/>
      <c r="K3874" s="23" t="s">
        <v>17</v>
      </c>
      <c r="L3874" s="24"/>
      <c r="M3874" s="25"/>
      <c r="N3874" s="26"/>
      <c r="O3874" s="2"/>
      <c r="P3874" s="27"/>
      <c r="Q3874" s="26"/>
      <c r="R3874" s="28"/>
    </row>
    <row r="3875" spans="1:18" ht="30" customHeight="1" x14ac:dyDescent="0.45">
      <c r="A3875" s="47">
        <v>81320</v>
      </c>
      <c r="B3875" s="1018" t="s">
        <v>2089</v>
      </c>
      <c r="C3875" s="1019"/>
      <c r="D3875" s="1020"/>
      <c r="E3875" s="762">
        <v>63297.53</v>
      </c>
      <c r="F3875" s="773">
        <v>300</v>
      </c>
      <c r="G3875" s="424">
        <v>300</v>
      </c>
      <c r="H3875" s="223" t="s">
        <v>2090</v>
      </c>
      <c r="I3875" s="1090">
        <f>+'[1]2023 MILCON Inflation Table'!F22</f>
        <v>0.93771935922451721</v>
      </c>
      <c r="J3875" s="1091"/>
      <c r="K3875" s="335">
        <f>+E3875/G3875*I3875</f>
        <v>197.85106424031551</v>
      </c>
      <c r="L3875" s="47" t="s">
        <v>2050</v>
      </c>
      <c r="M3875" s="25"/>
      <c r="N3875" s="26"/>
      <c r="O3875" s="2"/>
      <c r="P3875" s="27"/>
      <c r="Q3875" s="26"/>
      <c r="R3875" s="28"/>
    </row>
    <row r="3876" spans="1:18" ht="30" customHeight="1" thickBot="1" x14ac:dyDescent="0.5">
      <c r="A3876" s="785"/>
      <c r="B3876" s="186"/>
      <c r="C3876" s="186"/>
      <c r="D3876" s="786"/>
      <c r="E3876" s="58"/>
      <c r="F3876" s="58"/>
      <c r="G3876" s="782"/>
      <c r="H3876" s="782"/>
      <c r="I3876" s="782"/>
      <c r="J3876" s="783" t="s">
        <v>39</v>
      </c>
      <c r="K3876" s="334">
        <f>+K3875</f>
        <v>197.85106424031551</v>
      </c>
      <c r="L3876" s="47" t="s">
        <v>2050</v>
      </c>
      <c r="M3876" s="25"/>
      <c r="N3876" s="26"/>
      <c r="O3876" s="2"/>
      <c r="P3876" s="27"/>
      <c r="Q3876" s="26"/>
      <c r="R3876" s="28"/>
    </row>
    <row r="3877" spans="1:18" ht="30" customHeight="1" thickBot="1" x14ac:dyDescent="0.5">
      <c r="A3877" s="999"/>
      <c r="B3877" s="1000"/>
      <c r="C3877" s="1000"/>
      <c r="D3877" s="1000"/>
      <c r="E3877" s="1000"/>
      <c r="F3877" s="1000"/>
      <c r="G3877" s="1000"/>
      <c r="H3877" s="1000"/>
      <c r="I3877" s="1000"/>
      <c r="J3877" s="1000"/>
      <c r="K3877" s="1000"/>
      <c r="L3877" s="1001"/>
      <c r="M3877" s="25"/>
      <c r="N3877" s="26"/>
      <c r="O3877" s="2"/>
      <c r="P3877" s="27"/>
      <c r="Q3877" s="26"/>
      <c r="R3877" s="28"/>
    </row>
    <row r="3878" spans="1:18" ht="30" customHeight="1" x14ac:dyDescent="0.45">
      <c r="A3878" s="9" t="s">
        <v>4</v>
      </c>
      <c r="B3878" s="10">
        <v>8133</v>
      </c>
      <c r="C3878" s="1138" t="s">
        <v>2091</v>
      </c>
      <c r="D3878" s="1139"/>
      <c r="E3878" s="13" t="s">
        <v>7</v>
      </c>
      <c r="F3878" s="14" t="s">
        <v>2050</v>
      </c>
      <c r="G3878" s="11" t="s">
        <v>6</v>
      </c>
      <c r="H3878" s="184">
        <v>1407.67896546932</v>
      </c>
      <c r="I3878" s="13" t="s">
        <v>9</v>
      </c>
      <c r="J3878" s="985" t="s">
        <v>10</v>
      </c>
      <c r="K3878" s="985"/>
      <c r="L3878" s="986"/>
      <c r="M3878" s="25"/>
      <c r="N3878" s="26"/>
      <c r="O3878" s="2"/>
      <c r="P3878" s="27"/>
      <c r="Q3878" s="26"/>
      <c r="R3878" s="28"/>
    </row>
    <row r="3879" spans="1:18" ht="30" customHeight="1" x14ac:dyDescent="0.45">
      <c r="A3879" s="19" t="s">
        <v>11</v>
      </c>
      <c r="B3879" s="1005" t="s">
        <v>12</v>
      </c>
      <c r="C3879" s="1005"/>
      <c r="D3879" s="1005"/>
      <c r="E3879" s="20" t="s">
        <v>1986</v>
      </c>
      <c r="F3879" s="19" t="s">
        <v>267</v>
      </c>
      <c r="G3879" s="1114" t="s">
        <v>15</v>
      </c>
      <c r="H3879" s="1115"/>
      <c r="I3879" s="1068" t="s">
        <v>16</v>
      </c>
      <c r="J3879" s="1069"/>
      <c r="K3879" s="23" t="s">
        <v>17</v>
      </c>
      <c r="L3879" s="24"/>
      <c r="M3879" s="25"/>
      <c r="N3879" s="26"/>
      <c r="O3879" s="2"/>
      <c r="P3879" s="27"/>
      <c r="Q3879" s="26"/>
      <c r="R3879" s="28"/>
    </row>
    <row r="3880" spans="1:18" ht="30" customHeight="1" x14ac:dyDescent="0.45">
      <c r="A3880" s="47">
        <v>81360</v>
      </c>
      <c r="B3880" s="1018" t="s">
        <v>2092</v>
      </c>
      <c r="C3880" s="1019"/>
      <c r="D3880" s="1020"/>
      <c r="E3880" s="762">
        <v>67243.48</v>
      </c>
      <c r="F3880" s="394">
        <v>500</v>
      </c>
      <c r="G3880" s="222">
        <v>500</v>
      </c>
      <c r="H3880" s="223" t="s">
        <v>2093</v>
      </c>
      <c r="I3880" s="1090">
        <f>+'[1]2023 MILCON Inflation Table'!F22</f>
        <v>0.93771935922451721</v>
      </c>
      <c r="J3880" s="1091"/>
      <c r="K3880" s="762">
        <f>+E3880/G3880*I3880</f>
        <v>126.11102595525325</v>
      </c>
      <c r="L3880" s="47" t="s">
        <v>2050</v>
      </c>
      <c r="M3880" s="25"/>
      <c r="N3880" s="26"/>
      <c r="O3880" s="2"/>
      <c r="P3880" s="27"/>
      <c r="Q3880" s="26"/>
      <c r="R3880" s="28"/>
    </row>
    <row r="3881" spans="1:18" ht="30" customHeight="1" x14ac:dyDescent="0.45">
      <c r="A3881" s="47">
        <v>81360</v>
      </c>
      <c r="B3881" s="1018" t="s">
        <v>2094</v>
      </c>
      <c r="C3881" s="1019"/>
      <c r="D3881" s="1020"/>
      <c r="E3881" s="762">
        <v>151023.93</v>
      </c>
      <c r="F3881" s="394">
        <v>1000</v>
      </c>
      <c r="G3881" s="222">
        <v>1000</v>
      </c>
      <c r="H3881" s="223" t="s">
        <v>2093</v>
      </c>
      <c r="I3881" s="1090">
        <f>+I3880</f>
        <v>0.93771935922451721</v>
      </c>
      <c r="J3881" s="1091"/>
      <c r="K3881" s="762">
        <f>+E3881/G3881*I3881</f>
        <v>141.61806286716836</v>
      </c>
      <c r="L3881" s="47" t="s">
        <v>2050</v>
      </c>
      <c r="M3881" s="25"/>
      <c r="N3881" s="26"/>
      <c r="O3881" s="2"/>
      <c r="P3881" s="27"/>
      <c r="Q3881" s="26"/>
      <c r="R3881" s="28"/>
    </row>
    <row r="3882" spans="1:18" ht="30" customHeight="1" x14ac:dyDescent="0.45">
      <c r="A3882" s="47">
        <v>81360</v>
      </c>
      <c r="B3882" s="1018" t="s">
        <v>2095</v>
      </c>
      <c r="C3882" s="1019"/>
      <c r="D3882" s="1020"/>
      <c r="E3882" s="762">
        <v>216481.72</v>
      </c>
      <c r="F3882" s="787">
        <v>2000</v>
      </c>
      <c r="G3882" s="222">
        <v>2000</v>
      </c>
      <c r="H3882" s="223" t="s">
        <v>2093</v>
      </c>
      <c r="I3882" s="1090">
        <f>+I3880</f>
        <v>0.93771935922451721</v>
      </c>
      <c r="J3882" s="1091"/>
      <c r="K3882" s="762">
        <f>+E3882/G3882*I3882</f>
        <v>101.49954988111067</v>
      </c>
      <c r="L3882" s="47" t="s">
        <v>2050</v>
      </c>
      <c r="M3882" s="25"/>
      <c r="N3882" s="26"/>
      <c r="O3882" s="2"/>
      <c r="P3882" s="27"/>
      <c r="Q3882" s="26"/>
      <c r="R3882" s="28"/>
    </row>
    <row r="3883" spans="1:18" ht="30" customHeight="1" x14ac:dyDescent="0.45">
      <c r="A3883" s="47"/>
      <c r="B3883" s="1008"/>
      <c r="C3883" s="1009"/>
      <c r="D3883" s="1010"/>
      <c r="E3883" s="221"/>
      <c r="F3883" s="415">
        <f>AVERAGE(F3880:F3882)</f>
        <v>1166.6666666666667</v>
      </c>
      <c r="G3883" s="222"/>
      <c r="H3883" s="223"/>
      <c r="I3883" s="47"/>
      <c r="J3883" s="47" t="s">
        <v>56</v>
      </c>
      <c r="K3883" s="762">
        <f>AVERAGE(K3880:K3882)</f>
        <v>123.07621290117743</v>
      </c>
      <c r="L3883" s="47" t="s">
        <v>2050</v>
      </c>
      <c r="M3883" s="25"/>
      <c r="N3883" s="26"/>
      <c r="O3883" s="2"/>
      <c r="P3883" s="27"/>
      <c r="Q3883" s="26"/>
      <c r="R3883" s="28"/>
    </row>
    <row r="3884" spans="1:18" ht="30" customHeight="1" thickBot="1" x14ac:dyDescent="0.5">
      <c r="A3884" s="47"/>
      <c r="B3884" s="1008"/>
      <c r="C3884" s="1009"/>
      <c r="D3884" s="1010"/>
      <c r="E3884" s="221"/>
      <c r="F3884" s="415"/>
      <c r="G3884" s="222"/>
      <c r="H3884" s="223"/>
      <c r="I3884" s="47"/>
      <c r="J3884" s="85" t="s">
        <v>39</v>
      </c>
      <c r="K3884" s="762">
        <f>+K3883</f>
        <v>123.07621290117743</v>
      </c>
      <c r="L3884" s="47" t="s">
        <v>2050</v>
      </c>
      <c r="N3884" s="26"/>
      <c r="O3884" s="2"/>
      <c r="P3884" s="27"/>
      <c r="Q3884" s="26"/>
      <c r="R3884" s="28"/>
    </row>
    <row r="3885" spans="1:18" ht="30" customHeight="1" thickBot="1" x14ac:dyDescent="0.5">
      <c r="A3885" s="999"/>
      <c r="B3885" s="1000"/>
      <c r="C3885" s="1000"/>
      <c r="D3885" s="1000"/>
      <c r="E3885" s="1000"/>
      <c r="F3885" s="1000"/>
      <c r="G3885" s="1000"/>
      <c r="H3885" s="1000"/>
      <c r="I3885" s="1000"/>
      <c r="J3885" s="1000"/>
      <c r="K3885" s="1000"/>
      <c r="L3885" s="1001"/>
      <c r="M3885" s="25"/>
      <c r="N3885" s="26"/>
      <c r="O3885" s="2"/>
      <c r="P3885" s="27"/>
      <c r="Q3885" s="26"/>
      <c r="R3885" s="28"/>
    </row>
    <row r="3886" spans="1:18" ht="30" customHeight="1" x14ac:dyDescent="0.45">
      <c r="A3886" s="9" t="s">
        <v>4</v>
      </c>
      <c r="B3886" s="10">
        <v>8134</v>
      </c>
      <c r="C3886" s="983" t="s">
        <v>2096</v>
      </c>
      <c r="D3886" s="984"/>
      <c r="E3886" s="13" t="s">
        <v>7</v>
      </c>
      <c r="F3886" s="14" t="s">
        <v>88</v>
      </c>
      <c r="G3886" s="11" t="s">
        <v>6</v>
      </c>
      <c r="H3886" s="788">
        <v>8</v>
      </c>
      <c r="I3886" s="13" t="s">
        <v>9</v>
      </c>
      <c r="J3886" s="985" t="s">
        <v>575</v>
      </c>
      <c r="K3886" s="985"/>
      <c r="L3886" s="986"/>
      <c r="M3886" s="25"/>
      <c r="N3886" s="26"/>
      <c r="O3886" s="2"/>
      <c r="P3886" s="27"/>
      <c r="Q3886" s="26"/>
      <c r="R3886" s="28"/>
    </row>
    <row r="3887" spans="1:18" ht="30" customHeight="1" x14ac:dyDescent="0.45">
      <c r="A3887" s="85" t="s">
        <v>277</v>
      </c>
      <c r="B3887" s="987" t="s">
        <v>293</v>
      </c>
      <c r="C3887" s="988"/>
      <c r="D3887" s="989"/>
      <c r="E3887" s="220" t="s">
        <v>13</v>
      </c>
      <c r="F3887" s="220" t="s">
        <v>14</v>
      </c>
      <c r="G3887" s="990" t="s">
        <v>15</v>
      </c>
      <c r="H3887" s="991"/>
      <c r="I3887" s="19" t="s">
        <v>278</v>
      </c>
      <c r="J3887" s="19"/>
      <c r="K3887" s="23" t="s">
        <v>17</v>
      </c>
      <c r="L3887" s="24"/>
      <c r="M3887" s="25"/>
      <c r="N3887" s="26"/>
      <c r="O3887" s="2"/>
      <c r="P3887" s="27"/>
      <c r="Q3887" s="26"/>
      <c r="R3887" s="28"/>
    </row>
    <row r="3888" spans="1:18" ht="30" customHeight="1" x14ac:dyDescent="0.45">
      <c r="A3888" s="642" t="s">
        <v>665</v>
      </c>
      <c r="B3888" s="1018" t="s">
        <v>2097</v>
      </c>
      <c r="C3888" s="1019"/>
      <c r="D3888" s="1020"/>
      <c r="E3888" s="378">
        <v>1320</v>
      </c>
      <c r="F3888" s="56" t="s">
        <v>88</v>
      </c>
      <c r="G3888" s="222"/>
      <c r="H3888" s="223"/>
      <c r="I3888" s="365">
        <v>1</v>
      </c>
      <c r="J3888" s="47"/>
      <c r="K3888" s="375">
        <f>+E3888*I3888</f>
        <v>1320</v>
      </c>
      <c r="L3888" s="56" t="s">
        <v>88</v>
      </c>
      <c r="M3888" s="25"/>
      <c r="N3888" s="26"/>
      <c r="O3888" s="2"/>
      <c r="P3888" s="27"/>
      <c r="Q3888" s="26"/>
      <c r="R3888" s="28"/>
    </row>
    <row r="3889" spans="1:25" ht="30" customHeight="1" x14ac:dyDescent="0.45">
      <c r="A3889" s="642" t="s">
        <v>282</v>
      </c>
      <c r="B3889" s="1008" t="s">
        <v>2098</v>
      </c>
      <c r="C3889" s="1009"/>
      <c r="D3889" s="1010"/>
      <c r="E3889" s="221">
        <v>322</v>
      </c>
      <c r="F3889" s="56" t="s">
        <v>88</v>
      </c>
      <c r="G3889" s="222"/>
      <c r="H3889" s="223"/>
      <c r="I3889" s="365">
        <v>1</v>
      </c>
      <c r="J3889" s="47"/>
      <c r="K3889" s="375">
        <f>+E3889*I3889</f>
        <v>322</v>
      </c>
      <c r="L3889" s="47" t="s">
        <v>88</v>
      </c>
      <c r="M3889" s="25"/>
      <c r="N3889" s="26"/>
      <c r="O3889" s="2"/>
      <c r="P3889" s="27"/>
      <c r="Q3889" s="26"/>
      <c r="R3889" s="28"/>
      <c r="T3889" s="18"/>
      <c r="U3889" s="18"/>
      <c r="V3889" s="18"/>
      <c r="W3889" s="18"/>
      <c r="X3889" s="18"/>
      <c r="Y3889" s="18"/>
    </row>
    <row r="3890" spans="1:25" ht="30" customHeight="1" x14ac:dyDescent="0.45">
      <c r="A3890" s="642" t="s">
        <v>282</v>
      </c>
      <c r="B3890" s="1008" t="s">
        <v>2099</v>
      </c>
      <c r="C3890" s="1009"/>
      <c r="D3890" s="1010"/>
      <c r="E3890" s="221">
        <v>159</v>
      </c>
      <c r="F3890" s="56" t="s">
        <v>88</v>
      </c>
      <c r="G3890" s="222"/>
      <c r="H3890" s="223"/>
      <c r="I3890" s="365">
        <v>1</v>
      </c>
      <c r="J3890" s="47"/>
      <c r="K3890" s="375">
        <f>+E3890*I3890</f>
        <v>159</v>
      </c>
      <c r="L3890" s="47" t="s">
        <v>88</v>
      </c>
      <c r="M3890" s="25"/>
      <c r="N3890" s="26"/>
      <c r="O3890" s="2"/>
      <c r="P3890" s="27"/>
      <c r="Q3890" s="26"/>
      <c r="R3890" s="28"/>
    </row>
    <row r="3891" spans="1:25" ht="30" customHeight="1" x14ac:dyDescent="0.45">
      <c r="A3891" s="642" t="s">
        <v>282</v>
      </c>
      <c r="B3891" s="1008" t="s">
        <v>2100</v>
      </c>
      <c r="C3891" s="1009"/>
      <c r="D3891" s="1010"/>
      <c r="E3891" s="221">
        <v>6.52</v>
      </c>
      <c r="F3891" s="56" t="s">
        <v>1184</v>
      </c>
      <c r="G3891" s="222">
        <v>80</v>
      </c>
      <c r="H3891" s="223" t="s">
        <v>2101</v>
      </c>
      <c r="I3891" s="365">
        <v>1</v>
      </c>
      <c r="J3891" s="47"/>
      <c r="K3891" s="375">
        <f>+E3891*G3891*I3891</f>
        <v>521.59999999999991</v>
      </c>
      <c r="L3891" s="47" t="s">
        <v>88</v>
      </c>
      <c r="M3891" s="25"/>
      <c r="N3891" s="26"/>
      <c r="O3891" s="2"/>
      <c r="P3891" s="27"/>
      <c r="Q3891" s="26"/>
      <c r="R3891" s="28"/>
    </row>
    <row r="3892" spans="1:25" s="18" customFormat="1" ht="30" customHeight="1" x14ac:dyDescent="0.45">
      <c r="A3892" s="642" t="s">
        <v>2102</v>
      </c>
      <c r="B3892" s="1008" t="s">
        <v>2103</v>
      </c>
      <c r="C3892" s="1009"/>
      <c r="D3892" s="1010"/>
      <c r="E3892" s="221">
        <v>350</v>
      </c>
      <c r="F3892" s="56" t="s">
        <v>88</v>
      </c>
      <c r="G3892" s="222"/>
      <c r="H3892" s="223"/>
      <c r="I3892" s="365">
        <v>1</v>
      </c>
      <c r="J3892" s="47"/>
      <c r="K3892" s="375">
        <f>+E3892*I3892</f>
        <v>350</v>
      </c>
      <c r="L3892" s="47" t="s">
        <v>88</v>
      </c>
      <c r="M3892" s="17"/>
      <c r="N3892" s="26"/>
      <c r="O3892" s="2"/>
      <c r="P3892" s="27"/>
      <c r="Q3892" s="26"/>
      <c r="R3892" s="28"/>
      <c r="S3892" s="2"/>
      <c r="T3892" s="2"/>
      <c r="U3892" s="2"/>
      <c r="V3892" s="2"/>
      <c r="W3892" s="2"/>
      <c r="X3892" s="2"/>
      <c r="Y3892" s="2"/>
    </row>
    <row r="3893" spans="1:25" ht="30" customHeight="1" x14ac:dyDescent="0.45">
      <c r="A3893" s="767"/>
      <c r="B3893" s="644"/>
      <c r="C3893" s="644"/>
      <c r="D3893" s="645"/>
      <c r="E3893" s="537"/>
      <c r="F3893" s="722"/>
      <c r="G3893" s="211"/>
      <c r="H3893" s="215"/>
      <c r="I3893" s="789"/>
      <c r="J3893" s="225" t="s">
        <v>38</v>
      </c>
      <c r="K3893" s="743">
        <f>SUM(K3888:K3892)</f>
        <v>2672.6</v>
      </c>
      <c r="L3893" s="225" t="s">
        <v>88</v>
      </c>
      <c r="M3893" s="25"/>
      <c r="N3893" s="101"/>
      <c r="O3893" s="18"/>
      <c r="P3893" s="790"/>
      <c r="Q3893" s="101"/>
      <c r="R3893" s="791"/>
      <c r="S3893" s="18"/>
    </row>
    <row r="3894" spans="1:25" ht="30" customHeight="1" x14ac:dyDescent="0.45">
      <c r="A3894" s="531"/>
      <c r="B3894" s="547"/>
      <c r="C3894" s="547"/>
      <c r="D3894" s="547"/>
      <c r="E3894" s="753"/>
      <c r="F3894" s="1147" t="s">
        <v>285</v>
      </c>
      <c r="G3894" s="1148" t="s">
        <v>286</v>
      </c>
      <c r="H3894" s="1148"/>
      <c r="I3894" s="1148"/>
      <c r="J3894" s="1148"/>
      <c r="K3894" s="792">
        <v>1.07</v>
      </c>
      <c r="L3894" s="531"/>
      <c r="M3894" s="25"/>
      <c r="N3894" s="26"/>
      <c r="O3894" s="2"/>
      <c r="P3894" s="27"/>
      <c r="Q3894" s="26"/>
      <c r="R3894" s="28"/>
    </row>
    <row r="3895" spans="1:25" ht="30" customHeight="1" x14ac:dyDescent="0.45">
      <c r="A3895" s="531"/>
      <c r="B3895" s="547"/>
      <c r="C3895" s="547"/>
      <c r="D3895" s="547"/>
      <c r="E3895" s="753"/>
      <c r="F3895" s="1147"/>
      <c r="G3895" s="1014" t="s">
        <v>580</v>
      </c>
      <c r="H3895" s="1014"/>
      <c r="I3895" s="1014"/>
      <c r="J3895" s="1014"/>
      <c r="K3895" s="792">
        <v>1.08</v>
      </c>
      <c r="L3895" s="531"/>
      <c r="M3895" s="25"/>
      <c r="N3895" s="26"/>
      <c r="O3895" s="2"/>
      <c r="P3895" s="27"/>
      <c r="Q3895" s="26"/>
      <c r="R3895" s="28"/>
    </row>
    <row r="3896" spans="1:25" ht="30" customHeight="1" x14ac:dyDescent="0.45">
      <c r="A3896" s="793"/>
      <c r="B3896" s="547"/>
      <c r="C3896" s="547"/>
      <c r="D3896" s="547"/>
      <c r="E3896" s="753"/>
      <c r="F3896" s="531"/>
      <c r="G3896" s="531"/>
      <c r="H3896" s="531"/>
      <c r="I3896" s="769"/>
      <c r="J3896" s="531" t="s">
        <v>39</v>
      </c>
      <c r="K3896" s="770">
        <f>+K3893*K3894/K3895</f>
        <v>2647.8537037037036</v>
      </c>
      <c r="L3896" s="531" t="s">
        <v>88</v>
      </c>
      <c r="M3896" s="25"/>
      <c r="N3896" s="26"/>
      <c r="O3896" s="2"/>
      <c r="P3896" s="27"/>
      <c r="Q3896" s="26"/>
      <c r="R3896" s="28"/>
    </row>
    <row r="3897" spans="1:25" ht="30" customHeight="1" x14ac:dyDescent="0.45">
      <c r="A3897" s="1052" t="s">
        <v>2104</v>
      </c>
      <c r="B3897" s="1052"/>
      <c r="C3897" s="1052"/>
      <c r="D3897" s="1052"/>
      <c r="E3897" s="538"/>
      <c r="F3897" s="538"/>
      <c r="G3897" s="1192" t="s">
        <v>288</v>
      </c>
      <c r="H3897" s="1193"/>
      <c r="I3897" s="1194"/>
      <c r="J3897" s="755">
        <f>VLOOKUP(B3886,'[1]Mil Cost Premiums for PUCs'!$A$4:$R$278,18,FALSE)</f>
        <v>1.0905505199999999</v>
      </c>
      <c r="K3897" s="754">
        <f>+K3896*J3897</f>
        <v>2887.6182334579994</v>
      </c>
      <c r="L3897" s="531" t="s">
        <v>88</v>
      </c>
      <c r="M3897" s="25"/>
      <c r="N3897" s="26"/>
      <c r="O3897" s="2"/>
      <c r="P3897" s="27"/>
      <c r="Q3897" s="26"/>
      <c r="R3897" s="28"/>
    </row>
    <row r="3898" spans="1:25" ht="30" customHeight="1" x14ac:dyDescent="0.45">
      <c r="A3898" s="541"/>
      <c r="B3898" s="541"/>
      <c r="C3898" s="542"/>
      <c r="D3898" s="542"/>
      <c r="E3898" s="542"/>
      <c r="F3898" s="1024" t="s">
        <v>581</v>
      </c>
      <c r="G3898" s="1024"/>
      <c r="H3898" s="1024"/>
      <c r="I3898" s="1024"/>
      <c r="J3898" s="756">
        <v>1.0833999999999999</v>
      </c>
      <c r="K3898" s="757">
        <f>K3897*J3898</f>
        <v>3128.4455941283964</v>
      </c>
      <c r="L3898" s="541" t="s">
        <v>88</v>
      </c>
      <c r="M3898" s="25"/>
      <c r="N3898" s="26"/>
      <c r="O3898" s="2"/>
      <c r="P3898" s="27"/>
      <c r="Q3898" s="26"/>
      <c r="R3898" s="28"/>
    </row>
    <row r="3899" spans="1:25" ht="30" customHeight="1" thickBot="1" x14ac:dyDescent="0.5">
      <c r="A3899" s="225"/>
      <c r="B3899" s="225"/>
      <c r="C3899" s="150"/>
      <c r="D3899" s="150"/>
      <c r="E3899" s="150"/>
      <c r="F3899" s="150"/>
      <c r="G3899" s="1025" t="s">
        <v>299</v>
      </c>
      <c r="H3899" s="1026"/>
      <c r="I3899" s="1027"/>
      <c r="J3899" s="226">
        <v>1.1214</v>
      </c>
      <c r="K3899" s="227">
        <f>+K3898*J3899</f>
        <v>3508.2388892555837</v>
      </c>
      <c r="L3899" s="541" t="s">
        <v>88</v>
      </c>
      <c r="M3899" s="25"/>
    </row>
    <row r="3900" spans="1:25" ht="30" customHeight="1" thickBot="1" x14ac:dyDescent="0.5">
      <c r="A3900" s="1077"/>
      <c r="B3900" s="1078"/>
      <c r="C3900" s="1078"/>
      <c r="D3900" s="1078"/>
      <c r="E3900" s="1078"/>
      <c r="F3900" s="1078"/>
      <c r="G3900" s="1078"/>
      <c r="H3900" s="1078"/>
      <c r="I3900" s="1078"/>
      <c r="J3900" s="1078"/>
      <c r="K3900" s="1078"/>
      <c r="L3900" s="1079"/>
      <c r="M3900" s="25"/>
      <c r="N3900" s="26"/>
      <c r="O3900" s="2"/>
      <c r="P3900" s="27"/>
      <c r="Q3900" s="26"/>
      <c r="R3900" s="28"/>
    </row>
    <row r="3901" spans="1:25" ht="30" customHeight="1" x14ac:dyDescent="0.45">
      <c r="A3901" s="93" t="s">
        <v>4</v>
      </c>
      <c r="B3901" s="76">
        <v>8211</v>
      </c>
      <c r="C3901" s="1144" t="s">
        <v>2105</v>
      </c>
      <c r="D3901" s="1145"/>
      <c r="E3901" s="94" t="s">
        <v>7</v>
      </c>
      <c r="F3901" s="95" t="s">
        <v>2106</v>
      </c>
      <c r="G3901" s="102" t="s">
        <v>6</v>
      </c>
      <c r="H3901" s="96">
        <v>19355911</v>
      </c>
      <c r="I3901" s="94" t="s">
        <v>9</v>
      </c>
      <c r="J3901" s="1088" t="s">
        <v>292</v>
      </c>
      <c r="K3901" s="1088"/>
      <c r="L3901" s="1089"/>
      <c r="M3901" s="25"/>
      <c r="N3901" s="26"/>
      <c r="O3901" s="2"/>
      <c r="P3901" s="27"/>
      <c r="Q3901" s="26"/>
      <c r="R3901" s="28"/>
    </row>
    <row r="3902" spans="1:25" ht="30" customHeight="1" x14ac:dyDescent="0.45">
      <c r="A3902" s="85" t="s">
        <v>277</v>
      </c>
      <c r="B3902" s="987" t="s">
        <v>2107</v>
      </c>
      <c r="C3902" s="988"/>
      <c r="D3902" s="989"/>
      <c r="E3902" s="220" t="s">
        <v>13</v>
      </c>
      <c r="F3902" s="220" t="s">
        <v>14</v>
      </c>
      <c r="G3902" s="990" t="s">
        <v>15</v>
      </c>
      <c r="H3902" s="991"/>
      <c r="I3902" s="19" t="s">
        <v>278</v>
      </c>
      <c r="J3902" s="19"/>
      <c r="K3902" s="23" t="s">
        <v>17</v>
      </c>
      <c r="L3902" s="24"/>
      <c r="M3902" s="25"/>
      <c r="N3902" s="26"/>
      <c r="O3902" s="2"/>
      <c r="P3902" s="27"/>
      <c r="Q3902" s="26"/>
      <c r="R3902" s="28"/>
    </row>
    <row r="3903" spans="1:25" ht="30" customHeight="1" x14ac:dyDescent="0.45">
      <c r="A3903" s="47"/>
      <c r="B3903" s="1008" t="s">
        <v>2108</v>
      </c>
      <c r="C3903" s="1009"/>
      <c r="D3903" s="1010"/>
      <c r="E3903" s="794">
        <v>33479</v>
      </c>
      <c r="F3903" s="56" t="s">
        <v>2109</v>
      </c>
      <c r="G3903" s="499">
        <f>+H3901/E3903</f>
        <v>578.15081095612175</v>
      </c>
      <c r="H3903" s="1190" t="s">
        <v>2110</v>
      </c>
      <c r="I3903" s="1191"/>
      <c r="J3903" s="58"/>
      <c r="K3903" s="56"/>
      <c r="L3903" s="56"/>
      <c r="M3903" s="25"/>
      <c r="N3903" s="26"/>
      <c r="O3903" s="2"/>
      <c r="P3903" s="27"/>
      <c r="Q3903" s="26"/>
      <c r="R3903" s="28"/>
    </row>
    <row r="3904" spans="1:25" ht="30" customHeight="1" x14ac:dyDescent="0.45">
      <c r="A3904" s="642" t="s">
        <v>622</v>
      </c>
      <c r="B3904" s="1018" t="s">
        <v>2111</v>
      </c>
      <c r="C3904" s="1019"/>
      <c r="D3904" s="1020"/>
      <c r="E3904" s="378">
        <f>(391+530)/2</f>
        <v>460.5</v>
      </c>
      <c r="F3904" s="56" t="s">
        <v>2112</v>
      </c>
      <c r="G3904" s="499"/>
      <c r="H3904" s="349"/>
      <c r="I3904" s="47"/>
      <c r="J3904" s="47"/>
      <c r="K3904" s="375"/>
      <c r="L3904" s="56"/>
      <c r="M3904" s="25"/>
      <c r="N3904" s="26"/>
      <c r="O3904" s="2"/>
      <c r="P3904" s="27"/>
      <c r="Q3904" s="26"/>
      <c r="R3904" s="28"/>
    </row>
    <row r="3905" spans="1:18" ht="30" customHeight="1" x14ac:dyDescent="0.45">
      <c r="A3905" s="642"/>
      <c r="B3905" s="1018" t="s">
        <v>2113</v>
      </c>
      <c r="C3905" s="1019"/>
      <c r="D3905" s="1020"/>
      <c r="E3905" s="378"/>
      <c r="F3905" s="56" t="s">
        <v>2114</v>
      </c>
      <c r="G3905" s="795">
        <f>+E3904/E3903</f>
        <v>1.3754891125780339E-2</v>
      </c>
      <c r="H3905" s="349" t="s">
        <v>2115</v>
      </c>
      <c r="I3905" s="47">
        <v>1.24</v>
      </c>
      <c r="J3905" s="47"/>
      <c r="K3905" s="796">
        <f>+G3905*I3905</f>
        <v>1.705606499596762E-2</v>
      </c>
      <c r="L3905" s="56" t="s">
        <v>2106</v>
      </c>
      <c r="M3905" s="25"/>
      <c r="N3905" s="26"/>
      <c r="O3905" s="2"/>
      <c r="P3905" s="27"/>
      <c r="Q3905" s="26"/>
      <c r="R3905" s="28"/>
    </row>
    <row r="3906" spans="1:18" ht="30" customHeight="1" x14ac:dyDescent="0.45">
      <c r="A3906" s="642" t="s">
        <v>2116</v>
      </c>
      <c r="B3906" s="1018" t="s">
        <v>2117</v>
      </c>
      <c r="C3906" s="1019"/>
      <c r="D3906" s="1020"/>
      <c r="E3906" s="378">
        <v>745</v>
      </c>
      <c r="F3906" s="56" t="s">
        <v>113</v>
      </c>
      <c r="G3906" s="797">
        <f>30*E3906/H3901</f>
        <v>1.154686028469546E-3</v>
      </c>
      <c r="H3906" s="349" t="s">
        <v>2115</v>
      </c>
      <c r="I3906" s="47">
        <v>1.24</v>
      </c>
      <c r="J3906" s="47"/>
      <c r="K3906" s="796">
        <f>+G3906*I3906</f>
        <v>1.431810675302237E-3</v>
      </c>
      <c r="L3906" s="56" t="s">
        <v>2106</v>
      </c>
      <c r="M3906" s="25"/>
      <c r="N3906" s="26"/>
      <c r="O3906" s="2"/>
      <c r="P3906" s="27"/>
      <c r="Q3906" s="26"/>
      <c r="R3906" s="28"/>
    </row>
    <row r="3907" spans="1:18" ht="30" customHeight="1" x14ac:dyDescent="0.45">
      <c r="A3907" s="47"/>
      <c r="B3907" s="1181"/>
      <c r="C3907" s="1182"/>
      <c r="D3907" s="1183"/>
      <c r="E3907" s="58"/>
      <c r="F3907" s="58"/>
      <c r="G3907" s="58"/>
      <c r="H3907" s="58"/>
      <c r="I3907" s="58"/>
      <c r="J3907" s="47" t="s">
        <v>38</v>
      </c>
      <c r="K3907" s="796">
        <f>SUM(K3905:K3906)</f>
        <v>1.8487875671269857E-2</v>
      </c>
      <c r="L3907" s="56" t="s">
        <v>2106</v>
      </c>
      <c r="M3907" s="25"/>
      <c r="N3907" s="26"/>
      <c r="O3907" s="2"/>
      <c r="P3907" s="27"/>
      <c r="Q3907" s="26"/>
      <c r="R3907" s="28"/>
    </row>
    <row r="3908" spans="1:18" ht="30" customHeight="1" x14ac:dyDescent="0.45">
      <c r="A3908" s="47"/>
      <c r="B3908" s="224"/>
      <c r="C3908" s="224"/>
      <c r="D3908" s="224"/>
      <c r="E3908" s="221"/>
      <c r="F3908" s="1011" t="s">
        <v>285</v>
      </c>
      <c r="G3908" s="1013" t="s">
        <v>286</v>
      </c>
      <c r="H3908" s="1013"/>
      <c r="I3908" s="1013"/>
      <c r="J3908" s="1013"/>
      <c r="K3908" s="202">
        <v>1.06</v>
      </c>
      <c r="L3908" s="47"/>
      <c r="M3908" s="25"/>
      <c r="N3908" s="26"/>
      <c r="O3908" s="2"/>
      <c r="P3908" s="27"/>
      <c r="Q3908" s="26"/>
      <c r="R3908" s="28"/>
    </row>
    <row r="3909" spans="1:18" ht="30" customHeight="1" x14ac:dyDescent="0.45">
      <c r="A3909" s="47"/>
      <c r="B3909" s="224"/>
      <c r="C3909" s="224"/>
      <c r="D3909" s="224"/>
      <c r="E3909" s="221"/>
      <c r="F3909" s="1012"/>
      <c r="G3909" s="1014" t="s">
        <v>298</v>
      </c>
      <c r="H3909" s="1014"/>
      <c r="I3909" s="1014"/>
      <c r="J3909" s="1014"/>
      <c r="K3909" s="202">
        <v>1.06</v>
      </c>
      <c r="L3909" s="47"/>
      <c r="M3909" s="25"/>
      <c r="N3909" s="26"/>
      <c r="O3909" s="2"/>
      <c r="P3909" s="27"/>
      <c r="Q3909" s="26"/>
      <c r="R3909" s="28"/>
    </row>
    <row r="3910" spans="1:18" ht="30" customHeight="1" x14ac:dyDescent="0.45">
      <c r="A3910" s="47"/>
      <c r="B3910" s="1018" t="s">
        <v>2118</v>
      </c>
      <c r="C3910" s="1019"/>
      <c r="D3910" s="1020"/>
      <c r="E3910" s="58"/>
      <c r="F3910" s="58"/>
      <c r="G3910" s="58"/>
      <c r="H3910" s="58"/>
      <c r="I3910" s="58"/>
      <c r="J3910" s="47" t="s">
        <v>39</v>
      </c>
      <c r="K3910" s="798">
        <f>+K3907*K3908/K3909</f>
        <v>1.8487875671269857E-2</v>
      </c>
      <c r="L3910" s="56" t="s">
        <v>2106</v>
      </c>
      <c r="M3910" s="25"/>
      <c r="N3910" s="26"/>
      <c r="O3910" s="2"/>
      <c r="P3910" s="27"/>
      <c r="Q3910" s="26"/>
      <c r="R3910" s="28"/>
    </row>
    <row r="3911" spans="1:18" ht="30" customHeight="1" x14ac:dyDescent="0.45">
      <c r="A3911" s="47" t="s">
        <v>15</v>
      </c>
      <c r="B3911" s="1008" t="s">
        <v>2108</v>
      </c>
      <c r="C3911" s="1009"/>
      <c r="D3911" s="1010"/>
      <c r="E3911" s="794">
        <v>33475</v>
      </c>
      <c r="F3911" s="56" t="s">
        <v>2109</v>
      </c>
      <c r="G3911" s="799">
        <f>H3901/E3911</f>
        <v>578.21989544436144</v>
      </c>
      <c r="H3911" s="1136" t="s">
        <v>2110</v>
      </c>
      <c r="I3911" s="1137"/>
      <c r="J3911" s="47"/>
      <c r="K3911" s="800"/>
      <c r="L3911" s="56"/>
      <c r="M3911" s="25"/>
      <c r="N3911" s="26"/>
      <c r="O3911" s="2"/>
      <c r="P3911" s="27"/>
      <c r="Q3911" s="26"/>
      <c r="R3911" s="28"/>
    </row>
    <row r="3912" spans="1:18" ht="30" customHeight="1" x14ac:dyDescent="0.45">
      <c r="A3912" s="47"/>
      <c r="B3912" s="1181"/>
      <c r="C3912" s="1182"/>
      <c r="D3912" s="1183"/>
      <c r="E3912" s="58"/>
      <c r="F3912" s="58"/>
      <c r="G3912" s="1021" t="s">
        <v>288</v>
      </c>
      <c r="H3912" s="1022"/>
      <c r="I3912" s="1023"/>
      <c r="J3912" s="213">
        <f>VLOOKUP(B3901,'[1]Mil Cost Premiums for PUCs'!$A$4:$R$278,18,FALSE)</f>
        <v>1.0905505199999999</v>
      </c>
      <c r="K3912" s="801">
        <f>+K3910*J3912</f>
        <v>2.0161962426998688E-2</v>
      </c>
      <c r="L3912" s="47" t="s">
        <v>2106</v>
      </c>
      <c r="M3912" s="25"/>
      <c r="N3912" s="26"/>
      <c r="O3912" s="2"/>
      <c r="P3912" s="27"/>
      <c r="Q3912" s="26"/>
      <c r="R3912" s="28"/>
    </row>
    <row r="3913" spans="1:18" ht="30" customHeight="1" x14ac:dyDescent="0.45">
      <c r="A3913" s="225"/>
      <c r="B3913" s="225"/>
      <c r="C3913" s="150"/>
      <c r="D3913" s="150"/>
      <c r="E3913" s="150"/>
      <c r="F3913" s="150"/>
      <c r="G3913" s="1025" t="s">
        <v>299</v>
      </c>
      <c r="H3913" s="1026"/>
      <c r="I3913" s="1027"/>
      <c r="J3913" s="226">
        <v>1.1214</v>
      </c>
      <c r="K3913" s="802">
        <f>+K3912*J3913</f>
        <v>2.2609624665636329E-2</v>
      </c>
      <c r="L3913" s="47" t="s">
        <v>2106</v>
      </c>
      <c r="M3913" s="25"/>
    </row>
    <row r="3914" spans="1:18" ht="30" customHeight="1" x14ac:dyDescent="0.45">
      <c r="A3914" s="1181" t="s">
        <v>366</v>
      </c>
      <c r="B3914" s="1182"/>
      <c r="C3914" s="1182"/>
      <c r="D3914" s="1182"/>
      <c r="E3914" s="1182"/>
      <c r="F3914" s="1182"/>
      <c r="G3914" s="1182"/>
      <c r="H3914" s="1182"/>
      <c r="I3914" s="1182"/>
      <c r="J3914" s="1182"/>
      <c r="K3914" s="1182"/>
      <c r="L3914" s="1183"/>
      <c r="M3914" s="25"/>
      <c r="N3914" s="26"/>
      <c r="O3914" s="2"/>
      <c r="P3914" s="27"/>
      <c r="Q3914" s="26"/>
      <c r="R3914" s="28"/>
    </row>
    <row r="3915" spans="1:18" ht="75" customHeight="1" x14ac:dyDescent="0.45">
      <c r="A3915" s="1142" t="s">
        <v>367</v>
      </c>
      <c r="B3915" s="1117"/>
      <c r="C3915" s="1118"/>
      <c r="D3915" s="1181" t="s">
        <v>2119</v>
      </c>
      <c r="E3915" s="1182"/>
      <c r="F3915" s="1182"/>
      <c r="G3915" s="1182"/>
      <c r="H3915" s="1182"/>
      <c r="I3915" s="1182"/>
      <c r="J3915" s="1182"/>
      <c r="K3915" s="1182"/>
      <c r="L3915" s="1183"/>
      <c r="M3915" s="25"/>
      <c r="N3915" s="26"/>
      <c r="O3915" s="2"/>
      <c r="P3915" s="27"/>
      <c r="Q3915" s="26"/>
      <c r="R3915" s="28"/>
    </row>
    <row r="3916" spans="1:18" ht="75" customHeight="1" x14ac:dyDescent="0.45">
      <c r="A3916" s="1142" t="s">
        <v>369</v>
      </c>
      <c r="B3916" s="1117"/>
      <c r="C3916" s="1118"/>
      <c r="D3916" s="1181" t="s">
        <v>2120</v>
      </c>
      <c r="E3916" s="1182"/>
      <c r="F3916" s="1182"/>
      <c r="G3916" s="1182"/>
      <c r="H3916" s="1182"/>
      <c r="I3916" s="1182"/>
      <c r="J3916" s="1182"/>
      <c r="K3916" s="1182"/>
      <c r="L3916" s="1183"/>
      <c r="M3916" s="25"/>
      <c r="N3916" s="26"/>
      <c r="O3916" s="2"/>
      <c r="P3916" s="27"/>
      <c r="Q3916" s="26"/>
      <c r="R3916" s="28"/>
    </row>
    <row r="3917" spans="1:18" ht="30" customHeight="1" x14ac:dyDescent="0.45">
      <c r="A3917" s="1142" t="s">
        <v>371</v>
      </c>
      <c r="B3917" s="1117"/>
      <c r="C3917" s="1118"/>
      <c r="D3917" s="1181" t="s">
        <v>2121</v>
      </c>
      <c r="E3917" s="1182"/>
      <c r="F3917" s="1182"/>
      <c r="G3917" s="1182"/>
      <c r="H3917" s="1182"/>
      <c r="I3917" s="1182"/>
      <c r="J3917" s="1182"/>
      <c r="K3917" s="1182"/>
      <c r="L3917" s="1183"/>
      <c r="M3917" s="25"/>
      <c r="N3917" s="26"/>
      <c r="O3917" s="2"/>
      <c r="P3917" s="27"/>
      <c r="Q3917" s="26"/>
      <c r="R3917" s="28"/>
    </row>
    <row r="3918" spans="1:18" ht="30" customHeight="1" x14ac:dyDescent="0.45">
      <c r="A3918" s="1142" t="s">
        <v>373</v>
      </c>
      <c r="B3918" s="1117"/>
      <c r="C3918" s="1118"/>
      <c r="D3918" s="1181" t="s">
        <v>2122</v>
      </c>
      <c r="E3918" s="1182"/>
      <c r="F3918" s="1182"/>
      <c r="G3918" s="1182"/>
      <c r="H3918" s="1182"/>
      <c r="I3918" s="1182"/>
      <c r="J3918" s="1182"/>
      <c r="K3918" s="1182"/>
      <c r="L3918" s="1183"/>
      <c r="M3918" s="25"/>
      <c r="N3918" s="26"/>
      <c r="O3918" s="2"/>
      <c r="P3918" s="27"/>
      <c r="Q3918" s="26"/>
      <c r="R3918" s="28"/>
    </row>
    <row r="3919" spans="1:18" ht="30" customHeight="1" x14ac:dyDescent="0.45">
      <c r="A3919" s="1142" t="s">
        <v>375</v>
      </c>
      <c r="B3919" s="1117"/>
      <c r="C3919" s="1118"/>
      <c r="D3919" s="1181" t="s">
        <v>2123</v>
      </c>
      <c r="E3919" s="1182"/>
      <c r="F3919" s="1182"/>
      <c r="G3919" s="1182"/>
      <c r="H3919" s="1182"/>
      <c r="I3919" s="1182"/>
      <c r="J3919" s="1182"/>
      <c r="K3919" s="1182"/>
      <c r="L3919" s="1183"/>
      <c r="M3919" s="25"/>
      <c r="N3919" s="26"/>
      <c r="O3919" s="2"/>
      <c r="P3919" s="27"/>
      <c r="Q3919" s="26"/>
      <c r="R3919" s="28"/>
    </row>
    <row r="3920" spans="1:18" ht="30" customHeight="1" x14ac:dyDescent="0.45">
      <c r="A3920" s="1142" t="s">
        <v>377</v>
      </c>
      <c r="B3920" s="1117"/>
      <c r="C3920" s="1118"/>
      <c r="D3920" s="1181" t="s">
        <v>2124</v>
      </c>
      <c r="E3920" s="1182"/>
      <c r="F3920" s="1182"/>
      <c r="G3920" s="1182"/>
      <c r="H3920" s="1182"/>
      <c r="I3920" s="1182"/>
      <c r="J3920" s="1182"/>
      <c r="K3920" s="1182"/>
      <c r="L3920" s="1183"/>
      <c r="M3920" s="25"/>
      <c r="N3920" s="26"/>
      <c r="O3920" s="2"/>
      <c r="P3920" s="27"/>
      <c r="Q3920" s="26"/>
      <c r="R3920" s="28"/>
    </row>
    <row r="3921" spans="1:18" ht="30" customHeight="1" x14ac:dyDescent="0.45">
      <c r="A3921" s="1142" t="s">
        <v>379</v>
      </c>
      <c r="B3921" s="1117"/>
      <c r="C3921" s="1118"/>
      <c r="D3921" s="1181" t="s">
        <v>2125</v>
      </c>
      <c r="E3921" s="1182"/>
      <c r="F3921" s="1182"/>
      <c r="G3921" s="1182"/>
      <c r="H3921" s="1182"/>
      <c r="I3921" s="1182"/>
      <c r="J3921" s="1182"/>
      <c r="K3921" s="1182"/>
      <c r="L3921" s="1183"/>
      <c r="M3921" s="25"/>
      <c r="N3921" s="26"/>
      <c r="O3921" s="2"/>
      <c r="P3921" s="27"/>
      <c r="Q3921" s="26"/>
      <c r="R3921" s="28"/>
    </row>
    <row r="3922" spans="1:18" ht="30" customHeight="1" x14ac:dyDescent="0.45">
      <c r="A3922" s="1142" t="s">
        <v>381</v>
      </c>
      <c r="B3922" s="1117"/>
      <c r="C3922" s="1118"/>
      <c r="D3922" s="1181" t="s">
        <v>382</v>
      </c>
      <c r="E3922" s="1182"/>
      <c r="F3922" s="1182"/>
      <c r="G3922" s="1182"/>
      <c r="H3922" s="1182"/>
      <c r="I3922" s="1182"/>
      <c r="J3922" s="1182"/>
      <c r="K3922" s="1182"/>
      <c r="L3922" s="1183"/>
      <c r="M3922" s="25"/>
      <c r="N3922" s="26"/>
      <c r="O3922" s="2"/>
      <c r="P3922" s="27"/>
      <c r="Q3922" s="26"/>
      <c r="R3922" s="28"/>
    </row>
    <row r="3923" spans="1:18" ht="75" customHeight="1" thickBot="1" x14ac:dyDescent="0.5">
      <c r="A3923" s="1184" t="s">
        <v>513</v>
      </c>
      <c r="B3923" s="1185"/>
      <c r="C3923" s="1186"/>
      <c r="D3923" s="1187" t="s">
        <v>2126</v>
      </c>
      <c r="E3923" s="1188"/>
      <c r="F3923" s="1188"/>
      <c r="G3923" s="1188"/>
      <c r="H3923" s="1188"/>
      <c r="I3923" s="1188"/>
      <c r="J3923" s="1188"/>
      <c r="K3923" s="1188"/>
      <c r="L3923" s="1189"/>
      <c r="M3923" s="25"/>
      <c r="N3923" s="26"/>
      <c r="O3923" s="2"/>
      <c r="P3923" s="27"/>
      <c r="Q3923" s="26"/>
      <c r="R3923" s="28"/>
    </row>
    <row r="3924" spans="1:18" ht="27" customHeight="1" thickBot="1" x14ac:dyDescent="0.5">
      <c r="A3924" s="999"/>
      <c r="B3924" s="1000"/>
      <c r="C3924" s="1000"/>
      <c r="D3924" s="1000"/>
      <c r="E3924" s="1000"/>
      <c r="F3924" s="1000"/>
      <c r="G3924" s="1000"/>
      <c r="H3924" s="1000"/>
      <c r="I3924" s="1000"/>
      <c r="J3924" s="1000"/>
      <c r="K3924" s="1000"/>
      <c r="L3924" s="1001"/>
      <c r="M3924" s="25"/>
      <c r="N3924" s="26"/>
      <c r="O3924" s="2"/>
      <c r="P3924" s="27"/>
      <c r="Q3924" s="26"/>
      <c r="R3924" s="28"/>
    </row>
    <row r="3925" spans="1:18" ht="30" customHeight="1" x14ac:dyDescent="0.45">
      <c r="A3925" s="9" t="s">
        <v>4</v>
      </c>
      <c r="B3925" s="10">
        <v>8221</v>
      </c>
      <c r="C3925" s="1138" t="s">
        <v>2127</v>
      </c>
      <c r="D3925" s="1139"/>
      <c r="E3925" s="13" t="s">
        <v>7</v>
      </c>
      <c r="F3925" s="14" t="s">
        <v>113</v>
      </c>
      <c r="G3925" s="11" t="s">
        <v>6</v>
      </c>
      <c r="H3925" s="184">
        <v>16068.233938461501</v>
      </c>
      <c r="I3925" s="13" t="s">
        <v>9</v>
      </c>
      <c r="J3925" s="985" t="s">
        <v>10</v>
      </c>
      <c r="K3925" s="985"/>
      <c r="L3925" s="986"/>
      <c r="M3925" s="25"/>
      <c r="N3925" s="26"/>
      <c r="O3925" s="2"/>
      <c r="P3925" s="27"/>
      <c r="Q3925" s="26"/>
      <c r="R3925" s="28"/>
    </row>
    <row r="3926" spans="1:18" ht="30" customHeight="1" x14ac:dyDescent="0.45">
      <c r="A3926" s="19" t="s">
        <v>11</v>
      </c>
      <c r="B3926" s="1005" t="s">
        <v>12</v>
      </c>
      <c r="C3926" s="1005"/>
      <c r="D3926" s="1005"/>
      <c r="E3926" s="20" t="s">
        <v>2020</v>
      </c>
      <c r="F3926" s="19" t="s">
        <v>267</v>
      </c>
      <c r="G3926" s="1114" t="s">
        <v>15</v>
      </c>
      <c r="H3926" s="1115"/>
      <c r="I3926" s="1068" t="s">
        <v>273</v>
      </c>
      <c r="J3926" s="1069"/>
      <c r="K3926" s="23" t="s">
        <v>17</v>
      </c>
      <c r="L3926" s="24"/>
      <c r="M3926" s="25"/>
      <c r="N3926" s="26"/>
      <c r="O3926" s="2"/>
      <c r="P3926" s="27"/>
      <c r="Q3926" s="26"/>
      <c r="R3926" s="28"/>
    </row>
    <row r="3927" spans="1:18" ht="30" customHeight="1" x14ac:dyDescent="0.45">
      <c r="A3927" s="47">
        <v>82210</v>
      </c>
      <c r="B3927" s="1018" t="s">
        <v>2128</v>
      </c>
      <c r="C3927" s="1019"/>
      <c r="D3927" s="1019"/>
      <c r="E3927" s="1019"/>
      <c r="F3927" s="1019"/>
      <c r="G3927" s="1019"/>
      <c r="H3927" s="1019"/>
      <c r="I3927" s="1019"/>
      <c r="J3927" s="1019"/>
      <c r="K3927" s="1019"/>
      <c r="L3927" s="1020"/>
      <c r="M3927" s="25"/>
      <c r="N3927" s="26"/>
      <c r="O3927" s="2"/>
      <c r="P3927" s="27"/>
      <c r="Q3927" s="26"/>
      <c r="R3927" s="28"/>
    </row>
    <row r="3928" spans="1:18" ht="30" customHeight="1" x14ac:dyDescent="0.45">
      <c r="A3928" s="47"/>
      <c r="B3928" s="1018" t="s">
        <v>2129</v>
      </c>
      <c r="C3928" s="1019"/>
      <c r="D3928" s="1020"/>
      <c r="E3928" s="221">
        <v>1051.3599999999999</v>
      </c>
      <c r="F3928" s="394" t="s">
        <v>2130</v>
      </c>
      <c r="G3928" s="222"/>
      <c r="H3928" s="223"/>
      <c r="I3928" s="1090">
        <f>+'[1]2023 MILCON Inflation Table'!F22</f>
        <v>0.93771935922451721</v>
      </c>
      <c r="J3928" s="1091"/>
      <c r="K3928" s="335">
        <f>+E3928*I3928</f>
        <v>985.88062551428834</v>
      </c>
      <c r="L3928" s="47" t="s">
        <v>113</v>
      </c>
      <c r="M3928" s="25"/>
      <c r="N3928" s="26"/>
      <c r="O3928" s="2"/>
      <c r="P3928" s="27"/>
      <c r="Q3928" s="26"/>
      <c r="R3928" s="28"/>
    </row>
    <row r="3929" spans="1:18" ht="30" customHeight="1" x14ac:dyDescent="0.45">
      <c r="A3929" s="47"/>
      <c r="B3929" s="1018" t="s">
        <v>2131</v>
      </c>
      <c r="C3929" s="1019"/>
      <c r="D3929" s="1020"/>
      <c r="E3929" s="221">
        <v>1224.55</v>
      </c>
      <c r="F3929" s="394" t="s">
        <v>2130</v>
      </c>
      <c r="G3929" s="222"/>
      <c r="H3929" s="223"/>
      <c r="I3929" s="1090">
        <f>+I3928</f>
        <v>0.93771935922451721</v>
      </c>
      <c r="J3929" s="1091"/>
      <c r="K3929" s="335">
        <f>+E3929*I3929</f>
        <v>1148.2842413383826</v>
      </c>
      <c r="L3929" s="47" t="s">
        <v>113</v>
      </c>
      <c r="M3929" s="25"/>
      <c r="N3929" s="26"/>
      <c r="O3929" s="2"/>
      <c r="P3929" s="27"/>
      <c r="Q3929" s="26"/>
      <c r="R3929" s="28"/>
    </row>
    <row r="3930" spans="1:18" ht="30" customHeight="1" x14ac:dyDescent="0.45">
      <c r="A3930" s="47"/>
      <c r="B3930" s="1018" t="s">
        <v>2132</v>
      </c>
      <c r="C3930" s="1019"/>
      <c r="D3930" s="1020"/>
      <c r="E3930" s="221">
        <v>1635.63</v>
      </c>
      <c r="F3930" s="394" t="s">
        <v>2130</v>
      </c>
      <c r="G3930" s="222"/>
      <c r="H3930" s="223"/>
      <c r="I3930" s="1090">
        <f>+I3928</f>
        <v>0.93771935922451721</v>
      </c>
      <c r="J3930" s="1091"/>
      <c r="K3930" s="335">
        <f>+E3930*I3930</f>
        <v>1533.7619155283971</v>
      </c>
      <c r="L3930" s="47" t="s">
        <v>113</v>
      </c>
      <c r="M3930" s="25"/>
      <c r="N3930" s="26"/>
      <c r="O3930" s="2"/>
      <c r="P3930" s="27"/>
      <c r="Q3930" s="26"/>
      <c r="R3930" s="28"/>
    </row>
    <row r="3931" spans="1:18" ht="30" customHeight="1" x14ac:dyDescent="0.45">
      <c r="A3931" s="47"/>
      <c r="B3931" s="204"/>
      <c r="C3931" s="205"/>
      <c r="D3931" s="205"/>
      <c r="E3931" s="353"/>
      <c r="F3931" s="434"/>
      <c r="G3931" s="356"/>
      <c r="H3931" s="356"/>
      <c r="I3931" s="995" t="s">
        <v>2133</v>
      </c>
      <c r="J3931" s="995"/>
      <c r="K3931" s="335">
        <f>AVERAGE(K3928:K3930)</f>
        <v>1222.6422607936893</v>
      </c>
      <c r="L3931" s="47" t="s">
        <v>113</v>
      </c>
      <c r="M3931" s="25"/>
      <c r="N3931" s="26"/>
      <c r="O3931" s="2"/>
      <c r="P3931" s="27"/>
      <c r="Q3931" s="26"/>
      <c r="R3931" s="28"/>
    </row>
    <row r="3932" spans="1:18" ht="30" customHeight="1" x14ac:dyDescent="0.45">
      <c r="A3932" s="47">
        <v>82210</v>
      </c>
      <c r="B3932" s="1018" t="s">
        <v>2134</v>
      </c>
      <c r="C3932" s="1019"/>
      <c r="D3932" s="1019"/>
      <c r="E3932" s="1019"/>
      <c r="F3932" s="1019"/>
      <c r="G3932" s="1019"/>
      <c r="H3932" s="1019"/>
      <c r="I3932" s="1019"/>
      <c r="J3932" s="1019"/>
      <c r="K3932" s="1019"/>
      <c r="L3932" s="1020"/>
      <c r="M3932" s="25"/>
      <c r="N3932" s="26"/>
      <c r="O3932" s="2"/>
      <c r="P3932" s="27"/>
      <c r="Q3932" s="26"/>
      <c r="R3932" s="28"/>
    </row>
    <row r="3933" spans="1:18" ht="30" customHeight="1" x14ac:dyDescent="0.45">
      <c r="A3933" s="47"/>
      <c r="B3933" s="1018" t="s">
        <v>2135</v>
      </c>
      <c r="C3933" s="1019"/>
      <c r="D3933" s="1020"/>
      <c r="E3933" s="221">
        <v>801.08</v>
      </c>
      <c r="F3933" s="394" t="s">
        <v>2130</v>
      </c>
      <c r="G3933" s="222"/>
      <c r="H3933" s="223"/>
      <c r="I3933" s="1090">
        <f>+I3928</f>
        <v>0.93771935922451721</v>
      </c>
      <c r="J3933" s="1091"/>
      <c r="K3933" s="335">
        <f>+E3933*I3933</f>
        <v>751.1882242875763</v>
      </c>
      <c r="L3933" s="47" t="s">
        <v>113</v>
      </c>
      <c r="M3933" s="25"/>
      <c r="N3933" s="26"/>
      <c r="O3933" s="2"/>
      <c r="P3933" s="27"/>
      <c r="Q3933" s="26"/>
      <c r="R3933" s="28"/>
    </row>
    <row r="3934" spans="1:18" ht="30" customHeight="1" x14ac:dyDescent="0.45">
      <c r="A3934" s="47"/>
      <c r="B3934" s="1018" t="s">
        <v>2136</v>
      </c>
      <c r="C3934" s="1019"/>
      <c r="D3934" s="1020"/>
      <c r="E3934" s="221">
        <v>801.08</v>
      </c>
      <c r="F3934" s="394" t="s">
        <v>2130</v>
      </c>
      <c r="G3934" s="222"/>
      <c r="H3934" s="223"/>
      <c r="I3934" s="1090">
        <f>+I3928</f>
        <v>0.93771935922451721</v>
      </c>
      <c r="J3934" s="1091"/>
      <c r="K3934" s="335">
        <f>+E3934*I3934</f>
        <v>751.1882242875763</v>
      </c>
      <c r="L3934" s="47" t="s">
        <v>113</v>
      </c>
      <c r="M3934" s="25"/>
      <c r="N3934" s="26"/>
      <c r="O3934" s="2"/>
      <c r="P3934" s="27"/>
      <c r="Q3934" s="26"/>
      <c r="R3934" s="28"/>
    </row>
    <row r="3935" spans="1:18" ht="30" customHeight="1" x14ac:dyDescent="0.45">
      <c r="A3935" s="47"/>
      <c r="B3935" s="1030" t="s">
        <v>2137</v>
      </c>
      <c r="C3935" s="1030"/>
      <c r="D3935" s="1030"/>
      <c r="E3935" s="221">
        <v>903.61</v>
      </c>
      <c r="F3935" s="394" t="s">
        <v>2130</v>
      </c>
      <c r="G3935" s="222"/>
      <c r="H3935" s="223"/>
      <c r="I3935" s="1090">
        <f>+I3933</f>
        <v>0.93771935922451721</v>
      </c>
      <c r="J3935" s="1091"/>
      <c r="K3935" s="335">
        <f>+E3935*I3935</f>
        <v>847.33259018886599</v>
      </c>
      <c r="L3935" s="47" t="s">
        <v>113</v>
      </c>
      <c r="M3935" s="25"/>
      <c r="N3935" s="26"/>
      <c r="O3935" s="2"/>
      <c r="P3935" s="27"/>
      <c r="Q3935" s="26"/>
      <c r="R3935" s="28"/>
    </row>
    <row r="3936" spans="1:18" ht="30" customHeight="1" x14ac:dyDescent="0.45">
      <c r="A3936" s="47"/>
      <c r="B3936" s="1030" t="s">
        <v>2138</v>
      </c>
      <c r="C3936" s="1030"/>
      <c r="D3936" s="1030"/>
      <c r="E3936" s="221">
        <v>947.2</v>
      </c>
      <c r="F3936" s="394" t="s">
        <v>2130</v>
      </c>
      <c r="G3936" s="222"/>
      <c r="H3936" s="223"/>
      <c r="I3936" s="1090">
        <f>+I3933</f>
        <v>0.93771935922451721</v>
      </c>
      <c r="J3936" s="1091"/>
      <c r="K3936" s="335">
        <f>+E3936*I3936</f>
        <v>888.20777705746275</v>
      </c>
      <c r="L3936" s="47" t="s">
        <v>113</v>
      </c>
      <c r="M3936" s="25"/>
      <c r="N3936" s="26"/>
      <c r="O3936" s="2"/>
      <c r="P3936" s="27"/>
      <c r="Q3936" s="26"/>
      <c r="R3936" s="28"/>
    </row>
    <row r="3937" spans="1:20" ht="30" customHeight="1" x14ac:dyDescent="0.45">
      <c r="A3937" s="47"/>
      <c r="B3937" s="1030" t="s">
        <v>2139</v>
      </c>
      <c r="C3937" s="1030"/>
      <c r="D3937" s="1030"/>
      <c r="E3937" s="221">
        <v>1215.19</v>
      </c>
      <c r="F3937" s="394" t="s">
        <v>2130</v>
      </c>
      <c r="G3937" s="222"/>
      <c r="H3937" s="223"/>
      <c r="I3937" s="1090">
        <f>+I3933</f>
        <v>0.93771935922451721</v>
      </c>
      <c r="J3937" s="1091"/>
      <c r="K3937" s="335">
        <f>+E3937*I3937</f>
        <v>1139.5071881360411</v>
      </c>
      <c r="L3937" s="47" t="s">
        <v>113</v>
      </c>
      <c r="M3937" s="25"/>
      <c r="N3937" s="26"/>
      <c r="P3937" s="27"/>
      <c r="Q3937" s="26"/>
      <c r="R3937" s="28"/>
      <c r="T3937" s="41"/>
    </row>
    <row r="3938" spans="1:20" ht="30" customHeight="1" x14ac:dyDescent="0.45">
      <c r="A3938" s="47"/>
      <c r="B3938" s="204"/>
      <c r="C3938" s="205"/>
      <c r="D3938" s="205"/>
      <c r="E3938" s="353"/>
      <c r="F3938" s="434"/>
      <c r="G3938" s="356"/>
      <c r="H3938" s="356"/>
      <c r="I3938" s="1179" t="s">
        <v>2140</v>
      </c>
      <c r="J3938" s="1179"/>
      <c r="K3938" s="803">
        <f>AVERAGE(K3933:K3937)</f>
        <v>875.48480079150454</v>
      </c>
      <c r="L3938" s="223" t="s">
        <v>113</v>
      </c>
      <c r="M3938" s="25"/>
      <c r="N3938" s="26"/>
      <c r="S3938" s="41"/>
    </row>
    <row r="3939" spans="1:20" ht="30" customHeight="1" x14ac:dyDescent="0.45">
      <c r="A3939" s="47">
        <v>82220</v>
      </c>
      <c r="B3939" s="1018" t="s">
        <v>2141</v>
      </c>
      <c r="C3939" s="1019"/>
      <c r="D3939" s="1019"/>
      <c r="E3939" s="1019"/>
      <c r="F3939" s="1019"/>
      <c r="G3939" s="1019"/>
      <c r="H3939" s="1019"/>
      <c r="I3939" s="1019"/>
      <c r="J3939" s="1019"/>
      <c r="K3939" s="1019"/>
      <c r="L3939" s="1020"/>
      <c r="M3939" s="25"/>
      <c r="N3939" s="26"/>
      <c r="S3939" s="41"/>
    </row>
    <row r="3940" spans="1:20" ht="30" customHeight="1" x14ac:dyDescent="0.45">
      <c r="A3940" s="47"/>
      <c r="B3940" s="1180" t="s">
        <v>2142</v>
      </c>
      <c r="C3940" s="1009"/>
      <c r="D3940" s="1010"/>
      <c r="E3940" s="221">
        <v>1111.83</v>
      </c>
      <c r="F3940" s="394" t="s">
        <v>2130</v>
      </c>
      <c r="G3940" s="222"/>
      <c r="H3940" s="223"/>
      <c r="I3940" s="1090">
        <f>+I3928</f>
        <v>0.93771935922451721</v>
      </c>
      <c r="J3940" s="1091"/>
      <c r="K3940" s="335">
        <f>+E3940*I3940</f>
        <v>1042.5845151665949</v>
      </c>
      <c r="L3940" s="47" t="s">
        <v>113</v>
      </c>
      <c r="M3940" s="25"/>
      <c r="N3940" s="26"/>
      <c r="T3940" s="41"/>
    </row>
    <row r="3941" spans="1:20" ht="30" customHeight="1" x14ac:dyDescent="0.45">
      <c r="A3941" s="47"/>
      <c r="B3941" s="1180" t="s">
        <v>2143</v>
      </c>
      <c r="C3941" s="1009"/>
      <c r="D3941" s="1010"/>
      <c r="E3941" s="221">
        <v>954.34</v>
      </c>
      <c r="F3941" s="394" t="s">
        <v>2130</v>
      </c>
      <c r="G3941" s="222"/>
      <c r="H3941" s="223"/>
      <c r="I3941" s="1090">
        <f>+I3940</f>
        <v>0.93771935922451721</v>
      </c>
      <c r="J3941" s="1091"/>
      <c r="K3941" s="335">
        <f>+E3941*I3941</f>
        <v>894.90309328232581</v>
      </c>
      <c r="L3941" s="47" t="s">
        <v>113</v>
      </c>
      <c r="M3941" s="25"/>
      <c r="N3941" s="26"/>
      <c r="T3941" s="41"/>
    </row>
    <row r="3942" spans="1:20" ht="30" customHeight="1" x14ac:dyDescent="0.45">
      <c r="A3942" s="47"/>
      <c r="B3942" s="1008" t="s">
        <v>2144</v>
      </c>
      <c r="C3942" s="1009"/>
      <c r="D3942" s="1010"/>
      <c r="E3942" s="221">
        <v>1118.99</v>
      </c>
      <c r="F3942" s="394" t="s">
        <v>2130</v>
      </c>
      <c r="G3942" s="222"/>
      <c r="H3942" s="223"/>
      <c r="I3942" s="1090">
        <f>+I3940</f>
        <v>0.93771935922451721</v>
      </c>
      <c r="J3942" s="1091"/>
      <c r="K3942" s="335">
        <f>+E3942*I3942</f>
        <v>1049.2985857786425</v>
      </c>
      <c r="L3942" s="47" t="s">
        <v>113</v>
      </c>
      <c r="M3942" s="25"/>
      <c r="N3942" s="26"/>
      <c r="O3942" s="2"/>
    </row>
    <row r="3943" spans="1:20" ht="30" customHeight="1" x14ac:dyDescent="0.45">
      <c r="A3943" s="47"/>
      <c r="B3943" s="1008" t="s">
        <v>2145</v>
      </c>
      <c r="C3943" s="1009"/>
      <c r="D3943" s="1010"/>
      <c r="E3943" s="221">
        <v>1485.17</v>
      </c>
      <c r="F3943" s="394" t="s">
        <v>2130</v>
      </c>
      <c r="G3943" s="222"/>
      <c r="H3943" s="223"/>
      <c r="I3943" s="1090">
        <f>+I3940</f>
        <v>0.93771935922451721</v>
      </c>
      <c r="J3943" s="1091"/>
      <c r="K3943" s="335">
        <f>+E3943*I3943</f>
        <v>1392.6726607394762</v>
      </c>
      <c r="L3943" s="47" t="s">
        <v>113</v>
      </c>
      <c r="M3943" s="25"/>
      <c r="N3943" s="26"/>
      <c r="O3943" s="2"/>
      <c r="S3943" s="41"/>
    </row>
    <row r="3944" spans="1:20" ht="30" customHeight="1" x14ac:dyDescent="0.45">
      <c r="A3944" s="47"/>
      <c r="B3944" s="197"/>
      <c r="C3944" s="198"/>
      <c r="D3944" s="199"/>
      <c r="E3944" s="353"/>
      <c r="F3944" s="434"/>
      <c r="G3944" s="356"/>
      <c r="H3944" s="223"/>
      <c r="I3944" s="1135" t="s">
        <v>2146</v>
      </c>
      <c r="J3944" s="1137"/>
      <c r="K3944" s="335">
        <f>AVERAGE(K3940:K3943)</f>
        <v>1094.8647137417597</v>
      </c>
      <c r="L3944" s="47" t="s">
        <v>113</v>
      </c>
      <c r="M3944" s="25"/>
      <c r="N3944" s="26"/>
      <c r="O3944" s="2"/>
      <c r="S3944" s="41"/>
    </row>
    <row r="3945" spans="1:20" ht="30" customHeight="1" x14ac:dyDescent="0.45">
      <c r="A3945" s="47"/>
      <c r="B3945" s="197"/>
      <c r="C3945" s="198"/>
      <c r="D3945" s="199"/>
      <c r="E3945" s="353"/>
      <c r="F3945" s="434"/>
      <c r="G3945" s="356"/>
      <c r="H3945" s="223"/>
      <c r="I3945" s="391"/>
      <c r="J3945" s="379"/>
      <c r="K3945" s="335"/>
      <c r="L3945" s="47"/>
      <c r="M3945" s="25"/>
      <c r="O3945" s="2"/>
      <c r="P3945" s="27"/>
      <c r="Q3945" s="26"/>
      <c r="R3945" s="28"/>
    </row>
    <row r="3946" spans="1:20" ht="30" customHeight="1" thickBot="1" x14ac:dyDescent="0.5">
      <c r="A3946" s="47"/>
      <c r="B3946" s="1008"/>
      <c r="C3946" s="1009"/>
      <c r="D3946" s="1010"/>
      <c r="E3946" s="161"/>
      <c r="F3946" s="415"/>
      <c r="G3946" s="161"/>
      <c r="H3946" s="389"/>
      <c r="I3946" s="47" t="s">
        <v>56</v>
      </c>
      <c r="J3946" s="85" t="s">
        <v>39</v>
      </c>
      <c r="K3946" s="335">
        <f>(K3931+K3938+K3944)/3</f>
        <v>1064.3305917756511</v>
      </c>
      <c r="L3946" s="47" t="s">
        <v>113</v>
      </c>
      <c r="O3946" s="2"/>
      <c r="P3946" s="27"/>
      <c r="Q3946" s="26"/>
      <c r="R3946" s="28"/>
    </row>
    <row r="3947" spans="1:20" ht="30" customHeight="1" thickBot="1" x14ac:dyDescent="0.5">
      <c r="A3947" s="999"/>
      <c r="B3947" s="1000"/>
      <c r="C3947" s="1000"/>
      <c r="D3947" s="1000"/>
      <c r="E3947" s="1000"/>
      <c r="F3947" s="1000"/>
      <c r="G3947" s="1000"/>
      <c r="H3947" s="1000"/>
      <c r="I3947" s="1000"/>
      <c r="J3947" s="1000"/>
      <c r="K3947" s="1000"/>
      <c r="L3947" s="1001"/>
      <c r="M3947" s="25"/>
      <c r="N3947" s="26"/>
      <c r="O3947" s="2"/>
      <c r="P3947" s="27"/>
      <c r="Q3947" s="26"/>
      <c r="R3947" s="28"/>
    </row>
    <row r="3948" spans="1:20" ht="30" customHeight="1" x14ac:dyDescent="0.45">
      <c r="A3948" s="9" t="s">
        <v>4</v>
      </c>
      <c r="B3948" s="10">
        <v>8231</v>
      </c>
      <c r="C3948" s="983" t="s">
        <v>2147</v>
      </c>
      <c r="D3948" s="984"/>
      <c r="E3948" s="13" t="s">
        <v>7</v>
      </c>
      <c r="F3948" s="14" t="s">
        <v>2106</v>
      </c>
      <c r="G3948" s="11" t="s">
        <v>6</v>
      </c>
      <c r="H3948" s="163">
        <v>54000000</v>
      </c>
      <c r="I3948" s="13" t="s">
        <v>9</v>
      </c>
      <c r="J3948" s="985" t="s">
        <v>575</v>
      </c>
      <c r="K3948" s="985"/>
      <c r="L3948" s="986"/>
      <c r="M3948" s="25"/>
      <c r="O3948" s="2"/>
      <c r="P3948" s="27"/>
      <c r="Q3948" s="26"/>
      <c r="R3948" s="28"/>
    </row>
    <row r="3949" spans="1:20" ht="30" customHeight="1" x14ac:dyDescent="0.45">
      <c r="A3949" s="85" t="s">
        <v>277</v>
      </c>
      <c r="B3949" s="987" t="s">
        <v>293</v>
      </c>
      <c r="C3949" s="988"/>
      <c r="D3949" s="989"/>
      <c r="E3949" s="220" t="s">
        <v>13</v>
      </c>
      <c r="F3949" s="220" t="s">
        <v>14</v>
      </c>
      <c r="G3949" s="990" t="s">
        <v>15</v>
      </c>
      <c r="H3949" s="991"/>
      <c r="I3949" s="19" t="s">
        <v>278</v>
      </c>
      <c r="J3949" s="19"/>
      <c r="K3949" s="23" t="s">
        <v>17</v>
      </c>
      <c r="L3949" s="24"/>
      <c r="M3949" s="25"/>
      <c r="O3949" s="2"/>
      <c r="P3949" s="27"/>
      <c r="Q3949" s="26"/>
      <c r="R3949" s="28"/>
    </row>
    <row r="3950" spans="1:20" ht="30" customHeight="1" x14ac:dyDescent="0.45">
      <c r="A3950" s="47"/>
      <c r="C3950" s="198"/>
      <c r="D3950" s="199"/>
      <c r="E3950" s="56"/>
      <c r="F3950" s="56"/>
      <c r="G3950" s="348"/>
      <c r="H3950" s="349"/>
      <c r="I3950" s="223"/>
      <c r="J3950" s="47"/>
      <c r="K3950" s="221"/>
      <c r="L3950" s="47"/>
      <c r="M3950" s="25"/>
      <c r="O3950" s="2"/>
      <c r="P3950" s="27"/>
      <c r="Q3950" s="26"/>
      <c r="R3950" s="28"/>
    </row>
    <row r="3951" spans="1:20" ht="30" customHeight="1" x14ac:dyDescent="0.45">
      <c r="A3951" s="642" t="s">
        <v>1543</v>
      </c>
      <c r="B3951" s="1008" t="s">
        <v>2148</v>
      </c>
      <c r="C3951" s="1009"/>
      <c r="D3951" s="1010"/>
      <c r="E3951" s="378">
        <f>+(10000+11900)/2</f>
        <v>10950</v>
      </c>
      <c r="F3951" s="56" t="s">
        <v>88</v>
      </c>
      <c r="G3951" s="457">
        <v>54000000</v>
      </c>
      <c r="H3951" s="349" t="s">
        <v>2149</v>
      </c>
      <c r="I3951" s="47">
        <v>1.06</v>
      </c>
      <c r="J3951" s="47"/>
      <c r="K3951" s="681">
        <f>+E3951/G3951*I3951</f>
        <v>2.1494444444444444E-4</v>
      </c>
      <c r="L3951" s="56" t="s">
        <v>2106</v>
      </c>
      <c r="M3951" s="25"/>
      <c r="O3951" s="2"/>
      <c r="P3951" s="27"/>
      <c r="Q3951" s="26"/>
      <c r="R3951" s="28"/>
    </row>
    <row r="3952" spans="1:20" ht="30" customHeight="1" x14ac:dyDescent="0.45">
      <c r="A3952" s="642" t="s">
        <v>350</v>
      </c>
      <c r="B3952" s="1008" t="s">
        <v>2150</v>
      </c>
      <c r="C3952" s="1009"/>
      <c r="D3952" s="1010"/>
      <c r="E3952" s="378">
        <v>313000</v>
      </c>
      <c r="F3952" s="56" t="s">
        <v>88</v>
      </c>
      <c r="G3952" s="457">
        <f>+H3948</f>
        <v>54000000</v>
      </c>
      <c r="H3952" s="349" t="s">
        <v>2149</v>
      </c>
      <c r="I3952" s="365">
        <v>1</v>
      </c>
      <c r="J3952" s="47"/>
      <c r="K3952" s="681">
        <f>+E3952/G3952*I3952</f>
        <v>5.7962962962962959E-3</v>
      </c>
      <c r="L3952" s="56" t="s">
        <v>2106</v>
      </c>
      <c r="M3952" s="25"/>
      <c r="O3952" s="2"/>
      <c r="P3952" s="27"/>
      <c r="Q3952" s="26"/>
      <c r="R3952" s="28"/>
    </row>
    <row r="3953" spans="1:18" ht="30" customHeight="1" x14ac:dyDescent="0.45">
      <c r="A3953" s="642" t="s">
        <v>2151</v>
      </c>
      <c r="B3953" s="1008" t="s">
        <v>2152</v>
      </c>
      <c r="C3953" s="1009"/>
      <c r="D3953" s="1010"/>
      <c r="E3953" s="378">
        <f>(40.25+44)/2</f>
        <v>42.125</v>
      </c>
      <c r="F3953" s="56" t="s">
        <v>1184</v>
      </c>
      <c r="G3953" s="457">
        <f>+H3948</f>
        <v>54000000</v>
      </c>
      <c r="H3953" s="349" t="s">
        <v>2153</v>
      </c>
      <c r="I3953" s="47">
        <v>1.06</v>
      </c>
      <c r="J3953" s="47"/>
      <c r="K3953" s="681">
        <f>+E3953*520/G3953*I3953</f>
        <v>4.2998703703703707E-4</v>
      </c>
      <c r="L3953" s="56" t="s">
        <v>2106</v>
      </c>
      <c r="M3953" s="25"/>
      <c r="O3953" s="2"/>
      <c r="P3953" s="27"/>
      <c r="Q3953" s="26"/>
      <c r="R3953" s="28"/>
    </row>
    <row r="3954" spans="1:18" ht="30" customHeight="1" x14ac:dyDescent="0.45">
      <c r="A3954" s="642" t="s">
        <v>624</v>
      </c>
      <c r="B3954" s="1008" t="s">
        <v>2154</v>
      </c>
      <c r="C3954" s="1009"/>
      <c r="D3954" s="1010"/>
      <c r="E3954" s="378">
        <f>(7550+8700)/2</f>
        <v>8125</v>
      </c>
      <c r="F3954" s="56" t="s">
        <v>88</v>
      </c>
      <c r="G3954" s="457">
        <f>+H3948</f>
        <v>54000000</v>
      </c>
      <c r="H3954" s="349" t="s">
        <v>2153</v>
      </c>
      <c r="I3954" s="47">
        <v>1.06</v>
      </c>
      <c r="J3954" s="47"/>
      <c r="K3954" s="681">
        <f>+((E3954*4)/G3954)*I3954</f>
        <v>6.3796296296296301E-4</v>
      </c>
      <c r="L3954" s="56" t="s">
        <v>2106</v>
      </c>
      <c r="M3954" s="25"/>
      <c r="N3954" s="26"/>
      <c r="O3954" s="2"/>
      <c r="P3954" s="27"/>
      <c r="Q3954" s="26"/>
      <c r="R3954" s="28"/>
    </row>
    <row r="3955" spans="1:18" ht="30" customHeight="1" x14ac:dyDescent="0.45">
      <c r="A3955" s="426"/>
      <c r="B3955" s="1030"/>
      <c r="C3955" s="1030"/>
      <c r="D3955" s="1030"/>
      <c r="E3955" s="221"/>
      <c r="F3955" s="47"/>
      <c r="G3955" s="47"/>
      <c r="H3955" s="47"/>
      <c r="I3955" s="47"/>
      <c r="J3955" s="47" t="s">
        <v>38</v>
      </c>
      <c r="K3955" s="458">
        <f>SUM(K3951:K3952)</f>
        <v>6.0112407407407406E-3</v>
      </c>
      <c r="L3955" s="56" t="s">
        <v>2106</v>
      </c>
      <c r="N3955" s="26"/>
      <c r="O3955" s="2"/>
      <c r="P3955" s="27"/>
      <c r="Q3955" s="26"/>
      <c r="R3955" s="28"/>
    </row>
    <row r="3956" spans="1:18" ht="30" customHeight="1" x14ac:dyDescent="0.45">
      <c r="A3956" s="47"/>
      <c r="B3956" s="224"/>
      <c r="C3956" s="224"/>
      <c r="D3956" s="224"/>
      <c r="E3956" s="221"/>
      <c r="F3956" s="1011" t="s">
        <v>285</v>
      </c>
      <c r="G3956" s="1013" t="s">
        <v>286</v>
      </c>
      <c r="H3956" s="1013"/>
      <c r="I3956" s="1013"/>
      <c r="J3956" s="1013"/>
      <c r="K3956" s="278">
        <v>1.07</v>
      </c>
      <c r="L3956" s="47"/>
      <c r="M3956" s="25"/>
      <c r="N3956" s="26"/>
      <c r="O3956" s="2"/>
      <c r="P3956" s="27"/>
      <c r="Q3956" s="26"/>
      <c r="R3956" s="28"/>
    </row>
    <row r="3957" spans="1:18" ht="30" customHeight="1" x14ac:dyDescent="0.45">
      <c r="A3957" s="47"/>
      <c r="B3957" s="224"/>
      <c r="C3957" s="224"/>
      <c r="D3957" s="224"/>
      <c r="E3957" s="221"/>
      <c r="F3957" s="1012"/>
      <c r="G3957" s="1014" t="s">
        <v>580</v>
      </c>
      <c r="H3957" s="1014"/>
      <c r="I3957" s="1014"/>
      <c r="J3957" s="1014"/>
      <c r="K3957" s="278">
        <v>1.08</v>
      </c>
      <c r="L3957" s="47"/>
      <c r="M3957" s="25"/>
      <c r="N3957" s="26"/>
      <c r="O3957" s="2"/>
      <c r="P3957" s="27"/>
      <c r="Q3957" s="26"/>
      <c r="R3957" s="28"/>
    </row>
    <row r="3958" spans="1:18" ht="30" customHeight="1" x14ac:dyDescent="0.45">
      <c r="A3958" s="47"/>
      <c r="B3958" s="79"/>
      <c r="C3958" s="79"/>
      <c r="D3958" s="79"/>
      <c r="E3958" s="47"/>
      <c r="F3958" s="47" t="s">
        <v>35</v>
      </c>
      <c r="G3958" s="58"/>
      <c r="H3958" s="58"/>
      <c r="I3958" s="58"/>
      <c r="J3958" s="58" t="s">
        <v>39</v>
      </c>
      <c r="K3958" s="804">
        <f>+K3955*K3956/K3957</f>
        <v>5.9555811042524007E-3</v>
      </c>
      <c r="L3958" s="56" t="s">
        <v>2106</v>
      </c>
      <c r="M3958" s="25"/>
      <c r="N3958" s="26"/>
      <c r="O3958" s="2"/>
      <c r="P3958" s="27"/>
      <c r="Q3958" s="26"/>
      <c r="R3958" s="28"/>
    </row>
    <row r="3959" spans="1:18" ht="30" customHeight="1" x14ac:dyDescent="0.45">
      <c r="A3959" s="47"/>
      <c r="B3959" s="58"/>
      <c r="C3959" s="224"/>
      <c r="D3959" s="203"/>
      <c r="E3959" s="613"/>
      <c r="F3959" s="58"/>
      <c r="G3959" s="1021" t="s">
        <v>288</v>
      </c>
      <c r="H3959" s="1022"/>
      <c r="I3959" s="1023"/>
      <c r="J3959" s="213">
        <f>VLOOKUP(B3948,'[1]Mil Cost Premiums for PUCs'!$A$4:$R$278,18,FALSE)</f>
        <v>1.0905505199999999</v>
      </c>
      <c r="K3959" s="804">
        <f>+K3958*J3959</f>
        <v>6.4948620701446294E-3</v>
      </c>
      <c r="L3959" s="56" t="s">
        <v>2106</v>
      </c>
      <c r="M3959" s="25"/>
      <c r="N3959" s="26"/>
      <c r="O3959" s="2"/>
      <c r="P3959" s="27"/>
      <c r="Q3959" s="26"/>
      <c r="R3959" s="28"/>
    </row>
    <row r="3960" spans="1:18" ht="30" customHeight="1" x14ac:dyDescent="0.45">
      <c r="A3960" s="541"/>
      <c r="B3960" s="541"/>
      <c r="C3960" s="542"/>
      <c r="D3960" s="542"/>
      <c r="E3960" s="542"/>
      <c r="F3960" s="1024" t="s">
        <v>581</v>
      </c>
      <c r="G3960" s="1024"/>
      <c r="H3960" s="1024"/>
      <c r="I3960" s="1024"/>
      <c r="J3960" s="756">
        <v>1.0833999999999999</v>
      </c>
      <c r="K3960" s="805">
        <f>K3959*J3960</f>
        <v>7.0365335667946912E-3</v>
      </c>
      <c r="L3960" s="56" t="s">
        <v>2106</v>
      </c>
      <c r="M3960" s="25"/>
      <c r="N3960" s="26"/>
      <c r="O3960" s="2"/>
      <c r="P3960" s="27"/>
      <c r="Q3960" s="26"/>
      <c r="R3960" s="28"/>
    </row>
    <row r="3961" spans="1:18" ht="30" customHeight="1" thickBot="1" x14ac:dyDescent="0.5">
      <c r="A3961" s="225"/>
      <c r="B3961" s="225"/>
      <c r="C3961" s="150"/>
      <c r="D3961" s="150"/>
      <c r="E3961" s="150"/>
      <c r="F3961" s="150"/>
      <c r="G3961" s="1025" t="s">
        <v>299</v>
      </c>
      <c r="H3961" s="1026"/>
      <c r="I3961" s="1027"/>
      <c r="J3961" s="226">
        <v>1.1214</v>
      </c>
      <c r="K3961" s="802">
        <f>+K3960*J3961</f>
        <v>7.8907687418035659E-3</v>
      </c>
      <c r="L3961" s="47" t="s">
        <v>2106</v>
      </c>
      <c r="M3961" s="25"/>
    </row>
    <row r="3962" spans="1:18" ht="30" customHeight="1" thickBot="1" x14ac:dyDescent="0.5">
      <c r="A3962" s="999"/>
      <c r="B3962" s="1000"/>
      <c r="C3962" s="1000"/>
      <c r="D3962" s="1000"/>
      <c r="E3962" s="1000"/>
      <c r="F3962" s="1000"/>
      <c r="G3962" s="1000"/>
      <c r="H3962" s="1000"/>
      <c r="I3962" s="1000"/>
      <c r="J3962" s="1000"/>
      <c r="K3962" s="1000"/>
      <c r="L3962" s="1001"/>
      <c r="M3962" s="25"/>
      <c r="N3962" s="26"/>
      <c r="O3962" s="2"/>
      <c r="P3962" s="27"/>
      <c r="Q3962" s="26"/>
      <c r="R3962" s="28"/>
    </row>
    <row r="3963" spans="1:18" ht="30" customHeight="1" x14ac:dyDescent="0.45">
      <c r="A3963" s="9" t="s">
        <v>4</v>
      </c>
      <c r="B3963" s="10">
        <v>8232</v>
      </c>
      <c r="C3963" s="983" t="s">
        <v>2155</v>
      </c>
      <c r="D3963" s="984"/>
      <c r="E3963" s="13" t="s">
        <v>7</v>
      </c>
      <c r="F3963" s="14" t="s">
        <v>88</v>
      </c>
      <c r="G3963" s="161" t="s">
        <v>148</v>
      </c>
      <c r="H3963" s="163">
        <v>1</v>
      </c>
      <c r="I3963" s="13" t="s">
        <v>9</v>
      </c>
      <c r="J3963" s="985" t="s">
        <v>575</v>
      </c>
      <c r="K3963" s="985"/>
      <c r="L3963" s="986"/>
      <c r="M3963" s="25"/>
      <c r="N3963" s="26"/>
      <c r="O3963" s="2"/>
      <c r="P3963" s="27"/>
      <c r="Q3963" s="26"/>
      <c r="R3963" s="28"/>
    </row>
    <row r="3964" spans="1:18" ht="30" customHeight="1" x14ac:dyDescent="0.45">
      <c r="A3964" s="85" t="s">
        <v>277</v>
      </c>
      <c r="B3964" s="987" t="s">
        <v>293</v>
      </c>
      <c r="C3964" s="988"/>
      <c r="D3964" s="989"/>
      <c r="E3964" s="220" t="s">
        <v>13</v>
      </c>
      <c r="F3964" s="220" t="s">
        <v>14</v>
      </c>
      <c r="G3964" s="990" t="s">
        <v>15</v>
      </c>
      <c r="H3964" s="991"/>
      <c r="I3964" s="19" t="s">
        <v>278</v>
      </c>
      <c r="J3964" s="19"/>
      <c r="K3964" s="23" t="s">
        <v>17</v>
      </c>
      <c r="L3964" s="24"/>
      <c r="M3964" s="25"/>
      <c r="N3964" s="26"/>
      <c r="O3964" s="2"/>
      <c r="P3964" s="27"/>
      <c r="Q3964" s="26"/>
      <c r="R3964" s="28"/>
    </row>
    <row r="3965" spans="1:18" ht="30" customHeight="1" x14ac:dyDescent="0.45">
      <c r="A3965" s="47" t="s">
        <v>350</v>
      </c>
      <c r="B3965" s="1092" t="s">
        <v>2156</v>
      </c>
      <c r="C3965" s="1092"/>
      <c r="D3965" s="1092"/>
      <c r="E3965" s="221">
        <v>102000</v>
      </c>
      <c r="F3965" s="222" t="s">
        <v>88</v>
      </c>
      <c r="G3965" s="765"/>
      <c r="H3965" s="223"/>
      <c r="I3965" s="410">
        <v>1</v>
      </c>
      <c r="J3965" s="47"/>
      <c r="K3965" s="221">
        <f>+E3965*I3965</f>
        <v>102000</v>
      </c>
      <c r="L3965" s="47" t="s">
        <v>88</v>
      </c>
      <c r="M3965" s="25"/>
      <c r="N3965" s="26"/>
      <c r="O3965" s="101"/>
      <c r="P3965" s="27"/>
      <c r="Q3965" s="26"/>
      <c r="R3965" s="28"/>
    </row>
    <row r="3966" spans="1:18" ht="30" customHeight="1" x14ac:dyDescent="0.45">
      <c r="A3966" s="47"/>
      <c r="B3966" s="224"/>
      <c r="C3966" s="224"/>
      <c r="D3966" s="224"/>
      <c r="E3966" s="221"/>
      <c r="F3966" s="1011" t="s">
        <v>285</v>
      </c>
      <c r="G3966" s="1013" t="s">
        <v>286</v>
      </c>
      <c r="H3966" s="1013"/>
      <c r="I3966" s="1013"/>
      <c r="J3966" s="1013"/>
      <c r="K3966" s="278">
        <v>1.07</v>
      </c>
      <c r="L3966" s="47"/>
      <c r="M3966" s="25"/>
      <c r="N3966" s="26"/>
      <c r="O3966" s="2"/>
      <c r="P3966" s="27"/>
      <c r="Q3966" s="26"/>
      <c r="R3966" s="28"/>
    </row>
    <row r="3967" spans="1:18" ht="30" customHeight="1" x14ac:dyDescent="0.45">
      <c r="A3967" s="47"/>
      <c r="B3967" s="224"/>
      <c r="C3967" s="224"/>
      <c r="D3967" s="224"/>
      <c r="E3967" s="221"/>
      <c r="F3967" s="1012"/>
      <c r="G3967" s="1014" t="s">
        <v>580</v>
      </c>
      <c r="H3967" s="1014"/>
      <c r="I3967" s="1014"/>
      <c r="J3967" s="1014"/>
      <c r="K3967" s="278">
        <v>1.08</v>
      </c>
      <c r="L3967" s="47"/>
      <c r="N3967" s="26"/>
      <c r="O3967" s="2"/>
      <c r="P3967" s="27"/>
      <c r="Q3967" s="26"/>
      <c r="R3967" s="28"/>
    </row>
    <row r="3968" spans="1:18" ht="30" customHeight="1" x14ac:dyDescent="0.45">
      <c r="A3968" s="47"/>
      <c r="B3968" s="47"/>
      <c r="C3968" s="58"/>
      <c r="D3968" s="58"/>
      <c r="E3968" s="58"/>
      <c r="F3968" s="58"/>
      <c r="G3968" s="58"/>
      <c r="H3968" s="58"/>
      <c r="I3968" s="58"/>
      <c r="J3968" s="47" t="s">
        <v>39</v>
      </c>
      <c r="K3968" s="216">
        <f>+K3965*K3966/K3967</f>
        <v>101055.55555555555</v>
      </c>
      <c r="L3968" s="47" t="s">
        <v>88</v>
      </c>
      <c r="M3968" s="25"/>
      <c r="N3968" s="26"/>
      <c r="O3968" s="2"/>
      <c r="P3968" s="27"/>
      <c r="Q3968" s="26"/>
      <c r="R3968" s="28"/>
    </row>
    <row r="3969" spans="1:18" ht="30" customHeight="1" x14ac:dyDescent="0.45">
      <c r="A3969" s="47"/>
      <c r="B3969" s="47"/>
      <c r="C3969" s="58"/>
      <c r="D3969" s="58"/>
      <c r="E3969" s="58"/>
      <c r="F3969" s="58"/>
      <c r="G3969" s="1021" t="s">
        <v>288</v>
      </c>
      <c r="H3969" s="1022"/>
      <c r="I3969" s="1023"/>
      <c r="J3969" s="213">
        <f>VLOOKUP(B3963,'[1]Mil Cost Premiums for PUCs'!$A$4:$R$278,18,FALSE)</f>
        <v>1.0905505199999999</v>
      </c>
      <c r="K3969" s="216">
        <f>+K3968*J3969</f>
        <v>110206.18865999997</v>
      </c>
      <c r="L3969" s="47" t="s">
        <v>88</v>
      </c>
      <c r="M3969" s="121"/>
      <c r="N3969" s="26"/>
      <c r="O3969" s="2"/>
      <c r="P3969" s="27"/>
      <c r="Q3969" s="26"/>
      <c r="R3969" s="28"/>
    </row>
    <row r="3970" spans="1:18" ht="30" customHeight="1" x14ac:dyDescent="0.45">
      <c r="A3970" s="541"/>
      <c r="B3970" s="541"/>
      <c r="C3970" s="542"/>
      <c r="D3970" s="542"/>
      <c r="E3970" s="542"/>
      <c r="F3970" s="1024" t="s">
        <v>581</v>
      </c>
      <c r="G3970" s="1024"/>
      <c r="H3970" s="1024"/>
      <c r="I3970" s="1024"/>
      <c r="J3970" s="756">
        <v>1.0833999999999999</v>
      </c>
      <c r="K3970" s="805">
        <f>K3969*J3970</f>
        <v>119397.38479424396</v>
      </c>
      <c r="L3970" s="47" t="s">
        <v>88</v>
      </c>
      <c r="M3970" s="25"/>
      <c r="N3970" s="26"/>
      <c r="O3970" s="2"/>
      <c r="P3970" s="27"/>
      <c r="Q3970" s="26"/>
      <c r="R3970" s="28"/>
    </row>
    <row r="3971" spans="1:18" ht="30" customHeight="1" thickBot="1" x14ac:dyDescent="0.5">
      <c r="A3971" s="225"/>
      <c r="B3971" s="225"/>
      <c r="C3971" s="150"/>
      <c r="D3971" s="150"/>
      <c r="E3971" s="150"/>
      <c r="F3971" s="150"/>
      <c r="G3971" s="1025" t="s">
        <v>299</v>
      </c>
      <c r="H3971" s="1026"/>
      <c r="I3971" s="1027"/>
      <c r="J3971" s="226">
        <v>1.1214</v>
      </c>
      <c r="K3971" s="227">
        <f>+K3970*J3971</f>
        <v>133892.22730826517</v>
      </c>
      <c r="L3971" s="47" t="s">
        <v>88</v>
      </c>
      <c r="M3971" s="25"/>
    </row>
    <row r="3972" spans="1:18" ht="30" customHeight="1" thickBot="1" x14ac:dyDescent="0.5">
      <c r="A3972" s="999"/>
      <c r="B3972" s="1000"/>
      <c r="C3972" s="1000"/>
      <c r="D3972" s="1000"/>
      <c r="E3972" s="1000"/>
      <c r="F3972" s="1000"/>
      <c r="G3972" s="1000"/>
      <c r="H3972" s="1000"/>
      <c r="I3972" s="1000"/>
      <c r="J3972" s="1000"/>
      <c r="K3972" s="1000"/>
      <c r="L3972" s="1001"/>
      <c r="M3972" s="25"/>
      <c r="O3972" s="2"/>
      <c r="P3972" s="27"/>
      <c r="Q3972" s="26"/>
      <c r="R3972" s="28"/>
    </row>
    <row r="3973" spans="1:18" ht="30" customHeight="1" x14ac:dyDescent="0.45">
      <c r="A3973" s="9" t="s">
        <v>4</v>
      </c>
      <c r="B3973" s="10">
        <v>8241</v>
      </c>
      <c r="C3973" s="983" t="s">
        <v>2157</v>
      </c>
      <c r="D3973" s="984"/>
      <c r="E3973" s="13" t="s">
        <v>7</v>
      </c>
      <c r="F3973" s="14" t="s">
        <v>113</v>
      </c>
      <c r="G3973" s="11" t="s">
        <v>6</v>
      </c>
      <c r="H3973" s="163">
        <v>8472</v>
      </c>
      <c r="I3973" s="13" t="s">
        <v>9</v>
      </c>
      <c r="J3973" s="985" t="s">
        <v>10</v>
      </c>
      <c r="K3973" s="985"/>
      <c r="L3973" s="986"/>
      <c r="M3973" s="25"/>
      <c r="N3973" s="26"/>
      <c r="O3973" s="2"/>
      <c r="P3973" s="27"/>
      <c r="Q3973" s="26"/>
      <c r="R3973" s="28"/>
    </row>
    <row r="3974" spans="1:18" ht="30" customHeight="1" x14ac:dyDescent="0.45">
      <c r="A3974" s="19" t="s">
        <v>11</v>
      </c>
      <c r="B3974" s="1005" t="s">
        <v>12</v>
      </c>
      <c r="C3974" s="1005"/>
      <c r="D3974" s="1005"/>
      <c r="E3974" s="220" t="s">
        <v>13</v>
      </c>
      <c r="F3974" s="220" t="s">
        <v>14</v>
      </c>
      <c r="G3974" s="990" t="s">
        <v>15</v>
      </c>
      <c r="H3974" s="991"/>
      <c r="I3974" s="1068" t="s">
        <v>273</v>
      </c>
      <c r="J3974" s="1069"/>
      <c r="K3974" s="23" t="s">
        <v>17</v>
      </c>
      <c r="L3974" s="24"/>
      <c r="M3974" s="25"/>
      <c r="N3974" s="491"/>
      <c r="O3974" s="2"/>
      <c r="P3974" s="27"/>
      <c r="Q3974" s="26"/>
      <c r="R3974" s="28"/>
    </row>
    <row r="3975" spans="1:18" ht="30" customHeight="1" x14ac:dyDescent="0.45">
      <c r="A3975" s="47">
        <v>82410</v>
      </c>
      <c r="B3975" s="1018" t="s">
        <v>2158</v>
      </c>
      <c r="C3975" s="1019"/>
      <c r="D3975" s="1020"/>
      <c r="E3975" s="378">
        <v>57.84</v>
      </c>
      <c r="F3975" s="220" t="s">
        <v>113</v>
      </c>
      <c r="G3975" s="98"/>
      <c r="H3975" s="99"/>
      <c r="I3975" s="1090">
        <f>+'[1]2023 MILCON Inflation Table'!$F$22</f>
        <v>0.93771935922451721</v>
      </c>
      <c r="J3975" s="1091"/>
      <c r="K3975" s="378">
        <f>+E3975*I3975</f>
        <v>54.237687737546082</v>
      </c>
      <c r="L3975" s="56" t="s">
        <v>113</v>
      </c>
      <c r="M3975" s="25"/>
      <c r="N3975" s="491"/>
      <c r="O3975" s="2"/>
      <c r="P3975" s="27"/>
      <c r="Q3975" s="26"/>
      <c r="R3975" s="28"/>
    </row>
    <row r="3976" spans="1:18" ht="30" customHeight="1" x14ac:dyDescent="0.45">
      <c r="A3976" s="47">
        <v>82410</v>
      </c>
      <c r="B3976" s="1018" t="s">
        <v>2159</v>
      </c>
      <c r="C3976" s="1019"/>
      <c r="D3976" s="1020"/>
      <c r="E3976" s="378">
        <v>80.11</v>
      </c>
      <c r="F3976" s="56" t="s">
        <v>113</v>
      </c>
      <c r="G3976" s="348"/>
      <c r="H3976" s="349"/>
      <c r="I3976" s="1090">
        <f>+'[1]2023 MILCON Inflation Table'!$F$22</f>
        <v>0.93771935922451721</v>
      </c>
      <c r="J3976" s="1091"/>
      <c r="K3976" s="378">
        <f>+E3976*I3976</f>
        <v>75.120697867476068</v>
      </c>
      <c r="L3976" s="56" t="s">
        <v>113</v>
      </c>
      <c r="M3976" s="25"/>
      <c r="N3976" s="26"/>
      <c r="O3976" s="2"/>
      <c r="P3976" s="27"/>
      <c r="Q3976" s="26"/>
      <c r="R3976" s="28"/>
    </row>
    <row r="3977" spans="1:18" ht="30" customHeight="1" x14ac:dyDescent="0.45">
      <c r="A3977" s="47">
        <v>82410</v>
      </c>
      <c r="B3977" s="1018" t="s">
        <v>2160</v>
      </c>
      <c r="C3977" s="1019"/>
      <c r="D3977" s="1020"/>
      <c r="E3977" s="378">
        <v>107.1</v>
      </c>
      <c r="F3977" s="56" t="s">
        <v>113</v>
      </c>
      <c r="G3977" s="806"/>
      <c r="H3977" s="349"/>
      <c r="I3977" s="1090">
        <f>+'[1]2023 MILCON Inflation Table'!$F$22</f>
        <v>0.93771935922451721</v>
      </c>
      <c r="J3977" s="1091"/>
      <c r="K3977" s="378">
        <f>+E3977*I3977</f>
        <v>100.42974337294579</v>
      </c>
      <c r="L3977" s="56" t="s">
        <v>113</v>
      </c>
      <c r="M3977" s="25"/>
      <c r="N3977" s="26"/>
      <c r="O3977" s="2"/>
      <c r="P3977" s="27"/>
      <c r="Q3977" s="26"/>
      <c r="R3977" s="28"/>
    </row>
    <row r="3978" spans="1:18" ht="30" customHeight="1" x14ac:dyDescent="0.45">
      <c r="A3978" s="426"/>
      <c r="B3978" s="1030"/>
      <c r="C3978" s="1030"/>
      <c r="D3978" s="1030"/>
      <c r="E3978" s="221"/>
      <c r="F3978" s="47"/>
      <c r="G3978" s="47"/>
      <c r="H3978" s="47"/>
      <c r="I3978" s="47"/>
      <c r="J3978" s="47" t="s">
        <v>56</v>
      </c>
      <c r="K3978" s="221">
        <f>AVERAGE(K3975:K3977)</f>
        <v>76.596042992655967</v>
      </c>
      <c r="L3978" s="47" t="s">
        <v>113</v>
      </c>
      <c r="M3978" s="25"/>
      <c r="N3978" s="26"/>
      <c r="O3978" s="2"/>
      <c r="P3978" s="27"/>
      <c r="Q3978" s="26"/>
      <c r="R3978" s="28"/>
    </row>
    <row r="3979" spans="1:18" ht="30" customHeight="1" thickBot="1" x14ac:dyDescent="0.5">
      <c r="A3979" s="47"/>
      <c r="B3979" s="47"/>
      <c r="C3979" s="58"/>
      <c r="D3979" s="58"/>
      <c r="E3979" s="58"/>
      <c r="F3979" s="58"/>
      <c r="G3979" s="58"/>
      <c r="H3979" s="58"/>
      <c r="I3979" s="58"/>
      <c r="J3979" s="47" t="s">
        <v>39</v>
      </c>
      <c r="K3979" s="216">
        <f>+K3978</f>
        <v>76.596042992655967</v>
      </c>
      <c r="L3979" s="47" t="s">
        <v>113</v>
      </c>
      <c r="M3979" s="25"/>
      <c r="O3979" s="2"/>
      <c r="P3979" s="27"/>
      <c r="Q3979" s="26"/>
      <c r="R3979" s="28"/>
    </row>
    <row r="3980" spans="1:18" ht="30" customHeight="1" thickBot="1" x14ac:dyDescent="0.5">
      <c r="A3980" s="999"/>
      <c r="B3980" s="1000"/>
      <c r="C3980" s="1000"/>
      <c r="D3980" s="1000"/>
      <c r="E3980" s="1000"/>
      <c r="F3980" s="1000"/>
      <c r="G3980" s="1000"/>
      <c r="H3980" s="1000"/>
      <c r="I3980" s="1000"/>
      <c r="J3980" s="1000"/>
      <c r="K3980" s="1000"/>
      <c r="L3980" s="1001"/>
      <c r="M3980" s="25"/>
      <c r="N3980" s="491"/>
      <c r="O3980" s="2"/>
      <c r="P3980" s="27"/>
      <c r="Q3980" s="26"/>
      <c r="R3980" s="28"/>
    </row>
    <row r="3981" spans="1:18" ht="30" customHeight="1" x14ac:dyDescent="0.45">
      <c r="A3981" s="9" t="s">
        <v>4</v>
      </c>
      <c r="B3981" s="10">
        <v>8261</v>
      </c>
      <c r="C3981" s="1002" t="s">
        <v>2161</v>
      </c>
      <c r="D3981" s="1003"/>
      <c r="E3981" s="13" t="s">
        <v>7</v>
      </c>
      <c r="F3981" s="14" t="s">
        <v>2162</v>
      </c>
      <c r="G3981" s="11" t="s">
        <v>6</v>
      </c>
      <c r="H3981" s="163">
        <v>573</v>
      </c>
      <c r="I3981" s="13" t="s">
        <v>9</v>
      </c>
      <c r="J3981" s="985" t="s">
        <v>276</v>
      </c>
      <c r="K3981" s="985"/>
      <c r="L3981" s="986"/>
      <c r="M3981" s="25"/>
      <c r="N3981" s="26"/>
      <c r="O3981" s="2"/>
      <c r="P3981" s="27"/>
      <c r="Q3981" s="26"/>
      <c r="R3981" s="28"/>
    </row>
    <row r="3982" spans="1:18" ht="30" customHeight="1" x14ac:dyDescent="0.45">
      <c r="A3982" s="85" t="s">
        <v>277</v>
      </c>
      <c r="B3982" s="987" t="s">
        <v>293</v>
      </c>
      <c r="C3982" s="988"/>
      <c r="D3982" s="989"/>
      <c r="E3982" s="220" t="s">
        <v>13</v>
      </c>
      <c r="F3982" s="220" t="s">
        <v>14</v>
      </c>
      <c r="G3982" s="990" t="s">
        <v>15</v>
      </c>
      <c r="H3982" s="991"/>
      <c r="I3982" s="19" t="s">
        <v>1316</v>
      </c>
      <c r="J3982" s="19" t="s">
        <v>278</v>
      </c>
      <c r="K3982" s="23" t="s">
        <v>17</v>
      </c>
      <c r="L3982" s="24"/>
      <c r="M3982" s="25"/>
      <c r="N3982" s="26"/>
      <c r="O3982" s="2"/>
      <c r="P3982" s="27"/>
      <c r="Q3982" s="26"/>
      <c r="R3982" s="28"/>
    </row>
    <row r="3983" spans="1:18" ht="30" customHeight="1" x14ac:dyDescent="0.45">
      <c r="A3983" s="47" t="s">
        <v>2163</v>
      </c>
      <c r="B3983" s="1111" t="s">
        <v>2164</v>
      </c>
      <c r="C3983" s="1112"/>
      <c r="D3983" s="1113"/>
      <c r="E3983" s="378">
        <v>4950</v>
      </c>
      <c r="F3983" s="56" t="s">
        <v>2162</v>
      </c>
      <c r="G3983" s="348"/>
      <c r="H3983" s="349"/>
      <c r="I3983" s="58"/>
      <c r="J3983" s="47">
        <v>1.27</v>
      </c>
      <c r="K3983" s="378">
        <f>+E3983*J3983</f>
        <v>6286.5</v>
      </c>
      <c r="L3983" s="56" t="s">
        <v>2162</v>
      </c>
      <c r="M3983" s="25"/>
      <c r="N3983" s="26"/>
      <c r="O3983" s="2"/>
      <c r="P3983" s="27"/>
      <c r="Q3983" s="26"/>
      <c r="R3983" s="28"/>
    </row>
    <row r="3984" spans="1:18" ht="30" customHeight="1" x14ac:dyDescent="0.45">
      <c r="A3984" s="426"/>
      <c r="B3984" s="1030"/>
      <c r="C3984" s="1030"/>
      <c r="D3984" s="1030"/>
      <c r="E3984" s="221"/>
      <c r="F3984" s="47"/>
      <c r="G3984" s="47"/>
      <c r="H3984" s="47"/>
      <c r="I3984" s="47"/>
      <c r="J3984" s="47" t="s">
        <v>38</v>
      </c>
      <c r="K3984" s="221">
        <f>AVERAGE(K3983:K3983)</f>
        <v>6286.5</v>
      </c>
      <c r="L3984" s="47" t="s">
        <v>2162</v>
      </c>
      <c r="M3984" s="25"/>
      <c r="N3984" s="26"/>
      <c r="O3984" s="2"/>
      <c r="P3984" s="27"/>
      <c r="Q3984" s="26"/>
      <c r="R3984" s="28"/>
    </row>
    <row r="3985" spans="1:18" ht="30" customHeight="1" x14ac:dyDescent="0.45">
      <c r="A3985" s="47"/>
      <c r="B3985" s="224"/>
      <c r="C3985" s="224"/>
      <c r="D3985" s="224"/>
      <c r="E3985" s="221"/>
      <c r="F3985" s="1011" t="s">
        <v>285</v>
      </c>
      <c r="G3985" s="1013" t="s">
        <v>286</v>
      </c>
      <c r="H3985" s="1013"/>
      <c r="I3985" s="1013"/>
      <c r="J3985" s="1013"/>
      <c r="K3985" s="278">
        <v>1.06</v>
      </c>
      <c r="L3985" s="47"/>
      <c r="M3985" s="25"/>
      <c r="N3985" s="26"/>
      <c r="O3985" s="2"/>
      <c r="P3985" s="27"/>
      <c r="Q3985" s="26"/>
      <c r="R3985" s="28"/>
    </row>
    <row r="3986" spans="1:18" ht="30" customHeight="1" x14ac:dyDescent="0.45">
      <c r="A3986" s="47"/>
      <c r="B3986" s="224"/>
      <c r="C3986" s="224"/>
      <c r="D3986" s="224"/>
      <c r="E3986" s="221"/>
      <c r="F3986" s="1012"/>
      <c r="G3986" s="1014" t="s">
        <v>287</v>
      </c>
      <c r="H3986" s="1014"/>
      <c r="I3986" s="1014"/>
      <c r="J3986" s="1014"/>
      <c r="K3986" s="278">
        <v>1.05</v>
      </c>
      <c r="L3986" s="47"/>
      <c r="M3986" s="25"/>
      <c r="N3986" s="26"/>
      <c r="O3986" s="2"/>
      <c r="P3986" s="27"/>
      <c r="Q3986" s="26"/>
      <c r="R3986" s="28"/>
    </row>
    <row r="3987" spans="1:18" ht="30" customHeight="1" x14ac:dyDescent="0.45">
      <c r="A3987" s="47"/>
      <c r="B3987" s="47"/>
      <c r="C3987" s="58"/>
      <c r="D3987" s="58"/>
      <c r="E3987" s="58"/>
      <c r="F3987" s="58"/>
      <c r="G3987" s="58"/>
      <c r="H3987" s="58"/>
      <c r="I3987" s="58"/>
      <c r="J3987" s="47" t="s">
        <v>39</v>
      </c>
      <c r="K3987" s="216">
        <f>+K3984*K3985/K3986</f>
        <v>6346.3714285714286</v>
      </c>
      <c r="L3987" s="47" t="s">
        <v>2162</v>
      </c>
      <c r="M3987" s="25"/>
      <c r="N3987" s="26"/>
      <c r="O3987" s="2"/>
      <c r="P3987" s="27"/>
      <c r="Q3987" s="26"/>
      <c r="R3987" s="28"/>
    </row>
    <row r="3988" spans="1:18" ht="30" customHeight="1" thickBot="1" x14ac:dyDescent="0.5">
      <c r="A3988" s="47"/>
      <c r="B3988" s="47"/>
      <c r="C3988" s="58"/>
      <c r="D3988" s="58"/>
      <c r="E3988" s="58"/>
      <c r="F3988" s="58"/>
      <c r="G3988" s="1032" t="s">
        <v>288</v>
      </c>
      <c r="H3988" s="1033"/>
      <c r="I3988" s="1034"/>
      <c r="J3988" s="213">
        <f>VLOOKUP(B3981,'[1]Mil Cost Premiums for PUCs'!$A$4:$R$278,18,FALSE)</f>
        <v>1.0905505199999999</v>
      </c>
      <c r="K3988" s="216">
        <f>+K3987*J3988</f>
        <v>6921.0386615417137</v>
      </c>
      <c r="L3988" s="47" t="s">
        <v>2162</v>
      </c>
      <c r="M3988" s="25"/>
      <c r="N3988" s="26"/>
      <c r="O3988" s="2"/>
      <c r="P3988" s="27"/>
      <c r="Q3988" s="26"/>
      <c r="R3988" s="28"/>
    </row>
    <row r="3989" spans="1:18" ht="30" customHeight="1" thickBot="1" x14ac:dyDescent="0.5">
      <c r="A3989" s="999"/>
      <c r="B3989" s="1000"/>
      <c r="C3989" s="1000"/>
      <c r="D3989" s="1000"/>
      <c r="E3989" s="1000"/>
      <c r="F3989" s="1000"/>
      <c r="G3989" s="1000"/>
      <c r="H3989" s="1000"/>
      <c r="I3989" s="1000"/>
      <c r="J3989" s="1000"/>
      <c r="K3989" s="1000"/>
      <c r="L3989" s="1001"/>
      <c r="M3989" s="25"/>
      <c r="N3989" s="26"/>
      <c r="O3989" s="2"/>
      <c r="P3989" s="27"/>
      <c r="Q3989" s="26"/>
      <c r="R3989" s="28"/>
    </row>
    <row r="3990" spans="1:18" ht="30" customHeight="1" x14ac:dyDescent="0.45">
      <c r="A3990" s="9" t="s">
        <v>4</v>
      </c>
      <c r="B3990" s="10">
        <v>8271</v>
      </c>
      <c r="C3990" s="1138" t="s">
        <v>2165</v>
      </c>
      <c r="D3990" s="1139"/>
      <c r="E3990" s="13" t="s">
        <v>7</v>
      </c>
      <c r="F3990" s="14" t="s">
        <v>113</v>
      </c>
      <c r="G3990" s="11" t="s">
        <v>6</v>
      </c>
      <c r="H3990" s="713">
        <v>8018</v>
      </c>
      <c r="I3990" s="13" t="s">
        <v>9</v>
      </c>
      <c r="J3990" s="985" t="s">
        <v>575</v>
      </c>
      <c r="K3990" s="985"/>
      <c r="L3990" s="986"/>
      <c r="M3990" s="25"/>
      <c r="N3990" s="26"/>
      <c r="O3990" s="2"/>
    </row>
    <row r="3991" spans="1:18" ht="30" customHeight="1" x14ac:dyDescent="0.45">
      <c r="A3991" s="85" t="s">
        <v>277</v>
      </c>
      <c r="B3991" s="987" t="s">
        <v>293</v>
      </c>
      <c r="C3991" s="988"/>
      <c r="D3991" s="989"/>
      <c r="E3991" s="220" t="s">
        <v>13</v>
      </c>
      <c r="F3991" s="220" t="s">
        <v>14</v>
      </c>
      <c r="G3991" s="990" t="s">
        <v>15</v>
      </c>
      <c r="H3991" s="991"/>
      <c r="I3991" s="19" t="s">
        <v>278</v>
      </c>
      <c r="J3991" s="19"/>
      <c r="K3991" s="23" t="s">
        <v>17</v>
      </c>
      <c r="L3991" s="24"/>
      <c r="M3991" s="25"/>
      <c r="O3991" s="2"/>
    </row>
    <row r="3992" spans="1:18" ht="30" customHeight="1" x14ac:dyDescent="0.45">
      <c r="A3992" s="47" t="s">
        <v>2151</v>
      </c>
      <c r="B3992" s="1018" t="s">
        <v>2166</v>
      </c>
      <c r="C3992" s="1019"/>
      <c r="D3992" s="1020"/>
      <c r="E3992" s="378">
        <f>+(51+58)/2</f>
        <v>54.5</v>
      </c>
      <c r="F3992" s="56" t="s">
        <v>113</v>
      </c>
      <c r="G3992" s="348"/>
      <c r="H3992" s="349"/>
      <c r="I3992" s="47">
        <v>1.06</v>
      </c>
      <c r="J3992" s="56"/>
      <c r="K3992" s="216">
        <f>+E3992*I3992</f>
        <v>57.77</v>
      </c>
      <c r="L3992" s="56" t="s">
        <v>113</v>
      </c>
      <c r="M3992" s="25"/>
      <c r="N3992" s="491"/>
      <c r="O3992" s="2"/>
    </row>
    <row r="3993" spans="1:18" ht="30" customHeight="1" x14ac:dyDescent="0.45">
      <c r="A3993" s="47" t="s">
        <v>2151</v>
      </c>
      <c r="B3993" s="1008" t="s">
        <v>2167</v>
      </c>
      <c r="C3993" s="1009"/>
      <c r="D3993" s="1010"/>
      <c r="E3993" s="378">
        <f>+(51+58)/2</f>
        <v>54.5</v>
      </c>
      <c r="F3993" s="56" t="s">
        <v>113</v>
      </c>
      <c r="G3993" s="807"/>
      <c r="H3993" s="716"/>
      <c r="I3993" s="47">
        <v>1.06</v>
      </c>
      <c r="J3993" s="47"/>
      <c r="K3993" s="378">
        <f>+K3992</f>
        <v>57.77</v>
      </c>
      <c r="L3993" s="56" t="s">
        <v>113</v>
      </c>
      <c r="M3993" s="25"/>
      <c r="N3993" s="491"/>
      <c r="O3993" s="2"/>
    </row>
    <row r="3994" spans="1:18" ht="30" customHeight="1" x14ac:dyDescent="0.45">
      <c r="A3994" s="47" t="s">
        <v>624</v>
      </c>
      <c r="B3994" s="1008" t="s">
        <v>2168</v>
      </c>
      <c r="C3994" s="1009"/>
      <c r="D3994" s="1010"/>
      <c r="E3994" s="221">
        <f>+(2925+4925)/2</f>
        <v>3925</v>
      </c>
      <c r="F3994" s="222" t="s">
        <v>88</v>
      </c>
      <c r="G3994" s="478">
        <v>316</v>
      </c>
      <c r="H3994" s="351" t="s">
        <v>310</v>
      </c>
      <c r="I3994" s="47">
        <v>1.06</v>
      </c>
      <c r="J3994" s="56"/>
      <c r="K3994" s="298">
        <f>+E3994/G3994*I3994</f>
        <v>13.166139240506331</v>
      </c>
      <c r="L3994" s="47" t="s">
        <v>113</v>
      </c>
      <c r="M3994" s="25"/>
      <c r="O3994" s="2"/>
    </row>
    <row r="3995" spans="1:18" ht="30" customHeight="1" x14ac:dyDescent="0.45">
      <c r="A3995" s="426"/>
      <c r="B3995" s="1030"/>
      <c r="C3995" s="1030"/>
      <c r="D3995" s="1030"/>
      <c r="E3995" s="221"/>
      <c r="F3995" s="47"/>
      <c r="G3995" s="56"/>
      <c r="H3995" s="56"/>
      <c r="I3995" s="47"/>
      <c r="J3995" s="47" t="s">
        <v>38</v>
      </c>
      <c r="K3995" s="221">
        <f>+K3992+K3993+K3994</f>
        <v>128.70613924050633</v>
      </c>
      <c r="L3995" s="47" t="s">
        <v>113</v>
      </c>
      <c r="M3995" s="25"/>
      <c r="O3995" s="2"/>
    </row>
    <row r="3996" spans="1:18" ht="30" customHeight="1" x14ac:dyDescent="0.45">
      <c r="A3996" s="47"/>
      <c r="B3996" s="224"/>
      <c r="C3996" s="224"/>
      <c r="D3996" s="224"/>
      <c r="E3996" s="221"/>
      <c r="F3996" s="1011" t="s">
        <v>285</v>
      </c>
      <c r="G3996" s="1013" t="s">
        <v>286</v>
      </c>
      <c r="H3996" s="1013"/>
      <c r="I3996" s="1013"/>
      <c r="J3996" s="1013"/>
      <c r="K3996" s="278">
        <v>1.07</v>
      </c>
      <c r="L3996" s="47"/>
      <c r="M3996" s="25"/>
      <c r="O3996" s="2"/>
    </row>
    <row r="3997" spans="1:18" ht="30" customHeight="1" x14ac:dyDescent="0.45">
      <c r="A3997" s="47"/>
      <c r="B3997" s="224"/>
      <c r="C3997" s="224"/>
      <c r="D3997" s="224"/>
      <c r="E3997" s="221"/>
      <c r="F3997" s="1012"/>
      <c r="G3997" s="1014" t="s">
        <v>580</v>
      </c>
      <c r="H3997" s="1014"/>
      <c r="I3997" s="1014"/>
      <c r="J3997" s="1014"/>
      <c r="K3997" s="278">
        <v>1.08</v>
      </c>
      <c r="L3997" s="278"/>
      <c r="M3997" s="25"/>
      <c r="O3997" s="2"/>
    </row>
    <row r="3998" spans="1:18" ht="30" customHeight="1" x14ac:dyDescent="0.45">
      <c r="A3998" s="47"/>
      <c r="B3998" s="47"/>
      <c r="C3998" s="58"/>
      <c r="D3998" s="58"/>
      <c r="E3998" s="58"/>
      <c r="F3998" s="58"/>
      <c r="G3998" s="58"/>
      <c r="H3998" s="58"/>
      <c r="I3998" s="58"/>
      <c r="J3998" s="47" t="s">
        <v>39</v>
      </c>
      <c r="K3998" s="216">
        <f>+K3995*K3996/K3997</f>
        <v>127.51441572902016</v>
      </c>
      <c r="L3998" s="47" t="s">
        <v>113</v>
      </c>
      <c r="M3998" s="25"/>
      <c r="O3998" s="2"/>
      <c r="P3998" s="27"/>
      <c r="Q3998" s="26"/>
      <c r="R3998" s="28"/>
    </row>
    <row r="3999" spans="1:18" ht="30" customHeight="1" x14ac:dyDescent="0.45">
      <c r="A3999" s="47"/>
      <c r="B3999" s="47"/>
      <c r="C3999" s="58"/>
      <c r="D3999" s="58"/>
      <c r="E3999" s="58"/>
      <c r="F3999" s="58"/>
      <c r="G3999" s="1021" t="s">
        <v>288</v>
      </c>
      <c r="H3999" s="1022"/>
      <c r="I3999" s="1023"/>
      <c r="J3999" s="213">
        <f>VLOOKUP(B3990,'[1]Mil Cost Premiums for PUCs'!$A$4:$R$278,18,FALSE)</f>
        <v>1.0905505199999999</v>
      </c>
      <c r="K3999" s="216">
        <f>+K3998*J3999</f>
        <v>139.06091238077909</v>
      </c>
      <c r="L3999" s="47" t="s">
        <v>113</v>
      </c>
      <c r="M3999" s="25"/>
      <c r="O3999" s="2"/>
      <c r="P3999" s="27"/>
      <c r="Q3999" s="26"/>
      <c r="R3999" s="28"/>
    </row>
    <row r="4000" spans="1:18" ht="30" customHeight="1" x14ac:dyDescent="0.45">
      <c r="A4000" s="541"/>
      <c r="B4000" s="541"/>
      <c r="C4000" s="542"/>
      <c r="D4000" s="542"/>
      <c r="E4000" s="542"/>
      <c r="F4000" s="1024" t="s">
        <v>581</v>
      </c>
      <c r="G4000" s="1024"/>
      <c r="H4000" s="1024"/>
      <c r="I4000" s="1024"/>
      <c r="J4000" s="756">
        <v>1.0833999999999999</v>
      </c>
      <c r="K4000" s="757">
        <f>K3999*J4000</f>
        <v>150.65859247333606</v>
      </c>
      <c r="L4000" s="47" t="s">
        <v>113</v>
      </c>
      <c r="M4000" s="25"/>
      <c r="N4000" s="3"/>
      <c r="O4000" s="2"/>
      <c r="P4000" s="27"/>
      <c r="Q4000" s="26"/>
      <c r="R4000" s="28"/>
    </row>
    <row r="4001" spans="1:18" ht="30" customHeight="1" thickBot="1" x14ac:dyDescent="0.5">
      <c r="A4001" s="225"/>
      <c r="B4001" s="225"/>
      <c r="C4001" s="150"/>
      <c r="D4001" s="150"/>
      <c r="E4001" s="150"/>
      <c r="F4001" s="150"/>
      <c r="G4001" s="1025" t="s">
        <v>299</v>
      </c>
      <c r="H4001" s="1026"/>
      <c r="I4001" s="1027"/>
      <c r="J4001" s="226">
        <v>1.1214</v>
      </c>
      <c r="K4001" s="227">
        <f>+K4000*J4001</f>
        <v>168.94854559959904</v>
      </c>
      <c r="L4001" s="47" t="s">
        <v>113</v>
      </c>
      <c r="M4001" s="25"/>
    </row>
    <row r="4002" spans="1:18" ht="30" customHeight="1" thickBot="1" x14ac:dyDescent="0.5">
      <c r="A4002" s="999"/>
      <c r="B4002" s="1000"/>
      <c r="C4002" s="1000"/>
      <c r="D4002" s="1000"/>
      <c r="E4002" s="1000"/>
      <c r="F4002" s="1000"/>
      <c r="G4002" s="1000"/>
      <c r="H4002" s="1000"/>
      <c r="I4002" s="1000"/>
      <c r="J4002" s="1000"/>
      <c r="K4002" s="1000"/>
      <c r="L4002" s="1001"/>
      <c r="M4002" s="25"/>
      <c r="N4002" s="26"/>
      <c r="O4002" s="2"/>
      <c r="P4002" s="27"/>
      <c r="Q4002" s="26"/>
      <c r="R4002" s="28"/>
    </row>
    <row r="4003" spans="1:18" ht="30" customHeight="1" x14ac:dyDescent="0.45">
      <c r="A4003" s="9" t="s">
        <v>4</v>
      </c>
      <c r="B4003" s="10">
        <v>8311</v>
      </c>
      <c r="C4003" s="983" t="s">
        <v>2169</v>
      </c>
      <c r="D4003" s="984"/>
      <c r="E4003" s="13" t="s">
        <v>7</v>
      </c>
      <c r="F4003" s="14" t="s">
        <v>2170</v>
      </c>
      <c r="G4003" s="11" t="s">
        <v>6</v>
      </c>
      <c r="H4003" s="163">
        <v>978.84475716440397</v>
      </c>
      <c r="I4003" s="13" t="s">
        <v>9</v>
      </c>
      <c r="J4003" s="985" t="s">
        <v>1252</v>
      </c>
      <c r="K4003" s="985"/>
      <c r="L4003" s="986"/>
      <c r="M4003" s="25"/>
      <c r="N4003" s="3"/>
      <c r="O4003" s="2"/>
      <c r="P4003" s="27"/>
      <c r="Q4003" s="26"/>
      <c r="R4003" s="28"/>
    </row>
    <row r="4004" spans="1:18" ht="30" customHeight="1" x14ac:dyDescent="0.45">
      <c r="A4004" s="85" t="s">
        <v>277</v>
      </c>
      <c r="B4004" s="987" t="s">
        <v>293</v>
      </c>
      <c r="C4004" s="988"/>
      <c r="D4004" s="989"/>
      <c r="E4004" s="220" t="s">
        <v>13</v>
      </c>
      <c r="F4004" s="220" t="s">
        <v>14</v>
      </c>
      <c r="G4004" s="990" t="s">
        <v>15</v>
      </c>
      <c r="H4004" s="991"/>
      <c r="I4004" s="19" t="s">
        <v>278</v>
      </c>
      <c r="J4004" s="19" t="s">
        <v>16</v>
      </c>
      <c r="K4004" s="23" t="s">
        <v>17</v>
      </c>
      <c r="L4004" s="24"/>
      <c r="M4004" s="25"/>
      <c r="O4004" s="2"/>
      <c r="P4004" s="27"/>
      <c r="Q4004" s="26"/>
      <c r="R4004" s="28"/>
    </row>
    <row r="4005" spans="1:18" ht="30" customHeight="1" x14ac:dyDescent="0.45">
      <c r="A4005" s="47" t="s">
        <v>1254</v>
      </c>
      <c r="B4005" s="1018" t="s">
        <v>2171</v>
      </c>
      <c r="C4005" s="1019"/>
      <c r="D4005" s="1020"/>
      <c r="E4005" s="378">
        <f>+(4.11+8.55)/2</f>
        <v>6.33</v>
      </c>
      <c r="F4005" s="56" t="s">
        <v>2172</v>
      </c>
      <c r="G4005" s="348">
        <v>1000</v>
      </c>
      <c r="H4005" s="349" t="s">
        <v>2173</v>
      </c>
      <c r="I4005" s="47">
        <v>1.05</v>
      </c>
      <c r="J4005" s="681">
        <f>+'[1]2023 MILCON Inflation Table'!F14</f>
        <v>1.3545159367405897</v>
      </c>
      <c r="K4005" s="216">
        <f>+E4005*G4005*I4005*J4005</f>
        <v>9002.7901735463292</v>
      </c>
      <c r="L4005" s="56" t="s">
        <v>2170</v>
      </c>
      <c r="M4005" s="25"/>
      <c r="O4005" s="2"/>
      <c r="P4005" s="27"/>
      <c r="Q4005" s="26"/>
      <c r="R4005" s="28"/>
    </row>
    <row r="4006" spans="1:18" ht="30" customHeight="1" x14ac:dyDescent="0.45">
      <c r="A4006" s="47"/>
      <c r="B4006" s="224"/>
      <c r="C4006" s="224"/>
      <c r="D4006" s="224"/>
      <c r="E4006" s="221"/>
      <c r="F4006" s="1011" t="s">
        <v>285</v>
      </c>
      <c r="G4006" s="1013" t="s">
        <v>286</v>
      </c>
      <c r="H4006" s="1013"/>
      <c r="I4006" s="1013"/>
      <c r="J4006" s="1013"/>
      <c r="K4006" s="278">
        <v>1.06</v>
      </c>
      <c r="L4006" s="47"/>
      <c r="M4006" s="25"/>
      <c r="O4006" s="2"/>
      <c r="P4006" s="27"/>
      <c r="Q4006" s="26"/>
      <c r="R4006" s="28"/>
    </row>
    <row r="4007" spans="1:18" ht="30" customHeight="1" x14ac:dyDescent="0.45">
      <c r="A4007" s="47"/>
      <c r="B4007" s="224"/>
      <c r="C4007" s="224"/>
      <c r="D4007" s="224"/>
      <c r="E4007" s="221"/>
      <c r="F4007" s="1012"/>
      <c r="G4007" s="1014" t="s">
        <v>287</v>
      </c>
      <c r="H4007" s="1014"/>
      <c r="I4007" s="1014"/>
      <c r="J4007" s="1014"/>
      <c r="K4007" s="278">
        <v>1.05</v>
      </c>
      <c r="L4007" s="47"/>
      <c r="M4007" s="25"/>
      <c r="N4007" s="26"/>
      <c r="O4007" s="2"/>
      <c r="P4007" s="27"/>
      <c r="Q4007" s="26"/>
      <c r="R4007" s="28"/>
    </row>
    <row r="4008" spans="1:18" ht="30" customHeight="1" x14ac:dyDescent="0.45">
      <c r="A4008" s="47"/>
      <c r="B4008" s="197"/>
      <c r="C4008" s="198"/>
      <c r="D4008" s="199"/>
      <c r="E4008" s="378"/>
      <c r="F4008" s="56"/>
      <c r="G4008" s="806"/>
      <c r="H4008" s="349"/>
      <c r="I4008" s="47"/>
      <c r="J4008" s="47" t="s">
        <v>39</v>
      </c>
      <c r="K4008" s="216">
        <f>+K4005*K4006/K4007</f>
        <v>9088.531032342009</v>
      </c>
      <c r="L4008" s="47" t="s">
        <v>2170</v>
      </c>
      <c r="M4008" s="25"/>
      <c r="N4008" s="26"/>
      <c r="O4008" s="2"/>
      <c r="P4008" s="27"/>
      <c r="Q4008" s="26"/>
      <c r="R4008" s="28"/>
    </row>
    <row r="4009" spans="1:18" ht="30" customHeight="1" thickBot="1" x14ac:dyDescent="0.5">
      <c r="A4009" s="211"/>
      <c r="B4009" s="644"/>
      <c r="C4009" s="644"/>
      <c r="D4009" s="644"/>
      <c r="E4009" s="646"/>
      <c r="G4009" s="808"/>
      <c r="I4009" s="600" t="s">
        <v>288</v>
      </c>
      <c r="J4009" s="213">
        <f>VLOOKUP(B4003,'[1]Mil Cost Premiums for PUCs'!$A$4:$R$278,18,FALSE)</f>
        <v>1.1199953840399997</v>
      </c>
      <c r="K4009" s="216">
        <f>+K4008*J4009</f>
        <v>10179.112803927343</v>
      </c>
      <c r="L4009" s="47" t="s">
        <v>2170</v>
      </c>
      <c r="M4009" s="25"/>
      <c r="N4009" s="26"/>
      <c r="O4009" s="2"/>
      <c r="P4009" s="27"/>
      <c r="Q4009" s="26"/>
      <c r="R4009" s="28"/>
    </row>
    <row r="4010" spans="1:18" ht="30" customHeight="1" thickBot="1" x14ac:dyDescent="0.5">
      <c r="A4010" s="999"/>
      <c r="B4010" s="1000"/>
      <c r="C4010" s="1000"/>
      <c r="D4010" s="1000"/>
      <c r="E4010" s="1000"/>
      <c r="F4010" s="1000"/>
      <c r="G4010" s="1000"/>
      <c r="H4010" s="1000"/>
      <c r="I4010" s="1000"/>
      <c r="J4010" s="1000"/>
      <c r="K4010" s="1000"/>
      <c r="L4010" s="1001"/>
      <c r="M4010" s="25"/>
      <c r="N4010" s="26"/>
      <c r="O4010" s="2"/>
      <c r="P4010" s="27"/>
      <c r="Q4010" s="26"/>
      <c r="R4010" s="28"/>
    </row>
    <row r="4011" spans="1:18" ht="30" customHeight="1" x14ac:dyDescent="0.45">
      <c r="A4011" s="9" t="s">
        <v>4</v>
      </c>
      <c r="B4011" s="10">
        <v>8312</v>
      </c>
      <c r="C4011" s="983" t="s">
        <v>2174</v>
      </c>
      <c r="D4011" s="984"/>
      <c r="E4011" s="13" t="s">
        <v>7</v>
      </c>
      <c r="F4011" s="14" t="s">
        <v>2170</v>
      </c>
      <c r="G4011" s="11" t="s">
        <v>6</v>
      </c>
      <c r="H4011" s="163">
        <v>494</v>
      </c>
      <c r="I4011" s="13" t="s">
        <v>9</v>
      </c>
      <c r="J4011" s="985" t="s">
        <v>1252</v>
      </c>
      <c r="K4011" s="985"/>
      <c r="L4011" s="986"/>
      <c r="M4011" s="25"/>
      <c r="N4011" s="26"/>
      <c r="O4011" s="2"/>
      <c r="P4011" s="27"/>
      <c r="Q4011" s="26"/>
      <c r="R4011" s="28"/>
    </row>
    <row r="4012" spans="1:18" ht="30" customHeight="1" x14ac:dyDescent="0.45">
      <c r="A4012" s="85" t="s">
        <v>277</v>
      </c>
      <c r="B4012" s="987" t="s">
        <v>293</v>
      </c>
      <c r="C4012" s="988"/>
      <c r="D4012" s="989"/>
      <c r="E4012" s="220" t="s">
        <v>13</v>
      </c>
      <c r="F4012" s="220" t="s">
        <v>14</v>
      </c>
      <c r="G4012" s="990" t="s">
        <v>15</v>
      </c>
      <c r="H4012" s="991"/>
      <c r="I4012" s="19" t="s">
        <v>278</v>
      </c>
      <c r="J4012" s="19" t="s">
        <v>16</v>
      </c>
      <c r="K4012" s="23" t="s">
        <v>17</v>
      </c>
      <c r="L4012" s="24"/>
      <c r="N4012" s="26"/>
      <c r="O4012" s="2"/>
      <c r="P4012" s="27"/>
      <c r="Q4012" s="26"/>
      <c r="R4012" s="28"/>
    </row>
    <row r="4013" spans="1:18" ht="30" customHeight="1" x14ac:dyDescent="0.45">
      <c r="A4013" s="47" t="s">
        <v>1254</v>
      </c>
      <c r="B4013" s="1018" t="s">
        <v>2175</v>
      </c>
      <c r="C4013" s="1019"/>
      <c r="D4013" s="1020"/>
      <c r="E4013" s="378">
        <v>9.31</v>
      </c>
      <c r="F4013" s="56" t="s">
        <v>2172</v>
      </c>
      <c r="G4013" s="348">
        <v>1000</v>
      </c>
      <c r="H4013" s="349" t="s">
        <v>2173</v>
      </c>
      <c r="I4013" s="47">
        <v>1.05</v>
      </c>
      <c r="J4013" s="681">
        <f>+'[1]2023 MILCON Inflation Table'!F14</f>
        <v>1.3545159367405897</v>
      </c>
      <c r="K4013" s="216">
        <f>+E4013*G4013*I4013*J4013</f>
        <v>13241.070539607634</v>
      </c>
      <c r="L4013" s="56" t="s">
        <v>2170</v>
      </c>
      <c r="M4013" s="25"/>
      <c r="N4013" s="26"/>
      <c r="O4013" s="2"/>
      <c r="P4013" s="27"/>
      <c r="Q4013" s="26"/>
      <c r="R4013" s="28"/>
    </row>
    <row r="4014" spans="1:18" ht="30" customHeight="1" x14ac:dyDescent="0.45">
      <c r="A4014" s="47"/>
      <c r="B4014" s="224"/>
      <c r="C4014" s="224"/>
      <c r="D4014" s="224"/>
      <c r="E4014" s="221"/>
      <c r="F4014" s="1011" t="s">
        <v>285</v>
      </c>
      <c r="G4014" s="1013" t="s">
        <v>286</v>
      </c>
      <c r="H4014" s="1013"/>
      <c r="I4014" s="1013"/>
      <c r="J4014" s="1013"/>
      <c r="K4014" s="278">
        <v>1.06</v>
      </c>
      <c r="L4014" s="47"/>
      <c r="M4014" s="25"/>
      <c r="N4014" s="491"/>
      <c r="O4014" s="2"/>
      <c r="P4014" s="27"/>
      <c r="Q4014" s="26"/>
      <c r="R4014" s="28"/>
    </row>
    <row r="4015" spans="1:18" ht="30" customHeight="1" x14ac:dyDescent="0.45">
      <c r="A4015" s="47"/>
      <c r="B4015" s="224"/>
      <c r="C4015" s="224"/>
      <c r="D4015" s="224"/>
      <c r="E4015" s="221"/>
      <c r="F4015" s="1012"/>
      <c r="G4015" s="1014" t="s">
        <v>287</v>
      </c>
      <c r="H4015" s="1014"/>
      <c r="I4015" s="1014"/>
      <c r="J4015" s="1014"/>
      <c r="K4015" s="278">
        <v>1.05</v>
      </c>
      <c r="L4015" s="47"/>
      <c r="M4015" s="25"/>
      <c r="N4015" s="491"/>
      <c r="O4015" s="2"/>
      <c r="P4015" s="27"/>
      <c r="Q4015" s="26"/>
      <c r="R4015" s="28"/>
    </row>
    <row r="4016" spans="1:18" ht="30" customHeight="1" x14ac:dyDescent="0.45">
      <c r="A4016" s="47"/>
      <c r="B4016" s="224"/>
      <c r="C4016" s="224"/>
      <c r="D4016" s="224"/>
      <c r="E4016" s="378"/>
      <c r="F4016" s="56"/>
      <c r="G4016" s="806"/>
      <c r="H4016" s="349"/>
      <c r="I4016" s="47"/>
      <c r="J4016" s="47" t="s">
        <v>39</v>
      </c>
      <c r="K4016" s="216">
        <f>+K4013*K4014/K4015</f>
        <v>13367.175973318183</v>
      </c>
      <c r="L4016" s="47" t="s">
        <v>2170</v>
      </c>
      <c r="M4016" s="25"/>
      <c r="N4016" s="26"/>
      <c r="O4016" s="2"/>
      <c r="P4016" s="27"/>
      <c r="Q4016" s="26"/>
      <c r="R4016" s="28"/>
    </row>
    <row r="4017" spans="1:18" ht="30" customHeight="1" thickBot="1" x14ac:dyDescent="0.5">
      <c r="A4017" s="47"/>
      <c r="B4017" s="47"/>
      <c r="C4017" s="58"/>
      <c r="D4017" s="58"/>
      <c r="E4017" s="58"/>
      <c r="F4017" s="58"/>
      <c r="G4017" s="1032" t="s">
        <v>288</v>
      </c>
      <c r="H4017" s="1033"/>
      <c r="I4017" s="1034"/>
      <c r="J4017" s="213">
        <f>VLOOKUP(B4011,'[1]Mil Cost Premiums for PUCs'!$A$4:$R$278,18,FALSE)</f>
        <v>1.1199953840399997</v>
      </c>
      <c r="K4017" s="216">
        <f>+K4016*J4017</f>
        <v>14971.175387766754</v>
      </c>
      <c r="L4017" s="47" t="s">
        <v>2170</v>
      </c>
      <c r="M4017" s="25"/>
      <c r="N4017" s="26"/>
      <c r="O4017" s="2"/>
      <c r="P4017" s="27"/>
      <c r="Q4017" s="26"/>
      <c r="R4017" s="28"/>
    </row>
    <row r="4018" spans="1:18" ht="30" customHeight="1" thickBot="1" x14ac:dyDescent="0.5">
      <c r="A4018" s="999"/>
      <c r="B4018" s="1000"/>
      <c r="C4018" s="1000"/>
      <c r="D4018" s="1000"/>
      <c r="E4018" s="1000"/>
      <c r="F4018" s="1000"/>
      <c r="G4018" s="1000"/>
      <c r="H4018" s="1000"/>
      <c r="I4018" s="1000"/>
      <c r="J4018" s="1000"/>
      <c r="K4018" s="1000"/>
      <c r="L4018" s="1001"/>
      <c r="M4018" s="25"/>
      <c r="N4018" s="26"/>
      <c r="O4018" s="2"/>
      <c r="P4018" s="27"/>
      <c r="Q4018" s="26"/>
      <c r="R4018" s="28"/>
    </row>
    <row r="4019" spans="1:18" ht="30" customHeight="1" x14ac:dyDescent="0.45">
      <c r="A4019" s="9" t="s">
        <v>4</v>
      </c>
      <c r="B4019" s="10">
        <v>8313</v>
      </c>
      <c r="C4019" s="983" t="s">
        <v>2176</v>
      </c>
      <c r="D4019" s="984"/>
      <c r="E4019" s="13" t="s">
        <v>7</v>
      </c>
      <c r="F4019" s="14" t="s">
        <v>2170</v>
      </c>
      <c r="G4019" s="11" t="s">
        <v>6</v>
      </c>
      <c r="H4019" s="163">
        <v>406</v>
      </c>
      <c r="I4019" s="13" t="s">
        <v>9</v>
      </c>
      <c r="J4019" s="985" t="s">
        <v>575</v>
      </c>
      <c r="K4019" s="985"/>
      <c r="L4019" s="986"/>
      <c r="M4019" s="25"/>
      <c r="N4019" s="26"/>
      <c r="O4019" s="2"/>
      <c r="P4019" s="27"/>
      <c r="Q4019" s="26"/>
      <c r="R4019" s="28"/>
    </row>
    <row r="4020" spans="1:18" ht="30" customHeight="1" x14ac:dyDescent="0.45">
      <c r="A4020" s="85" t="s">
        <v>277</v>
      </c>
      <c r="B4020" s="987" t="s">
        <v>293</v>
      </c>
      <c r="C4020" s="988"/>
      <c r="D4020" s="989"/>
      <c r="E4020" s="220" t="s">
        <v>13</v>
      </c>
      <c r="F4020" s="220" t="s">
        <v>14</v>
      </c>
      <c r="G4020" s="990" t="s">
        <v>15</v>
      </c>
      <c r="H4020" s="991"/>
      <c r="I4020" s="19" t="s">
        <v>278</v>
      </c>
      <c r="J4020" s="19"/>
      <c r="K4020" s="23" t="s">
        <v>17</v>
      </c>
      <c r="L4020" s="24"/>
      <c r="M4020" s="25"/>
      <c r="N4020" s="26"/>
      <c r="O4020" s="2"/>
      <c r="P4020" s="27"/>
      <c r="Q4020" s="26"/>
      <c r="R4020" s="28"/>
    </row>
    <row r="4021" spans="1:18" ht="30" customHeight="1" x14ac:dyDescent="0.45">
      <c r="A4021" s="47" t="s">
        <v>2177</v>
      </c>
      <c r="B4021" s="1018" t="s">
        <v>2178</v>
      </c>
      <c r="C4021" s="1019"/>
      <c r="D4021" s="1020"/>
      <c r="E4021" s="378">
        <v>15500</v>
      </c>
      <c r="F4021" s="56" t="s">
        <v>88</v>
      </c>
      <c r="G4021" s="809">
        <f>+H4019</f>
        <v>406</v>
      </c>
      <c r="H4021" s="349" t="s">
        <v>2179</v>
      </c>
      <c r="I4021" s="365">
        <v>1.03</v>
      </c>
      <c r="J4021" s="56"/>
      <c r="K4021" s="216">
        <f>+E4021/G4021*I4021</f>
        <v>39.322660098522164</v>
      </c>
      <c r="L4021" s="56" t="s">
        <v>2170</v>
      </c>
      <c r="M4021" s="25"/>
      <c r="N4021" s="26"/>
      <c r="O4021" s="2"/>
      <c r="P4021" s="27"/>
      <c r="Q4021" s="26"/>
      <c r="R4021" s="28"/>
    </row>
    <row r="4022" spans="1:18" ht="30" customHeight="1" x14ac:dyDescent="0.45">
      <c r="A4022" s="47"/>
      <c r="B4022" s="224"/>
      <c r="C4022" s="224"/>
      <c r="D4022" s="224"/>
      <c r="E4022" s="221"/>
      <c r="F4022" s="1011" t="s">
        <v>285</v>
      </c>
      <c r="G4022" s="1013" t="s">
        <v>286</v>
      </c>
      <c r="H4022" s="1013"/>
      <c r="I4022" s="1013"/>
      <c r="J4022" s="1013"/>
      <c r="K4022" s="278">
        <v>1.07</v>
      </c>
      <c r="L4022" s="47"/>
      <c r="M4022" s="25"/>
      <c r="N4022" s="26"/>
      <c r="O4022" s="2"/>
      <c r="P4022" s="27"/>
      <c r="Q4022" s="26"/>
      <c r="R4022" s="28"/>
    </row>
    <row r="4023" spans="1:18" ht="30" customHeight="1" x14ac:dyDescent="0.45">
      <c r="A4023" s="47"/>
      <c r="B4023" s="224"/>
      <c r="C4023" s="224"/>
      <c r="D4023" s="224"/>
      <c r="E4023" s="221"/>
      <c r="F4023" s="1012"/>
      <c r="G4023" s="1014" t="s">
        <v>580</v>
      </c>
      <c r="H4023" s="1014"/>
      <c r="I4023" s="1014"/>
      <c r="J4023" s="1014"/>
      <c r="K4023" s="278">
        <v>1.08</v>
      </c>
      <c r="L4023" s="47"/>
      <c r="M4023" s="25"/>
      <c r="N4023" s="26"/>
      <c r="O4023" s="2"/>
      <c r="P4023" s="27"/>
      <c r="Q4023" s="26"/>
      <c r="R4023" s="28"/>
    </row>
    <row r="4024" spans="1:18" ht="30" customHeight="1" x14ac:dyDescent="0.45">
      <c r="A4024" s="47"/>
      <c r="B4024" s="197"/>
      <c r="C4024" s="198"/>
      <c r="D4024" s="199"/>
      <c r="E4024" s="378"/>
      <c r="F4024" s="56"/>
      <c r="G4024" s="806"/>
      <c r="H4024" s="349"/>
      <c r="I4024" s="47"/>
      <c r="J4024" s="47" t="s">
        <v>39</v>
      </c>
      <c r="K4024" s="216">
        <f>+K4021*K4022/K4023</f>
        <v>38.958561393906216</v>
      </c>
      <c r="L4024" s="47" t="s">
        <v>2170</v>
      </c>
      <c r="N4024" s="26"/>
      <c r="O4024" s="2"/>
      <c r="P4024" s="27"/>
      <c r="Q4024" s="26"/>
      <c r="R4024" s="28"/>
    </row>
    <row r="4025" spans="1:18" ht="30" customHeight="1" x14ac:dyDescent="0.45">
      <c r="A4025" s="47"/>
      <c r="B4025" s="47"/>
      <c r="C4025" s="58"/>
      <c r="D4025" s="58"/>
      <c r="E4025" s="58"/>
      <c r="F4025" s="58"/>
      <c r="G4025" s="1021" t="s">
        <v>288</v>
      </c>
      <c r="H4025" s="1022"/>
      <c r="I4025" s="1023"/>
      <c r="J4025" s="213">
        <f>VLOOKUP(B4019,'[1]Mil Cost Premiums for PUCs'!$A$4:$R$278,18,FALSE)</f>
        <v>1.1199953840399997</v>
      </c>
      <c r="K4025" s="216">
        <f>+K4024*J4025</f>
        <v>43.633408930013893</v>
      </c>
      <c r="L4025" s="47" t="s">
        <v>2170</v>
      </c>
      <c r="M4025" s="25"/>
      <c r="N4025" s="26"/>
      <c r="O4025" s="2"/>
      <c r="P4025" s="27"/>
      <c r="Q4025" s="26"/>
      <c r="R4025" s="28"/>
    </row>
    <row r="4026" spans="1:18" ht="30" customHeight="1" x14ac:dyDescent="0.45">
      <c r="A4026" s="541"/>
      <c r="B4026" s="541"/>
      <c r="C4026" s="542"/>
      <c r="D4026" s="542"/>
      <c r="E4026" s="542"/>
      <c r="F4026" s="1024" t="s">
        <v>581</v>
      </c>
      <c r="G4026" s="1024"/>
      <c r="H4026" s="1024"/>
      <c r="I4026" s="1024"/>
      <c r="J4026" s="756">
        <v>1.0833999999999999</v>
      </c>
      <c r="K4026" s="757">
        <f>K4025*J4026</f>
        <v>47.272435234777049</v>
      </c>
      <c r="L4026" s="47" t="s">
        <v>2170</v>
      </c>
      <c r="M4026" s="25"/>
      <c r="N4026" s="26"/>
      <c r="O4026" s="2"/>
      <c r="P4026" s="27"/>
      <c r="Q4026" s="26"/>
      <c r="R4026" s="28"/>
    </row>
    <row r="4027" spans="1:18" ht="30" customHeight="1" thickBot="1" x14ac:dyDescent="0.5">
      <c r="A4027" s="225"/>
      <c r="B4027" s="225"/>
      <c r="C4027" s="150"/>
      <c r="D4027" s="150"/>
      <c r="E4027" s="150"/>
      <c r="F4027" s="150"/>
      <c r="G4027" s="1025" t="s">
        <v>299</v>
      </c>
      <c r="H4027" s="1026"/>
      <c r="I4027" s="1027"/>
      <c r="J4027" s="226">
        <v>1.1214</v>
      </c>
      <c r="K4027" s="227">
        <f>+K4026*J4027</f>
        <v>53.011308872278981</v>
      </c>
      <c r="L4027" s="47" t="s">
        <v>2170</v>
      </c>
      <c r="M4027" s="25"/>
    </row>
    <row r="4028" spans="1:18" ht="30" customHeight="1" thickBot="1" x14ac:dyDescent="0.5">
      <c r="A4028" s="999"/>
      <c r="B4028" s="1000"/>
      <c r="C4028" s="1000"/>
      <c r="D4028" s="1000"/>
      <c r="E4028" s="1000"/>
      <c r="F4028" s="1000"/>
      <c r="G4028" s="1000"/>
      <c r="H4028" s="1000"/>
      <c r="I4028" s="1000"/>
      <c r="J4028" s="1000"/>
      <c r="K4028" s="1000"/>
      <c r="L4028" s="1001"/>
      <c r="M4028" s="25"/>
      <c r="N4028" s="26"/>
      <c r="O4028" s="2"/>
      <c r="P4028" s="27"/>
      <c r="Q4028" s="26"/>
      <c r="R4028" s="28"/>
    </row>
    <row r="4029" spans="1:18" ht="30" customHeight="1" x14ac:dyDescent="0.45">
      <c r="A4029" s="9" t="s">
        <v>4</v>
      </c>
      <c r="B4029" s="10">
        <v>8314</v>
      </c>
      <c r="C4029" s="983" t="s">
        <v>2180</v>
      </c>
      <c r="D4029" s="984"/>
      <c r="E4029" s="13" t="s">
        <v>7</v>
      </c>
      <c r="F4029" s="14" t="s">
        <v>163</v>
      </c>
      <c r="G4029" s="11" t="s">
        <v>6</v>
      </c>
      <c r="H4029" s="163">
        <v>11392</v>
      </c>
      <c r="I4029" s="13" t="s">
        <v>9</v>
      </c>
      <c r="J4029" s="985" t="s">
        <v>575</v>
      </c>
      <c r="K4029" s="985"/>
      <c r="L4029" s="986"/>
      <c r="M4029" s="25"/>
      <c r="N4029" s="26"/>
      <c r="O4029" s="2"/>
      <c r="P4029" s="27"/>
      <c r="Q4029" s="26"/>
      <c r="R4029" s="28"/>
    </row>
    <row r="4030" spans="1:18" ht="30" customHeight="1" x14ac:dyDescent="0.45">
      <c r="A4030" s="85" t="s">
        <v>277</v>
      </c>
      <c r="B4030" s="987" t="s">
        <v>293</v>
      </c>
      <c r="C4030" s="988"/>
      <c r="D4030" s="989"/>
      <c r="E4030" s="220" t="s">
        <v>13</v>
      </c>
      <c r="F4030" s="220" t="s">
        <v>14</v>
      </c>
      <c r="G4030" s="990" t="s">
        <v>15</v>
      </c>
      <c r="H4030" s="991"/>
      <c r="I4030" s="19" t="s">
        <v>278</v>
      </c>
      <c r="J4030" s="19"/>
      <c r="K4030" s="23" t="s">
        <v>17</v>
      </c>
      <c r="L4030" s="24"/>
      <c r="M4030" s="25"/>
      <c r="N4030" s="26"/>
      <c r="O4030" s="2"/>
      <c r="P4030" s="27"/>
      <c r="Q4030" s="26"/>
      <c r="R4030" s="28"/>
    </row>
    <row r="4031" spans="1:18" ht="30" customHeight="1" x14ac:dyDescent="0.45">
      <c r="A4031" s="47" t="s">
        <v>2181</v>
      </c>
      <c r="B4031" s="197" t="s">
        <v>2182</v>
      </c>
      <c r="C4031" s="198"/>
      <c r="D4031" s="199"/>
      <c r="E4031" s="378">
        <f>+(16300+20300)/2</f>
        <v>18300</v>
      </c>
      <c r="F4031" s="56" t="s">
        <v>88</v>
      </c>
      <c r="G4031" s="810">
        <v>10000</v>
      </c>
      <c r="H4031" s="349" t="s">
        <v>1400</v>
      </c>
      <c r="I4031" s="47">
        <v>1.04</v>
      </c>
      <c r="J4031" s="56"/>
      <c r="K4031" s="216">
        <f>+E4031/G4031*I4031</f>
        <v>1.9032000000000002</v>
      </c>
      <c r="L4031" s="56" t="s">
        <v>163</v>
      </c>
      <c r="M4031" s="25"/>
      <c r="N4031" s="26"/>
      <c r="O4031" s="2"/>
      <c r="P4031" s="27"/>
      <c r="Q4031" s="26"/>
      <c r="R4031" s="28"/>
    </row>
    <row r="4032" spans="1:18" ht="30" customHeight="1" x14ac:dyDescent="0.45">
      <c r="A4032" s="47" t="s">
        <v>2181</v>
      </c>
      <c r="B4032" s="197" t="s">
        <v>2183</v>
      </c>
      <c r="C4032" s="198"/>
      <c r="D4032" s="199"/>
      <c r="E4032" s="378">
        <f>+E4031*1.25</f>
        <v>22875</v>
      </c>
      <c r="F4032" s="56" t="s">
        <v>88</v>
      </c>
      <c r="G4032" s="810">
        <v>10000</v>
      </c>
      <c r="H4032" s="349" t="s">
        <v>1400</v>
      </c>
      <c r="I4032" s="47">
        <v>1.04</v>
      </c>
      <c r="J4032" s="56"/>
      <c r="K4032" s="216">
        <f>+E4032/G4032*I4032</f>
        <v>2.379</v>
      </c>
      <c r="L4032" s="56" t="s">
        <v>163</v>
      </c>
      <c r="M4032" s="25"/>
      <c r="N4032" s="26"/>
      <c r="O4032" s="2"/>
      <c r="P4032" s="27"/>
      <c r="Q4032" s="26"/>
      <c r="R4032" s="28"/>
    </row>
    <row r="4033" spans="1:20" ht="30" customHeight="1" x14ac:dyDescent="0.45">
      <c r="A4033" s="47" t="s">
        <v>2181</v>
      </c>
      <c r="B4033" s="1008" t="s">
        <v>2184</v>
      </c>
      <c r="C4033" s="1009"/>
      <c r="D4033" s="1010"/>
      <c r="E4033" s="378">
        <f>+(5850+13400)/2</f>
        <v>9625</v>
      </c>
      <c r="F4033" s="56" t="s">
        <v>88</v>
      </c>
      <c r="G4033" s="810">
        <v>10000</v>
      </c>
      <c r="H4033" s="349" t="s">
        <v>1400</v>
      </c>
      <c r="I4033" s="47">
        <v>1.04</v>
      </c>
      <c r="J4033" s="56"/>
      <c r="K4033" s="216">
        <f>+E4033/G4033*I4033</f>
        <v>1.0010000000000001</v>
      </c>
      <c r="L4033" s="56" t="s">
        <v>163</v>
      </c>
      <c r="M4033" s="25"/>
      <c r="N4033" s="26"/>
      <c r="O4033" s="2"/>
      <c r="P4033" s="27"/>
      <c r="Q4033" s="26"/>
      <c r="R4033" s="28"/>
    </row>
    <row r="4034" spans="1:20" ht="30" customHeight="1" x14ac:dyDescent="0.45">
      <c r="A4034" s="426"/>
      <c r="B4034" s="1030"/>
      <c r="C4034" s="1030"/>
      <c r="D4034" s="1030"/>
      <c r="E4034" s="221"/>
      <c r="F4034" s="47"/>
      <c r="G4034" s="47"/>
      <c r="H4034" s="47"/>
      <c r="I4034" s="47"/>
      <c r="J4034" s="47" t="s">
        <v>38</v>
      </c>
      <c r="K4034" s="221">
        <f>SUM(K4031:K4033)</f>
        <v>5.2832000000000008</v>
      </c>
      <c r="L4034" s="47" t="s">
        <v>163</v>
      </c>
      <c r="M4034" s="25"/>
      <c r="N4034" s="26"/>
      <c r="O4034" s="2"/>
      <c r="P4034" s="27"/>
      <c r="Q4034" s="26"/>
      <c r="R4034" s="28"/>
    </row>
    <row r="4035" spans="1:20" ht="30" customHeight="1" x14ac:dyDescent="0.45">
      <c r="A4035" s="47"/>
      <c r="B4035" s="224"/>
      <c r="C4035" s="224"/>
      <c r="D4035" s="224"/>
      <c r="E4035" s="221"/>
      <c r="F4035" s="1011" t="s">
        <v>285</v>
      </c>
      <c r="G4035" s="1013" t="s">
        <v>286</v>
      </c>
      <c r="H4035" s="1013"/>
      <c r="I4035" s="1013"/>
      <c r="J4035" s="1013"/>
      <c r="K4035" s="278">
        <v>1.07</v>
      </c>
      <c r="L4035" s="47"/>
      <c r="M4035" s="25"/>
      <c r="N4035" s="26"/>
      <c r="O4035" s="2"/>
      <c r="P4035" s="27"/>
      <c r="Q4035" s="26"/>
      <c r="R4035" s="28"/>
    </row>
    <row r="4036" spans="1:20" ht="30" customHeight="1" x14ac:dyDescent="0.45">
      <c r="A4036" s="47"/>
      <c r="B4036" s="224"/>
      <c r="C4036" s="224"/>
      <c r="D4036" s="224"/>
      <c r="E4036" s="221"/>
      <c r="F4036" s="1012"/>
      <c r="G4036" s="1014" t="s">
        <v>580</v>
      </c>
      <c r="H4036" s="1014"/>
      <c r="I4036" s="1014"/>
      <c r="J4036" s="1014"/>
      <c r="K4036" s="278">
        <v>1.08</v>
      </c>
      <c r="L4036" s="47"/>
      <c r="N4036" s="26"/>
      <c r="O4036" s="2"/>
      <c r="P4036" s="27"/>
      <c r="Q4036" s="26"/>
      <c r="R4036" s="28"/>
    </row>
    <row r="4037" spans="1:20" ht="30" customHeight="1" x14ac:dyDescent="0.45">
      <c r="A4037" s="47"/>
      <c r="B4037" s="47"/>
      <c r="C4037" s="58"/>
      <c r="D4037" s="58"/>
      <c r="E4037" s="58"/>
      <c r="F4037" s="58"/>
      <c r="G4037" s="58"/>
      <c r="H4037" s="58"/>
      <c r="I4037" s="58"/>
      <c r="J4037" s="47" t="s">
        <v>39</v>
      </c>
      <c r="K4037" s="216">
        <f>+K4034*K4035/K4036</f>
        <v>5.2342814814814824</v>
      </c>
      <c r="L4037" s="47" t="s">
        <v>163</v>
      </c>
      <c r="M4037" s="25"/>
      <c r="N4037" s="26"/>
      <c r="O4037" s="2"/>
      <c r="P4037" s="27"/>
      <c r="Q4037" s="26"/>
      <c r="R4037" s="28"/>
    </row>
    <row r="4038" spans="1:20" ht="30" customHeight="1" x14ac:dyDescent="0.45">
      <c r="A4038" s="47"/>
      <c r="B4038" s="47"/>
      <c r="C4038" s="58"/>
      <c r="D4038" s="58"/>
      <c r="E4038" s="58"/>
      <c r="F4038" s="58"/>
      <c r="G4038" s="1021" t="s">
        <v>288</v>
      </c>
      <c r="H4038" s="1022"/>
      <c r="I4038" s="1023"/>
      <c r="J4038" s="213">
        <f>VLOOKUP(B4029,'[1]Mil Cost Premiums for PUCs'!$A$4:$R$278,18,FALSE)</f>
        <v>1.0905505199999999</v>
      </c>
      <c r="K4038" s="216">
        <f>+K4037*J4038</f>
        <v>5.7082483914560003</v>
      </c>
      <c r="L4038" s="47" t="s">
        <v>163</v>
      </c>
      <c r="M4038" s="25"/>
      <c r="N4038" s="26"/>
      <c r="O4038" s="2"/>
      <c r="P4038" s="27"/>
      <c r="Q4038" s="26"/>
      <c r="R4038" s="28"/>
    </row>
    <row r="4039" spans="1:20" ht="30" customHeight="1" x14ac:dyDescent="0.45">
      <c r="A4039" s="541"/>
      <c r="B4039" s="541"/>
      <c r="C4039" s="542"/>
      <c r="D4039" s="542"/>
      <c r="E4039" s="542"/>
      <c r="F4039" s="1024" t="s">
        <v>581</v>
      </c>
      <c r="G4039" s="1024"/>
      <c r="H4039" s="1024"/>
      <c r="I4039" s="1024"/>
      <c r="J4039" s="756">
        <v>1.0833999999999999</v>
      </c>
      <c r="K4039" s="757">
        <f>K4038*J4039</f>
        <v>6.1843163073034306</v>
      </c>
      <c r="L4039" s="47" t="s">
        <v>163</v>
      </c>
      <c r="M4039" s="25"/>
      <c r="N4039" s="26"/>
      <c r="O4039" s="2"/>
      <c r="P4039" s="27"/>
      <c r="Q4039" s="26"/>
      <c r="R4039" s="28"/>
    </row>
    <row r="4040" spans="1:20" ht="30" customHeight="1" thickBot="1" x14ac:dyDescent="0.5">
      <c r="A4040" s="225"/>
      <c r="B4040" s="225"/>
      <c r="C4040" s="150"/>
      <c r="D4040" s="150"/>
      <c r="E4040" s="150"/>
      <c r="F4040" s="150"/>
      <c r="G4040" s="1025" t="s">
        <v>299</v>
      </c>
      <c r="H4040" s="1026"/>
      <c r="I4040" s="1027"/>
      <c r="J4040" s="226">
        <v>1.1214</v>
      </c>
      <c r="K4040" s="227">
        <f>+K4039*J4040</f>
        <v>6.9350923070100672</v>
      </c>
      <c r="L4040" s="47" t="s">
        <v>163</v>
      </c>
      <c r="M4040" s="25"/>
    </row>
    <row r="4041" spans="1:20" ht="30" customHeight="1" thickBot="1" x14ac:dyDescent="0.5">
      <c r="A4041" s="999"/>
      <c r="B4041" s="1000"/>
      <c r="C4041" s="1000"/>
      <c r="D4041" s="1000"/>
      <c r="E4041" s="1000"/>
      <c r="F4041" s="1000"/>
      <c r="G4041" s="1000"/>
      <c r="H4041" s="1000"/>
      <c r="I4041" s="1000"/>
      <c r="J4041" s="1000"/>
      <c r="K4041" s="1000"/>
      <c r="L4041" s="1001"/>
      <c r="M4041" s="25"/>
      <c r="N4041" s="26"/>
      <c r="O4041" s="2"/>
      <c r="P4041" s="27"/>
      <c r="Q4041" s="26"/>
      <c r="R4041" s="28"/>
    </row>
    <row r="4042" spans="1:20" ht="30" customHeight="1" x14ac:dyDescent="0.45">
      <c r="A4042" s="9" t="s">
        <v>4</v>
      </c>
      <c r="B4042" s="10">
        <v>8315</v>
      </c>
      <c r="C4042" s="983" t="s">
        <v>2185</v>
      </c>
      <c r="D4042" s="984"/>
      <c r="E4042" s="13" t="s">
        <v>7</v>
      </c>
      <c r="F4042" s="14" t="s">
        <v>163</v>
      </c>
      <c r="G4042" s="11" t="s">
        <v>6</v>
      </c>
      <c r="H4042" s="163">
        <v>385669.9</v>
      </c>
      <c r="I4042" s="13" t="s">
        <v>9</v>
      </c>
      <c r="J4042" s="985" t="s">
        <v>276</v>
      </c>
      <c r="K4042" s="985"/>
      <c r="L4042" s="986"/>
      <c r="M4042" s="25"/>
      <c r="N4042" s="26"/>
      <c r="O4042" s="2"/>
      <c r="P4042" s="27"/>
      <c r="Q4042" s="26"/>
      <c r="R4042" s="28"/>
    </row>
    <row r="4043" spans="1:20" ht="30" customHeight="1" x14ac:dyDescent="0.45">
      <c r="A4043" s="85" t="s">
        <v>277</v>
      </c>
      <c r="B4043" s="987" t="s">
        <v>293</v>
      </c>
      <c r="C4043" s="988"/>
      <c r="D4043" s="989"/>
      <c r="E4043" s="220" t="s">
        <v>13</v>
      </c>
      <c r="F4043" s="220" t="s">
        <v>14</v>
      </c>
      <c r="G4043" s="990" t="s">
        <v>15</v>
      </c>
      <c r="H4043" s="991"/>
      <c r="I4043" s="19" t="s">
        <v>278</v>
      </c>
      <c r="J4043" s="19"/>
      <c r="K4043" s="23" t="s">
        <v>17</v>
      </c>
      <c r="L4043" s="24"/>
      <c r="M4043" s="25"/>
      <c r="N4043" s="26"/>
      <c r="O4043" s="2"/>
      <c r="P4043" s="27"/>
      <c r="Q4043" s="26"/>
      <c r="R4043" s="28"/>
    </row>
    <row r="4044" spans="1:20" ht="30" customHeight="1" x14ac:dyDescent="0.45">
      <c r="A4044" s="47" t="s">
        <v>2186</v>
      </c>
      <c r="B4044" s="197" t="s">
        <v>2187</v>
      </c>
      <c r="C4044" s="198"/>
      <c r="D4044" s="199"/>
      <c r="E4044" s="378">
        <f>+(1.91+2.6)/2</f>
        <v>2.2549999999999999</v>
      </c>
      <c r="F4044" s="56" t="s">
        <v>488</v>
      </c>
      <c r="G4044" s="811">
        <v>7.48</v>
      </c>
      <c r="H4044" s="349" t="s">
        <v>2188</v>
      </c>
      <c r="I4044" s="365">
        <v>1.29</v>
      </c>
      <c r="J4044" s="56"/>
      <c r="K4044" s="216">
        <f>+E4044/G4044*I4044</f>
        <v>0.38889705882352943</v>
      </c>
      <c r="L4044" s="56" t="s">
        <v>163</v>
      </c>
      <c r="M4044" s="25"/>
      <c r="N4044" s="26"/>
      <c r="O4044" s="2"/>
      <c r="P4044" s="27"/>
      <c r="Q4044" s="26"/>
      <c r="R4044" s="28"/>
    </row>
    <row r="4045" spans="1:20" ht="30" customHeight="1" x14ac:dyDescent="0.45">
      <c r="A4045" s="47" t="s">
        <v>2186</v>
      </c>
      <c r="B4045" s="1008" t="s">
        <v>2189</v>
      </c>
      <c r="C4045" s="1009"/>
      <c r="D4045" s="1010"/>
      <c r="E4045" s="378">
        <f>+(11500+31500)/2</f>
        <v>21500</v>
      </c>
      <c r="F4045" s="56" t="s">
        <v>88</v>
      </c>
      <c r="G4045" s="810">
        <f>+H4042</f>
        <v>385669.9</v>
      </c>
      <c r="H4045" s="349" t="s">
        <v>1400</v>
      </c>
      <c r="I4045" s="365">
        <v>1.29</v>
      </c>
      <c r="J4045" s="56"/>
      <c r="K4045" s="216">
        <f>+E4045/G4045*I4045</f>
        <v>7.1913830973067902E-2</v>
      </c>
      <c r="L4045" s="56" t="s">
        <v>163</v>
      </c>
      <c r="M4045" s="25"/>
      <c r="N4045" s="26"/>
      <c r="O4045" s="2"/>
      <c r="P4045" s="27"/>
      <c r="Q4045" s="26"/>
      <c r="R4045" s="28"/>
    </row>
    <row r="4046" spans="1:20" ht="30" customHeight="1" x14ac:dyDescent="0.45">
      <c r="A4046" s="426"/>
      <c r="B4046" s="1030"/>
      <c r="C4046" s="1030"/>
      <c r="D4046" s="1030"/>
      <c r="E4046" s="221"/>
      <c r="F4046" s="47"/>
      <c r="G4046" s="47"/>
      <c r="H4046" s="47"/>
      <c r="I4046" s="47"/>
      <c r="J4046" s="47" t="s">
        <v>38</v>
      </c>
      <c r="K4046" s="221">
        <f>SUM(K4044:K4045)</f>
        <v>0.46081088979659734</v>
      </c>
      <c r="L4046" s="47" t="s">
        <v>163</v>
      </c>
      <c r="M4046" s="25"/>
      <c r="O4046" s="2"/>
      <c r="P4046" s="27"/>
      <c r="Q4046" s="26"/>
      <c r="R4046" s="28"/>
    </row>
    <row r="4047" spans="1:20" ht="30" customHeight="1" x14ac:dyDescent="0.45">
      <c r="A4047" s="47"/>
      <c r="B4047" s="224"/>
      <c r="C4047" s="224"/>
      <c r="D4047" s="224"/>
      <c r="E4047" s="221"/>
      <c r="F4047" s="1011" t="s">
        <v>285</v>
      </c>
      <c r="G4047" s="1013" t="s">
        <v>286</v>
      </c>
      <c r="H4047" s="1013"/>
      <c r="I4047" s="1013"/>
      <c r="J4047" s="1013"/>
      <c r="K4047" s="278">
        <v>1.06</v>
      </c>
      <c r="L4047" s="47"/>
      <c r="M4047" s="25"/>
      <c r="P4047" s="27"/>
      <c r="Q4047" s="26"/>
      <c r="R4047" s="28"/>
      <c r="T4047" s="41"/>
    </row>
    <row r="4048" spans="1:20" ht="30" customHeight="1" x14ac:dyDescent="0.45">
      <c r="A4048" s="47"/>
      <c r="B4048" s="224"/>
      <c r="C4048" s="224"/>
      <c r="D4048" s="224"/>
      <c r="E4048" s="221"/>
      <c r="F4048" s="1012"/>
      <c r="G4048" s="1014" t="s">
        <v>287</v>
      </c>
      <c r="H4048" s="1014"/>
      <c r="I4048" s="1014"/>
      <c r="J4048" s="1014"/>
      <c r="K4048" s="278">
        <v>1.05</v>
      </c>
      <c r="L4048" s="47"/>
      <c r="M4048" s="25"/>
      <c r="P4048" s="27"/>
      <c r="Q4048" s="26"/>
      <c r="R4048" s="28"/>
      <c r="T4048" s="41"/>
    </row>
    <row r="4049" spans="1:20" ht="30" customHeight="1" x14ac:dyDescent="0.45">
      <c r="A4049" s="47"/>
      <c r="B4049" s="47"/>
      <c r="C4049" s="58"/>
      <c r="D4049" s="58"/>
      <c r="E4049" s="58"/>
      <c r="F4049" s="58"/>
      <c r="G4049" s="58"/>
      <c r="H4049" s="58"/>
      <c r="I4049" s="58"/>
      <c r="J4049" s="47" t="s">
        <v>39</v>
      </c>
      <c r="K4049" s="216">
        <f>+K4046*K4047/K4048</f>
        <v>0.46519956493751735</v>
      </c>
      <c r="L4049" s="47" t="s">
        <v>163</v>
      </c>
      <c r="M4049" s="25"/>
      <c r="N4049" s="26"/>
      <c r="P4049" s="27"/>
      <c r="Q4049" s="26"/>
      <c r="R4049" s="28"/>
      <c r="T4049" s="41"/>
    </row>
    <row r="4050" spans="1:20" ht="30" customHeight="1" thickBot="1" x14ac:dyDescent="0.5">
      <c r="A4050" s="47"/>
      <c r="B4050" s="47"/>
      <c r="C4050" s="58"/>
      <c r="D4050" s="58"/>
      <c r="E4050" s="58"/>
      <c r="F4050" s="58"/>
      <c r="G4050" s="1176" t="s">
        <v>288</v>
      </c>
      <c r="H4050" s="1177"/>
      <c r="I4050" s="1178"/>
      <c r="J4050" s="213">
        <f>VLOOKUP(B4042,'[1]Mil Cost Premiums for PUCs'!$A$4:$R$278,18,FALSE)</f>
        <v>1.0905505199999999</v>
      </c>
      <c r="K4050" s="216">
        <f>+K4049*J4050</f>
        <v>0.50732362744638326</v>
      </c>
      <c r="L4050" s="47" t="s">
        <v>163</v>
      </c>
      <c r="M4050" s="25"/>
      <c r="N4050" s="491"/>
      <c r="S4050" s="41"/>
    </row>
    <row r="4051" spans="1:20" ht="30" customHeight="1" thickBot="1" x14ac:dyDescent="0.5">
      <c r="A4051" s="999"/>
      <c r="B4051" s="1000"/>
      <c r="C4051" s="1000"/>
      <c r="D4051" s="1000"/>
      <c r="E4051" s="1000"/>
      <c r="F4051" s="1000"/>
      <c r="G4051" s="1000"/>
      <c r="H4051" s="1000"/>
      <c r="I4051" s="1000"/>
      <c r="J4051" s="1000"/>
      <c r="K4051" s="1000"/>
      <c r="L4051" s="1001"/>
      <c r="M4051" s="25"/>
      <c r="N4051" s="26"/>
      <c r="S4051" s="41"/>
    </row>
    <row r="4052" spans="1:20" ht="30" customHeight="1" x14ac:dyDescent="0.45">
      <c r="A4052" s="9" t="s">
        <v>4</v>
      </c>
      <c r="B4052" s="10">
        <v>8316</v>
      </c>
      <c r="C4052" s="1138" t="s">
        <v>2190</v>
      </c>
      <c r="D4052" s="1139"/>
      <c r="E4052" s="13" t="s">
        <v>7</v>
      </c>
      <c r="F4052" s="14" t="s">
        <v>2170</v>
      </c>
      <c r="G4052" s="173" t="s">
        <v>148</v>
      </c>
      <c r="H4052" s="184">
        <v>1</v>
      </c>
      <c r="I4052" s="13" t="s">
        <v>9</v>
      </c>
      <c r="J4052" s="985" t="s">
        <v>10</v>
      </c>
      <c r="K4052" s="985"/>
      <c r="L4052" s="986"/>
      <c r="M4052" s="25"/>
      <c r="N4052" s="26"/>
      <c r="T4052" s="41"/>
    </row>
    <row r="4053" spans="1:20" ht="30" customHeight="1" x14ac:dyDescent="0.45">
      <c r="A4053" s="19" t="s">
        <v>11</v>
      </c>
      <c r="B4053" s="1005" t="s">
        <v>12</v>
      </c>
      <c r="C4053" s="1005"/>
      <c r="D4053" s="1005"/>
      <c r="E4053" s="20" t="s">
        <v>13</v>
      </c>
      <c r="F4053" s="220" t="s">
        <v>14</v>
      </c>
      <c r="G4053" s="1114" t="s">
        <v>15</v>
      </c>
      <c r="H4053" s="1115"/>
      <c r="I4053" s="1068" t="s">
        <v>16</v>
      </c>
      <c r="J4053" s="1069"/>
      <c r="K4053" s="23" t="s">
        <v>17</v>
      </c>
      <c r="L4053" s="24"/>
      <c r="M4053" s="25"/>
      <c r="N4053" s="26"/>
      <c r="T4053" s="41"/>
    </row>
    <row r="4054" spans="1:20" ht="30" customHeight="1" x14ac:dyDescent="0.45">
      <c r="A4054" s="47">
        <v>83150</v>
      </c>
      <c r="B4054" s="1008" t="s">
        <v>2191</v>
      </c>
      <c r="C4054" s="1009"/>
      <c r="D4054" s="1010"/>
      <c r="E4054" s="762">
        <v>691714.76</v>
      </c>
      <c r="F4054" s="394" t="s">
        <v>88</v>
      </c>
      <c r="G4054" s="424">
        <v>200</v>
      </c>
      <c r="H4054" s="223" t="s">
        <v>2192</v>
      </c>
      <c r="I4054" s="1090">
        <f>+'[1]2023 MILCON Inflation Table'!F22</f>
        <v>0.93771935922451721</v>
      </c>
      <c r="J4054" s="1091"/>
      <c r="K4054" s="335">
        <f>+E4054/G4054*I4054</f>
        <v>3243.1716075667036</v>
      </c>
      <c r="L4054" s="29" t="s">
        <v>2170</v>
      </c>
      <c r="M4054" s="25"/>
      <c r="N4054" s="3"/>
      <c r="T4054" s="41"/>
    </row>
    <row r="4055" spans="1:20" ht="30" customHeight="1" x14ac:dyDescent="0.45">
      <c r="A4055" s="47">
        <v>83150</v>
      </c>
      <c r="B4055" s="1008" t="s">
        <v>2193</v>
      </c>
      <c r="C4055" s="1009"/>
      <c r="D4055" s="1010"/>
      <c r="E4055" s="762">
        <v>498034.63</v>
      </c>
      <c r="F4055" s="394" t="s">
        <v>88</v>
      </c>
      <c r="G4055" s="424">
        <v>144</v>
      </c>
      <c r="H4055" s="223" t="s">
        <v>2194</v>
      </c>
      <c r="I4055" s="1090">
        <f>+I4054</f>
        <v>0.93771935922451721</v>
      </c>
      <c r="J4055" s="1091"/>
      <c r="K4055" s="335">
        <f>+E4055/G4055*I4055</f>
        <v>3243.1716258001356</v>
      </c>
      <c r="L4055" s="29" t="s">
        <v>2170</v>
      </c>
      <c r="M4055" s="25"/>
      <c r="N4055" s="26"/>
      <c r="S4055" s="41"/>
      <c r="T4055" s="41"/>
    </row>
    <row r="4056" spans="1:20" ht="30" customHeight="1" x14ac:dyDescent="0.45">
      <c r="A4056" s="47">
        <v>83150</v>
      </c>
      <c r="B4056" s="1008" t="s">
        <v>2195</v>
      </c>
      <c r="C4056" s="1009"/>
      <c r="D4056" s="1010"/>
      <c r="E4056" s="762">
        <v>996069.25</v>
      </c>
      <c r="F4056" s="394" t="s">
        <v>88</v>
      </c>
      <c r="G4056" s="424">
        <v>288</v>
      </c>
      <c r="H4056" s="223" t="s">
        <v>2192</v>
      </c>
      <c r="I4056" s="1090">
        <f>+I4054</f>
        <v>0.93771935922451721</v>
      </c>
      <c r="J4056" s="1091"/>
      <c r="K4056" s="335">
        <f>+E4056/G4056*I4056</f>
        <v>3243.1715932404354</v>
      </c>
      <c r="L4056" s="29" t="s">
        <v>2170</v>
      </c>
      <c r="M4056" s="25"/>
      <c r="N4056" s="26"/>
      <c r="S4056" s="41"/>
      <c r="T4056" s="41"/>
    </row>
    <row r="4057" spans="1:20" ht="30" customHeight="1" x14ac:dyDescent="0.45">
      <c r="A4057" s="47"/>
      <c r="B4057" s="197"/>
      <c r="C4057" s="198"/>
      <c r="D4057" s="199"/>
      <c r="E4057" s="353"/>
      <c r="F4057" s="434"/>
      <c r="G4057" s="356"/>
      <c r="H4057" s="223"/>
      <c r="I4057" s="391"/>
      <c r="J4057" s="379" t="s">
        <v>56</v>
      </c>
      <c r="K4057" s="335">
        <f>AVERAGE(K4054:K4056)</f>
        <v>3243.1716088690914</v>
      </c>
      <c r="L4057" s="29" t="s">
        <v>2170</v>
      </c>
      <c r="M4057" s="25"/>
      <c r="S4057" s="41"/>
      <c r="T4057" s="90"/>
    </row>
    <row r="4058" spans="1:20" ht="30" customHeight="1" thickBot="1" x14ac:dyDescent="0.5">
      <c r="A4058" s="47"/>
      <c r="B4058" s="1008" t="s">
        <v>2196</v>
      </c>
      <c r="C4058" s="1009"/>
      <c r="D4058" s="1010"/>
      <c r="E4058" s="161"/>
      <c r="F4058" s="415"/>
      <c r="G4058" s="161"/>
      <c r="H4058" s="389"/>
      <c r="I4058" s="58"/>
      <c r="J4058" s="85" t="s">
        <v>39</v>
      </c>
      <c r="K4058" s="335">
        <f>+K4057</f>
        <v>3243.1716088690914</v>
      </c>
      <c r="L4058" s="29" t="s">
        <v>2170</v>
      </c>
      <c r="S4058" s="41"/>
    </row>
    <row r="4059" spans="1:20" ht="30" customHeight="1" thickBot="1" x14ac:dyDescent="0.5">
      <c r="A4059" s="999"/>
      <c r="B4059" s="1000"/>
      <c r="C4059" s="1000"/>
      <c r="D4059" s="1000"/>
      <c r="E4059" s="1000"/>
      <c r="F4059" s="1000"/>
      <c r="G4059" s="1000"/>
      <c r="H4059" s="1000"/>
      <c r="I4059" s="1000"/>
      <c r="J4059" s="1000"/>
      <c r="K4059" s="1000"/>
      <c r="L4059" s="1001"/>
      <c r="M4059" s="25"/>
      <c r="N4059" s="26"/>
      <c r="O4059" s="2"/>
      <c r="P4059" s="27"/>
      <c r="Q4059" s="26"/>
      <c r="R4059" s="28"/>
      <c r="T4059" s="41"/>
    </row>
    <row r="4060" spans="1:20" ht="30" customHeight="1" x14ac:dyDescent="0.45">
      <c r="A4060" s="9" t="s">
        <v>4</v>
      </c>
      <c r="B4060" s="10">
        <v>8321</v>
      </c>
      <c r="C4060" s="1002" t="s">
        <v>2197</v>
      </c>
      <c r="D4060" s="1003"/>
      <c r="E4060" s="13" t="s">
        <v>7</v>
      </c>
      <c r="F4060" s="14" t="s">
        <v>113</v>
      </c>
      <c r="G4060" s="161" t="s">
        <v>148</v>
      </c>
      <c r="H4060" s="163">
        <v>1000</v>
      </c>
      <c r="I4060" s="13" t="s">
        <v>9</v>
      </c>
      <c r="J4060" s="985" t="s">
        <v>10</v>
      </c>
      <c r="K4060" s="985"/>
      <c r="L4060" s="986"/>
      <c r="M4060" s="25"/>
      <c r="S4060" s="41"/>
    </row>
    <row r="4061" spans="1:20" ht="30" customHeight="1" x14ac:dyDescent="0.45">
      <c r="A4061" s="19" t="s">
        <v>11</v>
      </c>
      <c r="B4061" s="1005" t="s">
        <v>12</v>
      </c>
      <c r="C4061" s="1005"/>
      <c r="D4061" s="1005"/>
      <c r="E4061" s="20" t="s">
        <v>13</v>
      </c>
      <c r="F4061" s="220" t="s">
        <v>14</v>
      </c>
      <c r="G4061" s="1114" t="s">
        <v>15</v>
      </c>
      <c r="H4061" s="1115"/>
      <c r="I4061" s="1068" t="s">
        <v>16</v>
      </c>
      <c r="J4061" s="1069"/>
      <c r="K4061" s="23" t="s">
        <v>17</v>
      </c>
      <c r="L4061" s="24"/>
      <c r="M4061" s="25"/>
      <c r="N4061" s="26"/>
      <c r="T4061" s="41"/>
    </row>
    <row r="4062" spans="1:20" ht="30" customHeight="1" x14ac:dyDescent="0.45">
      <c r="A4062" s="47">
        <v>87110</v>
      </c>
      <c r="B4062" s="1018" t="s">
        <v>2198</v>
      </c>
      <c r="C4062" s="1019"/>
      <c r="D4062" s="1020"/>
      <c r="E4062" s="762">
        <v>115.91</v>
      </c>
      <c r="F4062" s="394" t="s">
        <v>113</v>
      </c>
      <c r="G4062" s="424"/>
      <c r="H4062" s="223"/>
      <c r="I4062" s="1090">
        <f>+'[1]2023 MILCON Inflation Table'!F22</f>
        <v>0.93771935922451721</v>
      </c>
      <c r="J4062" s="1091"/>
      <c r="K4062" s="335">
        <f>+E4062*I4062</f>
        <v>108.69105092771379</v>
      </c>
      <c r="L4062" s="29" t="s">
        <v>113</v>
      </c>
      <c r="M4062" s="25"/>
      <c r="N4062" s="3"/>
      <c r="T4062" s="41"/>
    </row>
    <row r="4063" spans="1:20" ht="30" customHeight="1" x14ac:dyDescent="0.45">
      <c r="A4063" s="47">
        <v>87110</v>
      </c>
      <c r="B4063" s="1018" t="s">
        <v>2199</v>
      </c>
      <c r="C4063" s="1019"/>
      <c r="D4063" s="1020"/>
      <c r="E4063" s="812">
        <v>188.16</v>
      </c>
      <c r="F4063" s="394" t="s">
        <v>113</v>
      </c>
      <c r="G4063" s="457"/>
      <c r="H4063" s="349"/>
      <c r="I4063" s="1090">
        <f>+I4062</f>
        <v>0.93771935922451721</v>
      </c>
      <c r="J4063" s="1091"/>
      <c r="K4063" s="335">
        <f>+E4063*I4063</f>
        <v>176.44127463168516</v>
      </c>
      <c r="L4063" s="29" t="s">
        <v>113</v>
      </c>
      <c r="M4063" s="25"/>
      <c r="N4063" s="3"/>
      <c r="T4063" s="41"/>
    </row>
    <row r="4064" spans="1:20" ht="30" customHeight="1" x14ac:dyDescent="0.45">
      <c r="A4064" s="85"/>
      <c r="B4064" s="987"/>
      <c r="C4064" s="988"/>
      <c r="D4064" s="989"/>
      <c r="E4064" s="220"/>
      <c r="F4064" s="220"/>
      <c r="G4064" s="990"/>
      <c r="H4064" s="991"/>
      <c r="I4064" s="19"/>
      <c r="J4064" s="105" t="s">
        <v>56</v>
      </c>
      <c r="K4064" s="335">
        <f>AVERAGE(K4062:K4063)</f>
        <v>142.56616277969948</v>
      </c>
      <c r="L4064" s="29" t="s">
        <v>113</v>
      </c>
      <c r="M4064" s="25"/>
      <c r="S4064" s="90"/>
      <c r="T4064" s="41"/>
    </row>
    <row r="4065" spans="1:20" ht="30" customHeight="1" x14ac:dyDescent="0.45">
      <c r="A4065" s="47">
        <v>83210</v>
      </c>
      <c r="B4065" s="1018" t="s">
        <v>2200</v>
      </c>
      <c r="C4065" s="1019"/>
      <c r="D4065" s="1020"/>
      <c r="E4065" s="812">
        <v>16278.11</v>
      </c>
      <c r="F4065" s="56" t="s">
        <v>88</v>
      </c>
      <c r="G4065" s="813">
        <v>500</v>
      </c>
      <c r="H4065" s="349" t="s">
        <v>310</v>
      </c>
      <c r="I4065" s="1090">
        <f>+I4062</f>
        <v>0.93771935922451721</v>
      </c>
      <c r="J4065" s="1091"/>
      <c r="K4065" s="216">
        <f>+E4065/G4065*I4065</f>
        <v>30.528597757172413</v>
      </c>
      <c r="L4065" s="29" t="s">
        <v>113</v>
      </c>
      <c r="M4065" s="25"/>
      <c r="S4065" s="41"/>
      <c r="T4065" s="41"/>
    </row>
    <row r="4066" spans="1:20" ht="30" customHeight="1" x14ac:dyDescent="0.45">
      <c r="A4066" s="47"/>
      <c r="B4066" s="1008"/>
      <c r="C4066" s="1009"/>
      <c r="D4066" s="1010"/>
      <c r="E4066" s="378"/>
      <c r="F4066" s="56"/>
      <c r="G4066" s="813"/>
      <c r="H4066" s="349"/>
      <c r="I4066" s="47"/>
      <c r="J4066" s="56" t="s">
        <v>38</v>
      </c>
      <c r="K4066" s="216">
        <f>+K4064+K4065</f>
        <v>173.09476053687189</v>
      </c>
      <c r="L4066" s="29" t="s">
        <v>113</v>
      </c>
      <c r="M4066" s="25"/>
      <c r="O4066" s="2"/>
    </row>
    <row r="4067" spans="1:20" ht="30" customHeight="1" thickBot="1" x14ac:dyDescent="0.5">
      <c r="A4067" s="47"/>
      <c r="B4067" s="197"/>
      <c r="C4067" s="198"/>
      <c r="D4067" s="199"/>
      <c r="E4067" s="378"/>
      <c r="F4067" s="56"/>
      <c r="G4067" s="1157"/>
      <c r="H4067" s="1158"/>
      <c r="I4067" s="47"/>
      <c r="J4067" s="85" t="s">
        <v>39</v>
      </c>
      <c r="K4067" s="335">
        <f>+K4066</f>
        <v>173.09476053687189</v>
      </c>
      <c r="L4067" s="29" t="s">
        <v>113</v>
      </c>
      <c r="M4067" s="25"/>
      <c r="O4067" s="2"/>
      <c r="S4067" s="41"/>
    </row>
    <row r="4068" spans="1:20" ht="30" customHeight="1" thickBot="1" x14ac:dyDescent="0.5">
      <c r="A4068" s="999"/>
      <c r="B4068" s="1000"/>
      <c r="C4068" s="1000"/>
      <c r="D4068" s="1000"/>
      <c r="E4068" s="1000"/>
      <c r="F4068" s="1000"/>
      <c r="G4068" s="1000"/>
      <c r="H4068" s="1000"/>
      <c r="I4068" s="1000"/>
      <c r="J4068" s="1000"/>
      <c r="K4068" s="1000"/>
      <c r="L4068" s="1001"/>
      <c r="M4068" s="25"/>
      <c r="N4068" s="26"/>
      <c r="O4068" s="2"/>
      <c r="S4068" s="41"/>
    </row>
    <row r="4069" spans="1:20" ht="30" customHeight="1" x14ac:dyDescent="0.45">
      <c r="A4069" s="9" t="s">
        <v>4</v>
      </c>
      <c r="B4069" s="10">
        <v>8331</v>
      </c>
      <c r="C4069" s="1138" t="s">
        <v>2201</v>
      </c>
      <c r="D4069" s="1139"/>
      <c r="E4069" s="13" t="s">
        <v>7</v>
      </c>
      <c r="F4069" s="14" t="s">
        <v>35</v>
      </c>
      <c r="G4069" s="11" t="s">
        <v>6</v>
      </c>
      <c r="H4069" s="163">
        <v>1615.5997864506601</v>
      </c>
      <c r="I4069" s="13" t="s">
        <v>9</v>
      </c>
      <c r="J4069" s="985" t="s">
        <v>1252</v>
      </c>
      <c r="K4069" s="985"/>
      <c r="L4069" s="986"/>
      <c r="M4069" s="121"/>
      <c r="N4069" s="26"/>
      <c r="O4069" s="2"/>
      <c r="P4069" s="27"/>
      <c r="Q4069" s="26"/>
      <c r="R4069" s="28"/>
    </row>
    <row r="4070" spans="1:20" ht="30" customHeight="1" x14ac:dyDescent="0.45">
      <c r="A4070" s="85" t="s">
        <v>277</v>
      </c>
      <c r="B4070" s="987" t="s">
        <v>293</v>
      </c>
      <c r="C4070" s="988"/>
      <c r="D4070" s="989"/>
      <c r="E4070" s="220" t="s">
        <v>13</v>
      </c>
      <c r="F4070" s="220" t="s">
        <v>14</v>
      </c>
      <c r="G4070" s="990" t="s">
        <v>15</v>
      </c>
      <c r="H4070" s="991"/>
      <c r="I4070" s="19" t="s">
        <v>278</v>
      </c>
      <c r="J4070" s="19" t="s">
        <v>16</v>
      </c>
      <c r="K4070" s="23" t="s">
        <v>17</v>
      </c>
      <c r="L4070" s="24"/>
      <c r="M4070" s="25"/>
      <c r="N4070" s="26"/>
      <c r="O4070" s="2"/>
      <c r="P4070" s="27"/>
      <c r="Q4070" s="26"/>
      <c r="R4070" s="28"/>
    </row>
    <row r="4071" spans="1:20" ht="30" customHeight="1" x14ac:dyDescent="0.45">
      <c r="A4071" s="225" t="s">
        <v>1664</v>
      </c>
      <c r="B4071" s="977" t="s">
        <v>2202</v>
      </c>
      <c r="C4071" s="978"/>
      <c r="D4071" s="979"/>
      <c r="E4071" s="744">
        <v>64.5</v>
      </c>
      <c r="F4071" s="56" t="s">
        <v>35</v>
      </c>
      <c r="G4071" s="813"/>
      <c r="H4071" s="349"/>
      <c r="I4071" s="47">
        <v>1.05</v>
      </c>
      <c r="J4071" s="681">
        <f>+'[1]2023 MILCON Inflation Table'!F14</f>
        <v>1.3545159367405897</v>
      </c>
      <c r="K4071" s="216">
        <f>E4071*I4071*J4071</f>
        <v>91.734591815756445</v>
      </c>
      <c r="L4071" s="56" t="s">
        <v>35</v>
      </c>
      <c r="M4071" s="25"/>
      <c r="N4071" s="26"/>
      <c r="O4071" s="2"/>
      <c r="P4071" s="27"/>
      <c r="Q4071" s="26"/>
      <c r="R4071" s="28"/>
    </row>
    <row r="4072" spans="1:20" ht="30" customHeight="1" x14ac:dyDescent="0.45">
      <c r="A4072" s="531"/>
      <c r="B4072" s="1052"/>
      <c r="C4072" s="1052"/>
      <c r="D4072" s="1052"/>
      <c r="E4072" s="814"/>
      <c r="F4072" s="1047" t="s">
        <v>285</v>
      </c>
      <c r="G4072" s="1013" t="s">
        <v>286</v>
      </c>
      <c r="H4072" s="1013"/>
      <c r="I4072" s="1013"/>
      <c r="J4072" s="1013"/>
      <c r="K4072" s="278">
        <v>1.06</v>
      </c>
      <c r="L4072" s="47"/>
      <c r="M4072" s="25"/>
      <c r="O4072" s="2"/>
      <c r="P4072" s="27"/>
      <c r="Q4072" s="26"/>
      <c r="R4072" s="28"/>
    </row>
    <row r="4073" spans="1:20" ht="30" customHeight="1" x14ac:dyDescent="0.45">
      <c r="A4073" s="531"/>
      <c r="B4073" s="548" t="s">
        <v>2203</v>
      </c>
      <c r="C4073" s="548"/>
      <c r="D4073" s="548"/>
      <c r="E4073" s="753"/>
      <c r="F4073" s="1048"/>
      <c r="G4073" s="1175" t="s">
        <v>287</v>
      </c>
      <c r="H4073" s="1086"/>
      <c r="I4073" s="1086"/>
      <c r="J4073" s="1087"/>
      <c r="K4073" s="278">
        <v>1.05</v>
      </c>
      <c r="L4073" s="47"/>
      <c r="M4073" s="25"/>
      <c r="O4073" s="2"/>
      <c r="P4073" s="27"/>
      <c r="Q4073" s="26"/>
      <c r="R4073" s="28"/>
    </row>
    <row r="4074" spans="1:20" ht="30" customHeight="1" x14ac:dyDescent="0.45">
      <c r="A4074" s="752"/>
      <c r="B4074" s="1052" t="s">
        <v>2204</v>
      </c>
      <c r="C4074" s="1052"/>
      <c r="D4074" s="1052"/>
      <c r="E4074" s="753"/>
      <c r="F4074" s="349"/>
      <c r="G4074" s="222"/>
      <c r="H4074" s="223"/>
      <c r="I4074" s="47"/>
      <c r="J4074" s="47" t="s">
        <v>39</v>
      </c>
      <c r="K4074" s="216">
        <f>+K4071*K4072/K4073</f>
        <v>92.608254594954133</v>
      </c>
      <c r="L4074" s="47" t="s">
        <v>35</v>
      </c>
      <c r="M4074" s="25"/>
      <c r="O4074" s="2"/>
      <c r="P4074" s="27"/>
      <c r="Q4074" s="26"/>
      <c r="R4074" s="28"/>
    </row>
    <row r="4075" spans="1:20" ht="30" customHeight="1" thickBot="1" x14ac:dyDescent="0.5">
      <c r="A4075" s="541"/>
      <c r="B4075" s="1174" t="s">
        <v>2205</v>
      </c>
      <c r="C4075" s="1174"/>
      <c r="D4075" s="1174"/>
      <c r="E4075" s="542"/>
      <c r="F4075" s="551"/>
      <c r="G4075" s="1025" t="s">
        <v>288</v>
      </c>
      <c r="H4075" s="1026"/>
      <c r="I4075" s="1027"/>
      <c r="J4075" s="226">
        <f>VLOOKUP(B4069,'[1]Mil Cost Premiums for PUCs'!$A$4:$R$278,18,FALSE)</f>
        <v>1.0485669999999998</v>
      </c>
      <c r="K4075" s="227">
        <f>+K4074*J4075</f>
        <v>97.105959695867256</v>
      </c>
      <c r="L4075" s="225" t="s">
        <v>35</v>
      </c>
      <c r="M4075" s="25"/>
      <c r="O4075" s="2"/>
      <c r="P4075" s="27"/>
      <c r="Q4075" s="26"/>
      <c r="R4075" s="28"/>
    </row>
    <row r="4076" spans="1:20" ht="30" customHeight="1" thickBot="1" x14ac:dyDescent="0.5">
      <c r="A4076" s="999"/>
      <c r="B4076" s="1000"/>
      <c r="C4076" s="1000"/>
      <c r="D4076" s="1000"/>
      <c r="E4076" s="1000"/>
      <c r="F4076" s="1000"/>
      <c r="G4076" s="1000"/>
      <c r="H4076" s="1000"/>
      <c r="I4076" s="1000"/>
      <c r="J4076" s="1000"/>
      <c r="K4076" s="1000"/>
      <c r="L4076" s="1001"/>
      <c r="M4076" s="25"/>
      <c r="O4076" s="2"/>
      <c r="P4076" s="27"/>
      <c r="Q4076" s="26"/>
      <c r="R4076" s="28"/>
    </row>
    <row r="4077" spans="1:20" ht="30" customHeight="1" x14ac:dyDescent="0.45">
      <c r="A4077" s="9" t="s">
        <v>4</v>
      </c>
      <c r="B4077" s="10">
        <v>8332</v>
      </c>
      <c r="C4077" s="983" t="s">
        <v>2206</v>
      </c>
      <c r="D4077" s="984"/>
      <c r="E4077" s="13" t="s">
        <v>7</v>
      </c>
      <c r="F4077" s="14" t="s">
        <v>1256</v>
      </c>
      <c r="G4077" s="11" t="s">
        <v>6</v>
      </c>
      <c r="H4077" s="815">
        <v>10.8</v>
      </c>
      <c r="I4077" s="13" t="s">
        <v>9</v>
      </c>
      <c r="J4077" s="985" t="s">
        <v>575</v>
      </c>
      <c r="K4077" s="985"/>
      <c r="L4077" s="986"/>
      <c r="N4077" s="26"/>
      <c r="O4077" s="2"/>
      <c r="P4077" s="27"/>
      <c r="Q4077" s="26"/>
      <c r="R4077" s="28"/>
    </row>
    <row r="4078" spans="1:20" ht="30" customHeight="1" x14ac:dyDescent="0.45">
      <c r="A4078" s="85" t="s">
        <v>277</v>
      </c>
      <c r="B4078" s="987" t="s">
        <v>293</v>
      </c>
      <c r="C4078" s="988"/>
      <c r="D4078" s="989"/>
      <c r="E4078" s="220" t="s">
        <v>13</v>
      </c>
      <c r="F4078" s="220" t="s">
        <v>14</v>
      </c>
      <c r="G4078" s="990" t="s">
        <v>15</v>
      </c>
      <c r="H4078" s="991"/>
      <c r="I4078" s="19" t="s">
        <v>278</v>
      </c>
      <c r="J4078" s="19"/>
      <c r="K4078" s="992" t="s">
        <v>17</v>
      </c>
      <c r="L4078" s="993"/>
      <c r="M4078" s="25"/>
      <c r="N4078" s="26"/>
      <c r="O4078" s="2"/>
      <c r="P4078" s="27"/>
      <c r="Q4078" s="26"/>
      <c r="R4078" s="28"/>
    </row>
    <row r="4079" spans="1:20" ht="30" customHeight="1" x14ac:dyDescent="0.45">
      <c r="A4079" s="47" t="s">
        <v>2207</v>
      </c>
      <c r="B4079" s="1008" t="s">
        <v>2208</v>
      </c>
      <c r="C4079" s="1009"/>
      <c r="D4079" s="1010"/>
      <c r="E4079" s="816">
        <v>250000</v>
      </c>
      <c r="F4079" s="56" t="s">
        <v>1256</v>
      </c>
      <c r="G4079" s="348"/>
      <c r="H4079" s="349"/>
      <c r="I4079" s="47">
        <v>1.06</v>
      </c>
      <c r="J4079" s="47"/>
      <c r="K4079" s="422">
        <f>+E4079*I4079</f>
        <v>265000</v>
      </c>
      <c r="L4079" s="56" t="s">
        <v>1256</v>
      </c>
      <c r="M4079" s="25"/>
      <c r="N4079" s="26"/>
      <c r="O4079" s="2"/>
      <c r="P4079" s="27"/>
      <c r="Q4079" s="26"/>
      <c r="R4079" s="28"/>
    </row>
    <row r="4080" spans="1:20" ht="30" customHeight="1" x14ac:dyDescent="0.45">
      <c r="A4080" s="47" t="s">
        <v>2207</v>
      </c>
      <c r="B4080" s="1008" t="s">
        <v>2209</v>
      </c>
      <c r="C4080" s="1009"/>
      <c r="D4080" s="1010"/>
      <c r="E4080" s="378">
        <f>+(13700+20900)/2</f>
        <v>17300</v>
      </c>
      <c r="F4080" s="56" t="s">
        <v>88</v>
      </c>
      <c r="G4080" s="817">
        <f>+H4077</f>
        <v>10.8</v>
      </c>
      <c r="H4080" s="349" t="s">
        <v>2210</v>
      </c>
      <c r="I4080" s="47">
        <v>1.06</v>
      </c>
      <c r="J4080" s="47"/>
      <c r="K4080" s="422">
        <f>+E4080/G4080*I4080</f>
        <v>1697.9629629629628</v>
      </c>
      <c r="L4080" s="56" t="s">
        <v>1256</v>
      </c>
      <c r="M4080" s="25"/>
      <c r="N4080" s="26"/>
      <c r="O4080" s="2"/>
      <c r="P4080" s="27"/>
      <c r="Q4080" s="26"/>
      <c r="R4080" s="28"/>
    </row>
    <row r="4081" spans="1:20" ht="30" customHeight="1" x14ac:dyDescent="0.45">
      <c r="A4081" s="47" t="s">
        <v>2116</v>
      </c>
      <c r="B4081" s="1008" t="s">
        <v>2211</v>
      </c>
      <c r="C4081" s="1009"/>
      <c r="D4081" s="1010"/>
      <c r="E4081" s="378">
        <f>+(103+173)/2</f>
        <v>138</v>
      </c>
      <c r="F4081" s="56" t="s">
        <v>1184</v>
      </c>
      <c r="G4081" s="660">
        <f>50/H4077</f>
        <v>4.6296296296296298</v>
      </c>
      <c r="H4081" s="349" t="s">
        <v>2212</v>
      </c>
      <c r="I4081" s="47">
        <v>1.06</v>
      </c>
      <c r="J4081" s="47"/>
      <c r="K4081" s="422">
        <f>+E4081*G4081*I4081</f>
        <v>677.22222222222229</v>
      </c>
      <c r="L4081" s="56" t="s">
        <v>1256</v>
      </c>
      <c r="M4081" s="25"/>
      <c r="N4081" s="26"/>
      <c r="O4081" s="2"/>
      <c r="P4081" s="27"/>
      <c r="Q4081" s="26"/>
      <c r="R4081" s="28"/>
    </row>
    <row r="4082" spans="1:20" ht="30" customHeight="1" x14ac:dyDescent="0.45">
      <c r="A4082" s="47" t="s">
        <v>282</v>
      </c>
      <c r="B4082" s="1008" t="s">
        <v>2213</v>
      </c>
      <c r="C4082" s="1009"/>
      <c r="D4082" s="1010"/>
      <c r="E4082" s="378">
        <v>6950</v>
      </c>
      <c r="F4082" s="56" t="s">
        <v>88</v>
      </c>
      <c r="G4082" s="817">
        <f>+H4077</f>
        <v>10.8</v>
      </c>
      <c r="H4082" s="349" t="s">
        <v>2210</v>
      </c>
      <c r="I4082" s="365">
        <v>1</v>
      </c>
      <c r="J4082" s="47"/>
      <c r="K4082" s="422">
        <f>+E4082/G4082*I4082</f>
        <v>643.51851851851848</v>
      </c>
      <c r="L4082" s="56" t="s">
        <v>1256</v>
      </c>
      <c r="M4082" s="25"/>
      <c r="N4082" s="26"/>
      <c r="O4082" s="2"/>
      <c r="P4082" s="27"/>
      <c r="Q4082" s="26"/>
      <c r="R4082" s="28"/>
    </row>
    <row r="4083" spans="1:20" ht="30" customHeight="1" x14ac:dyDescent="0.45">
      <c r="A4083" s="47" t="s">
        <v>282</v>
      </c>
      <c r="B4083" s="1008" t="s">
        <v>2214</v>
      </c>
      <c r="C4083" s="1009"/>
      <c r="D4083" s="1010"/>
      <c r="E4083" s="378">
        <f>+(2420+2875)/2</f>
        <v>2647.5</v>
      </c>
      <c r="F4083" s="56" t="s">
        <v>88</v>
      </c>
      <c r="G4083" s="817">
        <f>+H4077</f>
        <v>10.8</v>
      </c>
      <c r="H4083" s="349" t="s">
        <v>2210</v>
      </c>
      <c r="I4083" s="365">
        <v>1</v>
      </c>
      <c r="J4083" s="47"/>
      <c r="K4083" s="422">
        <f>+E4083/G4083*I4083</f>
        <v>245.13888888888889</v>
      </c>
      <c r="L4083" s="56" t="s">
        <v>1256</v>
      </c>
      <c r="M4083" s="25"/>
      <c r="N4083" s="26"/>
      <c r="O4083" s="2"/>
      <c r="P4083" s="27"/>
      <c r="Q4083" s="26"/>
      <c r="R4083" s="28"/>
    </row>
    <row r="4084" spans="1:20" ht="30" customHeight="1" x14ac:dyDescent="0.45">
      <c r="A4084" s="47" t="s">
        <v>282</v>
      </c>
      <c r="B4084" s="1008" t="s">
        <v>2215</v>
      </c>
      <c r="C4084" s="1009"/>
      <c r="D4084" s="1010"/>
      <c r="E4084" s="378">
        <f>+(6750+7450)/2</f>
        <v>7100</v>
      </c>
      <c r="F4084" s="56" t="s">
        <v>88</v>
      </c>
      <c r="G4084" s="817">
        <f>+H4077</f>
        <v>10.8</v>
      </c>
      <c r="H4084" s="349" t="s">
        <v>2210</v>
      </c>
      <c r="I4084" s="365">
        <v>1</v>
      </c>
      <c r="J4084" s="47"/>
      <c r="K4084" s="422">
        <f>+E4084/G4084*I4084</f>
        <v>657.40740740740739</v>
      </c>
      <c r="L4084" s="56" t="s">
        <v>1256</v>
      </c>
      <c r="M4084" s="25"/>
      <c r="N4084" s="26"/>
      <c r="O4084" s="2"/>
      <c r="P4084" s="27"/>
      <c r="Q4084" s="26"/>
      <c r="R4084" s="28"/>
    </row>
    <row r="4085" spans="1:20" ht="30" customHeight="1" x14ac:dyDescent="0.45">
      <c r="A4085" s="47" t="s">
        <v>282</v>
      </c>
      <c r="B4085" s="1008" t="s">
        <v>2216</v>
      </c>
      <c r="C4085" s="1009"/>
      <c r="D4085" s="1010"/>
      <c r="E4085" s="378">
        <f>+(2370+2925)/2</f>
        <v>2647.5</v>
      </c>
      <c r="F4085" s="56" t="s">
        <v>88</v>
      </c>
      <c r="G4085" s="817">
        <f>+H4077</f>
        <v>10.8</v>
      </c>
      <c r="H4085" s="349" t="s">
        <v>2210</v>
      </c>
      <c r="I4085" s="365">
        <v>1</v>
      </c>
      <c r="J4085" s="47"/>
      <c r="K4085" s="422">
        <f>+E4085/G4085*I4085*2</f>
        <v>490.27777777777777</v>
      </c>
      <c r="L4085" s="56" t="s">
        <v>1256</v>
      </c>
      <c r="M4085" s="25"/>
      <c r="N4085" s="26"/>
      <c r="O4085" s="2"/>
      <c r="P4085" s="27"/>
      <c r="Q4085" s="26"/>
      <c r="R4085" s="28"/>
    </row>
    <row r="4086" spans="1:20" ht="30" customHeight="1" x14ac:dyDescent="0.45">
      <c r="A4086" s="58"/>
      <c r="B4086" s="1030"/>
      <c r="C4086" s="1030"/>
      <c r="D4086" s="1030"/>
      <c r="E4086" s="221"/>
      <c r="F4086" s="47"/>
      <c r="G4086" s="47"/>
      <c r="H4086" s="47"/>
      <c r="I4086" s="47"/>
      <c r="J4086" s="47" t="s">
        <v>38</v>
      </c>
      <c r="K4086" s="459">
        <f>SUM(K4079:K4085)</f>
        <v>269411.52777777781</v>
      </c>
      <c r="L4086" s="56" t="s">
        <v>1256</v>
      </c>
      <c r="M4086" s="25"/>
      <c r="N4086" s="26"/>
      <c r="O4086" s="2"/>
      <c r="P4086" s="27"/>
      <c r="Q4086" s="26"/>
      <c r="R4086" s="28"/>
    </row>
    <row r="4087" spans="1:20" ht="30" customHeight="1" x14ac:dyDescent="0.45">
      <c r="A4087" s="47"/>
      <c r="B4087" s="224"/>
      <c r="C4087" s="224"/>
      <c r="D4087" s="224"/>
      <c r="E4087" s="221"/>
      <c r="F4087" s="1011" t="s">
        <v>285</v>
      </c>
      <c r="G4087" s="1013" t="s">
        <v>286</v>
      </c>
      <c r="H4087" s="1013"/>
      <c r="I4087" s="1013"/>
      <c r="J4087" s="1013"/>
      <c r="K4087" s="278">
        <v>1.07</v>
      </c>
      <c r="L4087" s="47"/>
      <c r="M4087" s="25"/>
      <c r="N4087" s="26"/>
      <c r="O4087" s="2"/>
      <c r="P4087" s="27"/>
      <c r="Q4087" s="26"/>
      <c r="R4087" s="28"/>
    </row>
    <row r="4088" spans="1:20" ht="30" customHeight="1" x14ac:dyDescent="0.45">
      <c r="A4088" s="47"/>
      <c r="B4088" s="224"/>
      <c r="C4088" s="224"/>
      <c r="D4088" s="224"/>
      <c r="E4088" s="221"/>
      <c r="F4088" s="1012"/>
      <c r="G4088" s="1014" t="s">
        <v>580</v>
      </c>
      <c r="H4088" s="1014"/>
      <c r="I4088" s="1014"/>
      <c r="J4088" s="1014"/>
      <c r="K4088" s="278">
        <v>1.08</v>
      </c>
      <c r="L4088" s="47"/>
      <c r="M4088" s="25"/>
      <c r="N4088" s="26"/>
      <c r="O4088" s="2"/>
      <c r="P4088" s="27"/>
      <c r="Q4088" s="26"/>
      <c r="R4088" s="28"/>
    </row>
    <row r="4089" spans="1:20" ht="30" customHeight="1" x14ac:dyDescent="0.45">
      <c r="A4089" s="58"/>
      <c r="B4089" s="47"/>
      <c r="C4089" s="58"/>
      <c r="D4089" s="58"/>
      <c r="E4089" s="58"/>
      <c r="F4089" s="58"/>
      <c r="G4089" s="58"/>
      <c r="H4089" s="58"/>
      <c r="I4089" s="58"/>
      <c r="J4089" s="47" t="s">
        <v>39</v>
      </c>
      <c r="K4089" s="216">
        <f>+K4086*K4087/K4088</f>
        <v>266916.97659465024</v>
      </c>
      <c r="L4089" s="47" t="s">
        <v>1256</v>
      </c>
      <c r="M4089" s="25"/>
      <c r="N4089" s="26"/>
      <c r="O4089" s="2"/>
      <c r="P4089" s="27"/>
      <c r="Q4089" s="26"/>
      <c r="R4089" s="28"/>
    </row>
    <row r="4090" spans="1:20" s="18" customFormat="1" ht="30" customHeight="1" x14ac:dyDescent="0.45">
      <c r="A4090" s="47"/>
      <c r="B4090" s="47"/>
      <c r="C4090" s="58"/>
      <c r="D4090" s="58"/>
      <c r="E4090" s="58"/>
      <c r="F4090" s="58"/>
      <c r="G4090" s="1021" t="s">
        <v>288</v>
      </c>
      <c r="H4090" s="1022"/>
      <c r="I4090" s="1023"/>
      <c r="J4090" s="213">
        <f>VLOOKUP(B4077,'[1]Mil Cost Premiums for PUCs'!$A$4:$R$278,18,FALSE)</f>
        <v>1.1199953840399997</v>
      </c>
      <c r="K4090" s="216">
        <f>+K4089*J4090</f>
        <v>298945.78170792089</v>
      </c>
      <c r="L4090" s="47" t="s">
        <v>1256</v>
      </c>
      <c r="M4090" s="17"/>
      <c r="N4090" s="26"/>
      <c r="O4090" s="2"/>
      <c r="P4090" s="27"/>
      <c r="Q4090" s="26"/>
      <c r="R4090" s="28"/>
      <c r="S4090" s="2"/>
    </row>
    <row r="4091" spans="1:20" ht="30" customHeight="1" x14ac:dyDescent="0.45">
      <c r="A4091" s="541"/>
      <c r="B4091" s="541"/>
      <c r="C4091" s="542"/>
      <c r="D4091" s="542"/>
      <c r="E4091" s="542"/>
      <c r="F4091" s="1024" t="s">
        <v>581</v>
      </c>
      <c r="G4091" s="1024"/>
      <c r="H4091" s="1024"/>
      <c r="I4091" s="1024"/>
      <c r="J4091" s="756">
        <v>1.0833999999999999</v>
      </c>
      <c r="K4091" s="757">
        <f>K4090*J4091</f>
        <v>323877.85990236147</v>
      </c>
      <c r="L4091" s="47" t="s">
        <v>1256</v>
      </c>
      <c r="M4091" s="25"/>
      <c r="N4091" s="101"/>
      <c r="O4091" s="5"/>
      <c r="P4091" s="790"/>
      <c r="Q4091" s="101"/>
      <c r="R4091" s="791"/>
      <c r="S4091" s="18"/>
      <c r="T4091" s="41"/>
    </row>
    <row r="4092" spans="1:20" ht="30" customHeight="1" thickBot="1" x14ac:dyDescent="0.5">
      <c r="A4092" s="225"/>
      <c r="B4092" s="225"/>
      <c r="C4092" s="150"/>
      <c r="D4092" s="150"/>
      <c r="E4092" s="150"/>
      <c r="F4092" s="150"/>
      <c r="G4092" s="1025" t="s">
        <v>299</v>
      </c>
      <c r="H4092" s="1026"/>
      <c r="I4092" s="1027"/>
      <c r="J4092" s="226">
        <v>1.1214</v>
      </c>
      <c r="K4092" s="227">
        <f>+K4091*J4092</f>
        <v>363196.63209450815</v>
      </c>
      <c r="L4092" s="47" t="s">
        <v>1256</v>
      </c>
      <c r="M4092" s="25"/>
    </row>
    <row r="4093" spans="1:20" ht="30" customHeight="1" thickBot="1" x14ac:dyDescent="0.5">
      <c r="A4093" s="999"/>
      <c r="B4093" s="1000"/>
      <c r="C4093" s="1000"/>
      <c r="D4093" s="1000"/>
      <c r="E4093" s="1000"/>
      <c r="F4093" s="1000"/>
      <c r="G4093" s="1000"/>
      <c r="H4093" s="1000"/>
      <c r="I4093" s="1000"/>
      <c r="J4093" s="1000"/>
      <c r="K4093" s="1000"/>
      <c r="L4093" s="1001"/>
      <c r="M4093" s="25"/>
      <c r="N4093" s="26"/>
      <c r="P4093" s="27"/>
      <c r="Q4093" s="26"/>
      <c r="R4093" s="28"/>
      <c r="T4093" s="41"/>
    </row>
    <row r="4094" spans="1:20" ht="30" customHeight="1" x14ac:dyDescent="0.45">
      <c r="A4094" s="9" t="s">
        <v>4</v>
      </c>
      <c r="B4094" s="10">
        <v>8333</v>
      </c>
      <c r="C4094" s="983" t="s">
        <v>2217</v>
      </c>
      <c r="D4094" s="984"/>
      <c r="E4094" s="13" t="s">
        <v>7</v>
      </c>
      <c r="F4094" s="167" t="s">
        <v>672</v>
      </c>
      <c r="G4094" s="11" t="s">
        <v>6</v>
      </c>
      <c r="H4094" s="815">
        <v>22.2</v>
      </c>
      <c r="I4094" s="13" t="s">
        <v>9</v>
      </c>
      <c r="J4094" s="985" t="s">
        <v>2218</v>
      </c>
      <c r="K4094" s="985"/>
      <c r="L4094" s="986"/>
      <c r="M4094" s="121"/>
      <c r="N4094" s="26"/>
      <c r="P4094" s="27"/>
      <c r="Q4094" s="26"/>
      <c r="R4094" s="28"/>
      <c r="T4094" s="41"/>
    </row>
    <row r="4095" spans="1:20" ht="30" customHeight="1" x14ac:dyDescent="0.45">
      <c r="A4095" s="19"/>
      <c r="B4095" s="1005" t="s">
        <v>12</v>
      </c>
      <c r="C4095" s="1005"/>
      <c r="D4095" s="1005"/>
      <c r="E4095" s="19" t="s">
        <v>534</v>
      </c>
      <c r="F4095" s="19" t="s">
        <v>79</v>
      </c>
      <c r="G4095" s="990" t="s">
        <v>15</v>
      </c>
      <c r="H4095" s="991"/>
      <c r="I4095" s="19" t="s">
        <v>59</v>
      </c>
      <c r="J4095" s="21" t="s">
        <v>16</v>
      </c>
      <c r="K4095" s="992" t="s">
        <v>17</v>
      </c>
      <c r="L4095" s="993"/>
      <c r="M4095" s="25"/>
      <c r="N4095" s="26"/>
      <c r="S4095" s="41"/>
      <c r="T4095" s="90"/>
    </row>
    <row r="4096" spans="1:20" ht="30" customHeight="1" x14ac:dyDescent="0.45">
      <c r="A4096" s="38"/>
      <c r="B4096" s="994" t="s">
        <v>2219</v>
      </c>
      <c r="C4096" s="994"/>
      <c r="D4096" s="994"/>
      <c r="E4096" s="136">
        <v>521505</v>
      </c>
      <c r="F4096" s="38" t="s">
        <v>672</v>
      </c>
      <c r="G4096" s="58"/>
      <c r="H4096" s="398"/>
      <c r="I4096" s="818">
        <v>0.93</v>
      </c>
      <c r="J4096" s="34">
        <f>'[1]2023 MILCON Inflation Table'!F15</f>
        <v>1.2839611975731238</v>
      </c>
      <c r="K4096" s="136">
        <f>+E4096/I4096*J4096</f>
        <v>719991.596064916</v>
      </c>
      <c r="L4096" s="38" t="s">
        <v>672</v>
      </c>
      <c r="M4096" s="25"/>
      <c r="N4096" s="26"/>
      <c r="S4096" s="41"/>
    </row>
    <row r="4097" spans="1:20" ht="30" customHeight="1" x14ac:dyDescent="0.45">
      <c r="A4097" s="38"/>
      <c r="B4097" s="994" t="s">
        <v>2220</v>
      </c>
      <c r="C4097" s="994"/>
      <c r="D4097" s="994"/>
      <c r="E4097" s="136">
        <v>1200000</v>
      </c>
      <c r="F4097" s="38" t="s">
        <v>672</v>
      </c>
      <c r="G4097" s="58"/>
      <c r="H4097" s="398"/>
      <c r="I4097" s="818">
        <v>1.06</v>
      </c>
      <c r="J4097" s="34">
        <f>'[1]2023 MILCON Inflation Table'!F17</f>
        <v>1.2152790130673263</v>
      </c>
      <c r="K4097" s="136">
        <f>+E4097/I4097*J4097</f>
        <v>1375787.561963011</v>
      </c>
      <c r="L4097" s="38" t="s">
        <v>672</v>
      </c>
      <c r="M4097" s="25"/>
      <c r="N4097" s="26"/>
      <c r="S4097" s="41"/>
      <c r="T4097" s="41"/>
    </row>
    <row r="4098" spans="1:20" ht="30" customHeight="1" x14ac:dyDescent="0.45">
      <c r="A4098" s="38"/>
      <c r="B4098" s="994" t="s">
        <v>2221</v>
      </c>
      <c r="C4098" s="994"/>
      <c r="D4098" s="994"/>
      <c r="E4098" s="136">
        <v>380000</v>
      </c>
      <c r="F4098" s="38" t="s">
        <v>672</v>
      </c>
      <c r="G4098" s="58"/>
      <c r="H4098" s="398"/>
      <c r="I4098" s="818">
        <v>1.1399999999999999</v>
      </c>
      <c r="J4098" s="34">
        <f>'[1]2023 MILCON Inflation Table'!F14</f>
        <v>1.3545159367405897</v>
      </c>
      <c r="K4098" s="136">
        <f>+E4098/I4098*J4098</f>
        <v>451505.31224686326</v>
      </c>
      <c r="L4098" s="38" t="s">
        <v>672</v>
      </c>
      <c r="M4098" s="25"/>
      <c r="N4098" s="26"/>
      <c r="O4098" s="2"/>
    </row>
    <row r="4099" spans="1:20" ht="30" customHeight="1" x14ac:dyDescent="0.45">
      <c r="A4099" s="38"/>
      <c r="B4099" s="4"/>
      <c r="C4099" s="4"/>
      <c r="D4099" s="4"/>
      <c r="E4099" s="606"/>
      <c r="F4099" s="15"/>
      <c r="G4099" s="515"/>
      <c r="H4099" s="389"/>
      <c r="I4099" s="818"/>
      <c r="J4099" s="34" t="s">
        <v>328</v>
      </c>
      <c r="K4099" s="136">
        <f>AVERAGE(K4096:K4098)</f>
        <v>849094.8234249301</v>
      </c>
      <c r="L4099" s="38" t="s">
        <v>672</v>
      </c>
      <c r="M4099" s="25"/>
      <c r="N4099" s="26"/>
      <c r="O4099" s="2"/>
    </row>
    <row r="4100" spans="1:20" ht="30" customHeight="1" x14ac:dyDescent="0.45">
      <c r="A4100" s="38"/>
      <c r="B4100" s="4"/>
      <c r="C4100" s="4"/>
      <c r="D4100" s="4"/>
      <c r="E4100" s="606"/>
      <c r="F4100" s="15"/>
      <c r="G4100" s="515"/>
      <c r="H4100" s="389"/>
      <c r="I4100" s="818"/>
      <c r="J4100" s="85" t="s">
        <v>39</v>
      </c>
      <c r="K4100" s="185">
        <f>+K4099</f>
        <v>849094.8234249301</v>
      </c>
      <c r="L4100" s="47" t="s">
        <v>672</v>
      </c>
      <c r="M4100" s="25"/>
      <c r="N4100" s="26"/>
      <c r="O4100" s="2"/>
      <c r="S4100" s="41"/>
    </row>
    <row r="4101" spans="1:20" ht="30" customHeight="1" thickBot="1" x14ac:dyDescent="0.5">
      <c r="A4101" s="1172" t="s">
        <v>2222</v>
      </c>
      <c r="B4101" s="1173"/>
      <c r="C4101" s="1173"/>
      <c r="D4101" s="1173"/>
      <c r="E4101" s="204"/>
      <c r="F4101" s="205"/>
      <c r="G4101" s="1032" t="s">
        <v>288</v>
      </c>
      <c r="H4101" s="1033"/>
      <c r="I4101" s="1034"/>
      <c r="J4101" s="213">
        <f>VLOOKUP(B4094,'[1]Mil Cost Premiums for PUCs'!$A$4:$R$278,18,FALSE)</f>
        <v>1.1199953840399997</v>
      </c>
      <c r="K4101" s="216">
        <f>+K4100*J4101</f>
        <v>950982.28284818027</v>
      </c>
      <c r="L4101" s="47" t="s">
        <v>672</v>
      </c>
      <c r="M4101" s="25"/>
      <c r="N4101" s="26"/>
      <c r="S4101" s="41"/>
      <c r="T4101" s="41"/>
    </row>
    <row r="4102" spans="1:20" ht="30" customHeight="1" thickBot="1" x14ac:dyDescent="0.5">
      <c r="A4102" s="999"/>
      <c r="B4102" s="1000"/>
      <c r="C4102" s="1000"/>
      <c r="D4102" s="1000"/>
      <c r="E4102" s="1000"/>
      <c r="F4102" s="1000"/>
      <c r="G4102" s="1000"/>
      <c r="H4102" s="1000"/>
      <c r="I4102" s="1000"/>
      <c r="J4102" s="1000"/>
      <c r="K4102" s="1000"/>
      <c r="L4102" s="1001"/>
      <c r="M4102" s="25"/>
      <c r="P4102" s="27"/>
      <c r="Q4102" s="26"/>
      <c r="R4102" s="28"/>
      <c r="T4102" s="41"/>
    </row>
    <row r="4103" spans="1:20" ht="30" customHeight="1" x14ac:dyDescent="0.45">
      <c r="A4103" s="9" t="s">
        <v>4</v>
      </c>
      <c r="B4103" s="10">
        <v>8334</v>
      </c>
      <c r="C4103" s="983" t="s">
        <v>2223</v>
      </c>
      <c r="D4103" s="984"/>
      <c r="E4103" s="13" t="s">
        <v>7</v>
      </c>
      <c r="F4103" s="14" t="s">
        <v>672</v>
      </c>
      <c r="G4103" s="11" t="s">
        <v>6</v>
      </c>
      <c r="H4103" s="815">
        <v>17.149999999999999</v>
      </c>
      <c r="I4103" s="13" t="s">
        <v>9</v>
      </c>
      <c r="J4103" s="985" t="s">
        <v>2218</v>
      </c>
      <c r="K4103" s="985"/>
      <c r="L4103" s="986"/>
      <c r="M4103" s="25"/>
      <c r="S4103" s="41"/>
    </row>
    <row r="4104" spans="1:20" ht="30" customHeight="1" x14ac:dyDescent="0.45">
      <c r="A4104" s="19"/>
      <c r="B4104" s="1169" t="s">
        <v>12</v>
      </c>
      <c r="C4104" s="1169"/>
      <c r="D4104" s="1169"/>
      <c r="E4104" s="132" t="s">
        <v>534</v>
      </c>
      <c r="F4104" s="132" t="s">
        <v>79</v>
      </c>
      <c r="G4104" s="1170" t="s">
        <v>15</v>
      </c>
      <c r="H4104" s="1171"/>
      <c r="I4104" s="19" t="s">
        <v>59</v>
      </c>
      <c r="J4104" s="21" t="s">
        <v>16</v>
      </c>
      <c r="K4104" s="992" t="s">
        <v>17</v>
      </c>
      <c r="L4104" s="993"/>
      <c r="M4104" s="25"/>
      <c r="S4104" s="90"/>
    </row>
    <row r="4105" spans="1:20" ht="30" customHeight="1" x14ac:dyDescent="0.45">
      <c r="A4105" s="11"/>
      <c r="B4105" s="1143" t="s">
        <v>2224</v>
      </c>
      <c r="C4105" s="1143"/>
      <c r="D4105" s="1143"/>
      <c r="E4105" s="819">
        <f>K4101</f>
        <v>950982.28284818027</v>
      </c>
      <c r="F4105" s="261" t="s">
        <v>672</v>
      </c>
      <c r="G4105" s="252">
        <v>1.27</v>
      </c>
      <c r="H4105" s="820" t="s">
        <v>2225</v>
      </c>
      <c r="I4105" s="821">
        <v>1</v>
      </c>
      <c r="J4105" s="34">
        <v>1</v>
      </c>
      <c r="K4105" s="136">
        <f>E4105*G4105*I4105*J4105</f>
        <v>1207747.4992171889</v>
      </c>
      <c r="L4105" s="38" t="s">
        <v>672</v>
      </c>
      <c r="M4105" s="25"/>
      <c r="S4105" s="41"/>
    </row>
    <row r="4106" spans="1:20" ht="30" customHeight="1" x14ac:dyDescent="0.45">
      <c r="A4106" s="222"/>
      <c r="B4106" s="1052"/>
      <c r="C4106" s="1052"/>
      <c r="D4106" s="1052"/>
      <c r="E4106" s="1052" t="s">
        <v>2226</v>
      </c>
      <c r="F4106" s="1052"/>
      <c r="G4106" s="1052"/>
      <c r="H4106" s="1052"/>
      <c r="I4106" s="524"/>
      <c r="J4106" s="85" t="s">
        <v>39</v>
      </c>
      <c r="K4106" s="534">
        <f>+K4105</f>
        <v>1207747.4992171889</v>
      </c>
      <c r="L4106" s="47" t="s">
        <v>672</v>
      </c>
      <c r="M4106" s="25"/>
      <c r="T4106" s="90"/>
    </row>
    <row r="4107" spans="1:20" ht="30" customHeight="1" x14ac:dyDescent="0.45">
      <c r="A4107" s="1166" t="s">
        <v>2227</v>
      </c>
      <c r="B4107" s="1167"/>
      <c r="C4107" s="1167"/>
      <c r="D4107" s="1167"/>
      <c r="E4107" s="1167"/>
      <c r="F4107" s="1167"/>
      <c r="G4107" s="1167"/>
      <c r="H4107" s="1167"/>
      <c r="I4107" s="1167"/>
      <c r="J4107" s="1167"/>
      <c r="K4107" s="1167"/>
      <c r="L4107" s="1168"/>
      <c r="M4107" s="25"/>
      <c r="N4107" s="26"/>
      <c r="S4107" s="41"/>
    </row>
    <row r="4108" spans="1:20" ht="30" customHeight="1" thickBot="1" x14ac:dyDescent="0.5">
      <c r="A4108" s="1166"/>
      <c r="B4108" s="1167"/>
      <c r="C4108" s="1167"/>
      <c r="D4108" s="1167"/>
      <c r="E4108" s="1167"/>
      <c r="F4108" s="1167"/>
      <c r="G4108" s="1167"/>
      <c r="H4108" s="1167"/>
      <c r="I4108" s="1167"/>
      <c r="J4108" s="1167"/>
      <c r="K4108" s="1167"/>
      <c r="L4108" s="1168"/>
      <c r="M4108" s="25"/>
    </row>
    <row r="4109" spans="1:20" ht="30" customHeight="1" thickBot="1" x14ac:dyDescent="0.5">
      <c r="A4109" s="999"/>
      <c r="B4109" s="1000"/>
      <c r="C4109" s="1000"/>
      <c r="D4109" s="1000"/>
      <c r="E4109" s="1000"/>
      <c r="F4109" s="1000"/>
      <c r="G4109" s="1000"/>
      <c r="H4109" s="1000"/>
      <c r="I4109" s="1000"/>
      <c r="J4109" s="1000"/>
      <c r="K4109" s="1000"/>
      <c r="L4109" s="1001"/>
      <c r="M4109" s="25"/>
      <c r="T4109" s="41"/>
    </row>
    <row r="4110" spans="1:20" ht="30" customHeight="1" x14ac:dyDescent="0.45">
      <c r="A4110" s="9" t="s">
        <v>4</v>
      </c>
      <c r="B4110" s="10">
        <v>8412</v>
      </c>
      <c r="C4110" s="1028" t="s">
        <v>2228</v>
      </c>
      <c r="D4110" s="1029"/>
      <c r="E4110" s="13" t="s">
        <v>7</v>
      </c>
      <c r="F4110" s="14" t="s">
        <v>2170</v>
      </c>
      <c r="G4110" s="11" t="s">
        <v>6</v>
      </c>
      <c r="H4110" s="163">
        <v>1189</v>
      </c>
      <c r="I4110" s="13" t="s">
        <v>9</v>
      </c>
      <c r="J4110" s="985" t="s">
        <v>1252</v>
      </c>
      <c r="K4110" s="985"/>
      <c r="L4110" s="986"/>
      <c r="M4110" s="25"/>
      <c r="T4110" s="41"/>
    </row>
    <row r="4111" spans="1:20" ht="30" customHeight="1" x14ac:dyDescent="0.45">
      <c r="A4111" s="85" t="s">
        <v>277</v>
      </c>
      <c r="B4111" s="987" t="s">
        <v>293</v>
      </c>
      <c r="C4111" s="988"/>
      <c r="D4111" s="989"/>
      <c r="E4111" s="220" t="s">
        <v>13</v>
      </c>
      <c r="F4111" s="220" t="s">
        <v>14</v>
      </c>
      <c r="G4111" s="990" t="s">
        <v>15</v>
      </c>
      <c r="H4111" s="991"/>
      <c r="I4111" s="19" t="s">
        <v>278</v>
      </c>
      <c r="J4111" s="19" t="s">
        <v>16</v>
      </c>
      <c r="K4111" s="992" t="s">
        <v>17</v>
      </c>
      <c r="L4111" s="993"/>
      <c r="M4111" s="25"/>
      <c r="N4111" s="26"/>
    </row>
    <row r="4112" spans="1:20" ht="30" customHeight="1" x14ac:dyDescent="0.45">
      <c r="A4112" s="47" t="s">
        <v>1254</v>
      </c>
      <c r="B4112" s="1018" t="s">
        <v>2229</v>
      </c>
      <c r="C4112" s="1019"/>
      <c r="D4112" s="1020"/>
      <c r="E4112" s="378">
        <f>+((4.57+5.44)/2)</f>
        <v>5.0050000000000008</v>
      </c>
      <c r="F4112" s="56" t="s">
        <v>2230</v>
      </c>
      <c r="G4112" s="813">
        <v>1000</v>
      </c>
      <c r="H4112" s="349" t="s">
        <v>2173</v>
      </c>
      <c r="I4112" s="47">
        <v>1.05</v>
      </c>
      <c r="J4112" s="681">
        <f>+'[1]2023 MILCON Inflation Table'!F14</f>
        <v>1.3545159367405897</v>
      </c>
      <c r="K4112" s="216">
        <f>+E4112*G4112*I4112*J4112</f>
        <v>7118.3198765559855</v>
      </c>
      <c r="L4112" s="56" t="s">
        <v>2170</v>
      </c>
      <c r="M4112" s="25"/>
      <c r="N4112" s="26"/>
      <c r="S4112" s="41"/>
    </row>
    <row r="4113" spans="1:20" ht="30" customHeight="1" x14ac:dyDescent="0.45">
      <c r="A4113" s="47"/>
      <c r="B4113" s="224"/>
      <c r="C4113" s="224"/>
      <c r="D4113" s="224"/>
      <c r="E4113" s="221"/>
      <c r="F4113" s="1011" t="s">
        <v>285</v>
      </c>
      <c r="G4113" s="1013" t="s">
        <v>286</v>
      </c>
      <c r="H4113" s="1013"/>
      <c r="I4113" s="1013"/>
      <c r="J4113" s="1013"/>
      <c r="K4113" s="278">
        <v>1.06</v>
      </c>
      <c r="L4113" s="47"/>
      <c r="M4113" s="25"/>
      <c r="S4113" s="41"/>
    </row>
    <row r="4114" spans="1:20" ht="30" customHeight="1" x14ac:dyDescent="0.45">
      <c r="A4114" s="47"/>
      <c r="B4114" s="224"/>
      <c r="C4114" s="224"/>
      <c r="D4114" s="224"/>
      <c r="E4114" s="221"/>
      <c r="F4114" s="1012"/>
      <c r="G4114" s="1014" t="s">
        <v>287</v>
      </c>
      <c r="H4114" s="1014"/>
      <c r="I4114" s="1014"/>
      <c r="J4114" s="1014"/>
      <c r="K4114" s="278">
        <v>1.05</v>
      </c>
      <c r="L4114" s="47"/>
      <c r="M4114" s="25"/>
    </row>
    <row r="4115" spans="1:20" ht="30" customHeight="1" x14ac:dyDescent="0.45">
      <c r="A4115" s="426"/>
      <c r="B4115" s="1008"/>
      <c r="C4115" s="1009"/>
      <c r="D4115" s="1010"/>
      <c r="E4115" s="221"/>
      <c r="F4115" s="56"/>
      <c r="G4115" s="222"/>
      <c r="H4115" s="223"/>
      <c r="I4115" s="47"/>
      <c r="J4115" s="47" t="s">
        <v>39</v>
      </c>
      <c r="K4115" s="216">
        <f>+K4112*K4113/K4114</f>
        <v>7186.1133991898523</v>
      </c>
      <c r="L4115" s="47" t="s">
        <v>2170</v>
      </c>
      <c r="M4115" s="25"/>
    </row>
    <row r="4116" spans="1:20" ht="30" customHeight="1" thickBot="1" x14ac:dyDescent="0.5">
      <c r="A4116" s="426"/>
      <c r="B4116" s="197"/>
      <c r="C4116" s="198"/>
      <c r="D4116" s="199"/>
      <c r="E4116" s="221"/>
      <c r="F4116" s="56"/>
      <c r="G4116" s="1032" t="s">
        <v>288</v>
      </c>
      <c r="H4116" s="1033"/>
      <c r="I4116" s="1034"/>
      <c r="J4116" s="213">
        <f>VLOOKUP(B4110,'[1]Mil Cost Premiums for PUCs'!$A$4:$R$278,18,FALSE)</f>
        <v>1.1199953840399997</v>
      </c>
      <c r="K4116" s="216">
        <f>+K4115*J4116</f>
        <v>8048.4138362806261</v>
      </c>
      <c r="L4116" s="47" t="s">
        <v>2170</v>
      </c>
      <c r="M4116" s="25"/>
    </row>
    <row r="4117" spans="1:20" ht="30" customHeight="1" thickBot="1" x14ac:dyDescent="0.5">
      <c r="A4117" s="999"/>
      <c r="B4117" s="1000"/>
      <c r="C4117" s="1000"/>
      <c r="D4117" s="1000"/>
      <c r="E4117" s="1000"/>
      <c r="F4117" s="1000"/>
      <c r="G4117" s="1000"/>
      <c r="H4117" s="1000"/>
      <c r="I4117" s="1000"/>
      <c r="J4117" s="1000"/>
      <c r="K4117" s="1000"/>
      <c r="L4117" s="1001"/>
      <c r="M4117" s="25"/>
      <c r="S4117" s="41"/>
      <c r="T4117" s="41"/>
    </row>
    <row r="4118" spans="1:20" ht="30" customHeight="1" x14ac:dyDescent="0.45">
      <c r="A4118" s="9" t="s">
        <v>4</v>
      </c>
      <c r="B4118" s="10">
        <v>8413</v>
      </c>
      <c r="C4118" s="983" t="s">
        <v>2231</v>
      </c>
      <c r="D4118" s="984"/>
      <c r="E4118" s="13" t="s">
        <v>7</v>
      </c>
      <c r="F4118" s="14" t="s">
        <v>163</v>
      </c>
      <c r="G4118" s="11" t="s">
        <v>6</v>
      </c>
      <c r="H4118" s="713">
        <v>352226.70323117299</v>
      </c>
      <c r="I4118" s="13" t="s">
        <v>9</v>
      </c>
      <c r="J4118" s="985" t="s">
        <v>421</v>
      </c>
      <c r="K4118" s="985"/>
      <c r="L4118" s="986"/>
      <c r="M4118" s="25"/>
      <c r="T4118" s="41"/>
    </row>
    <row r="4119" spans="1:20" ht="30" customHeight="1" x14ac:dyDescent="0.45">
      <c r="A4119" s="19" t="s">
        <v>11</v>
      </c>
      <c r="B4119" s="987" t="s">
        <v>293</v>
      </c>
      <c r="C4119" s="988"/>
      <c r="D4119" s="989"/>
      <c r="E4119" s="220" t="s">
        <v>13</v>
      </c>
      <c r="F4119" s="220" t="s">
        <v>14</v>
      </c>
      <c r="G4119" s="990" t="s">
        <v>15</v>
      </c>
      <c r="H4119" s="991"/>
      <c r="I4119" s="1068" t="s">
        <v>16</v>
      </c>
      <c r="J4119" s="1069"/>
      <c r="K4119" s="23" t="s">
        <v>17</v>
      </c>
      <c r="L4119" s="24"/>
      <c r="M4119" s="25"/>
      <c r="O4119" s="2"/>
    </row>
    <row r="4120" spans="1:20" ht="30" customHeight="1" x14ac:dyDescent="0.45">
      <c r="A4120" s="47">
        <v>84620</v>
      </c>
      <c r="B4120" s="1018" t="s">
        <v>2232</v>
      </c>
      <c r="C4120" s="1019"/>
      <c r="D4120" s="1020"/>
      <c r="E4120" s="378">
        <v>491730</v>
      </c>
      <c r="F4120" s="56" t="s">
        <v>88</v>
      </c>
      <c r="G4120" s="813">
        <v>250000</v>
      </c>
      <c r="H4120" s="349" t="s">
        <v>1400</v>
      </c>
      <c r="I4120" s="1090">
        <f>+'[1]2023 MILCON Inflation Table'!F21</f>
        <v>0.957411465768232</v>
      </c>
      <c r="J4120" s="1091"/>
      <c r="K4120" s="216">
        <f>+E4120/G4120*I4120</f>
        <v>1.8831517602488508</v>
      </c>
      <c r="L4120" s="56" t="s">
        <v>163</v>
      </c>
      <c r="O4120" s="2"/>
      <c r="S4120" s="41"/>
    </row>
    <row r="4121" spans="1:20" ht="30" customHeight="1" x14ac:dyDescent="0.45">
      <c r="A4121" s="47">
        <v>84620</v>
      </c>
      <c r="B4121" s="1018" t="s">
        <v>2233</v>
      </c>
      <c r="C4121" s="1019"/>
      <c r="D4121" s="1020"/>
      <c r="E4121" s="221">
        <v>690760</v>
      </c>
      <c r="F4121" s="47" t="s">
        <v>88</v>
      </c>
      <c r="G4121" s="822">
        <v>500000</v>
      </c>
      <c r="H4121" s="223" t="s">
        <v>1400</v>
      </c>
      <c r="I4121" s="1090">
        <f>+I4120</f>
        <v>0.957411465768232</v>
      </c>
      <c r="J4121" s="1091"/>
      <c r="K4121" s="216">
        <f>+E4121/G4121*I4121</f>
        <v>1.322683088188128</v>
      </c>
      <c r="L4121" s="47" t="s">
        <v>163</v>
      </c>
      <c r="M4121" s="25"/>
      <c r="N4121" s="26"/>
      <c r="O4121" s="2"/>
      <c r="P4121" s="27"/>
      <c r="Q4121" s="26"/>
      <c r="R4121" s="28"/>
    </row>
    <row r="4122" spans="1:20" ht="30" customHeight="1" x14ac:dyDescent="0.45">
      <c r="A4122" s="426"/>
      <c r="B4122" s="1030"/>
      <c r="C4122" s="1030"/>
      <c r="D4122" s="1030"/>
      <c r="E4122" s="221"/>
      <c r="F4122" s="47"/>
      <c r="G4122" s="47"/>
      <c r="H4122" s="47"/>
      <c r="I4122" s="47"/>
      <c r="J4122" s="47" t="s">
        <v>56</v>
      </c>
      <c r="K4122" s="221">
        <f>AVERAGE(K4120:K4121)</f>
        <v>1.6029174242184894</v>
      </c>
      <c r="L4122" s="47" t="s">
        <v>163</v>
      </c>
      <c r="M4122" s="121"/>
      <c r="O4122" s="2"/>
      <c r="S4122" s="41"/>
    </row>
    <row r="4123" spans="1:20" ht="30" customHeight="1" thickBot="1" x14ac:dyDescent="0.5">
      <c r="A4123" s="47"/>
      <c r="B4123" s="47"/>
      <c r="C4123" s="58"/>
      <c r="D4123" s="58"/>
      <c r="E4123" s="58"/>
      <c r="F4123" s="58"/>
      <c r="G4123" s="58"/>
      <c r="H4123" s="58"/>
      <c r="I4123" s="58"/>
      <c r="J4123" s="85" t="s">
        <v>39</v>
      </c>
      <c r="K4123" s="216">
        <f>+K4122</f>
        <v>1.6029174242184894</v>
      </c>
      <c r="L4123" s="47" t="s">
        <v>163</v>
      </c>
      <c r="M4123" s="25"/>
      <c r="O4123" s="2"/>
      <c r="P4123" s="27"/>
      <c r="Q4123" s="26"/>
      <c r="R4123" s="28"/>
    </row>
    <row r="4124" spans="1:20" ht="30" customHeight="1" thickBot="1" x14ac:dyDescent="0.5">
      <c r="A4124" s="999"/>
      <c r="B4124" s="1000"/>
      <c r="C4124" s="1000"/>
      <c r="D4124" s="1000"/>
      <c r="E4124" s="1000"/>
      <c r="F4124" s="1000"/>
      <c r="G4124" s="1000"/>
      <c r="H4124" s="1000"/>
      <c r="I4124" s="1000"/>
      <c r="J4124" s="1000"/>
      <c r="K4124" s="1000"/>
      <c r="L4124" s="1001"/>
      <c r="M4124" s="25"/>
      <c r="O4124" s="2"/>
      <c r="P4124" s="27"/>
      <c r="Q4124" s="26"/>
      <c r="R4124" s="28"/>
    </row>
    <row r="4125" spans="1:20" ht="30" customHeight="1" x14ac:dyDescent="0.45">
      <c r="A4125" s="9" t="s">
        <v>4</v>
      </c>
      <c r="B4125" s="10">
        <v>8414</v>
      </c>
      <c r="C4125" s="983" t="s">
        <v>2234</v>
      </c>
      <c r="D4125" s="984"/>
      <c r="E4125" s="13" t="s">
        <v>7</v>
      </c>
      <c r="F4125" s="14" t="s">
        <v>2170</v>
      </c>
      <c r="G4125" s="11" t="s">
        <v>6</v>
      </c>
      <c r="H4125" s="163">
        <v>510</v>
      </c>
      <c r="I4125" s="13" t="s">
        <v>9</v>
      </c>
      <c r="J4125" s="985" t="s">
        <v>575</v>
      </c>
      <c r="K4125" s="985"/>
      <c r="L4125" s="986"/>
      <c r="M4125" s="25"/>
      <c r="O4125" s="2"/>
      <c r="P4125" s="27"/>
      <c r="Q4125" s="26"/>
      <c r="R4125" s="28"/>
    </row>
    <row r="4126" spans="1:20" ht="30" customHeight="1" x14ac:dyDescent="0.45">
      <c r="A4126" s="85" t="s">
        <v>277</v>
      </c>
      <c r="B4126" s="987" t="s">
        <v>293</v>
      </c>
      <c r="C4126" s="988"/>
      <c r="D4126" s="989"/>
      <c r="E4126" s="220" t="s">
        <v>13</v>
      </c>
      <c r="F4126" s="220" t="s">
        <v>14</v>
      </c>
      <c r="G4126" s="990" t="s">
        <v>15</v>
      </c>
      <c r="H4126" s="991"/>
      <c r="I4126" s="19" t="s">
        <v>278</v>
      </c>
      <c r="J4126" s="19"/>
      <c r="K4126" s="992" t="s">
        <v>17</v>
      </c>
      <c r="L4126" s="993"/>
      <c r="M4126" s="25"/>
      <c r="O4126" s="2"/>
      <c r="P4126" s="27"/>
      <c r="Q4126" s="26"/>
      <c r="R4126" s="28"/>
    </row>
    <row r="4127" spans="1:20" ht="30" customHeight="1" x14ac:dyDescent="0.45">
      <c r="A4127" s="47" t="s">
        <v>2181</v>
      </c>
      <c r="B4127" s="1018" t="s">
        <v>2235</v>
      </c>
      <c r="C4127" s="1019"/>
      <c r="D4127" s="1020"/>
      <c r="E4127" s="378">
        <f>200*56</f>
        <v>11200</v>
      </c>
      <c r="F4127" s="56" t="s">
        <v>88</v>
      </c>
      <c r="G4127" s="823">
        <f>+H4125</f>
        <v>510</v>
      </c>
      <c r="H4127" s="824" t="s">
        <v>2179</v>
      </c>
      <c r="I4127" s="47">
        <v>1.01</v>
      </c>
      <c r="J4127" s="56"/>
      <c r="K4127" s="216">
        <f>+E4127/G4127*I4127</f>
        <v>22.180392156862744</v>
      </c>
      <c r="L4127" s="56" t="s">
        <v>2170</v>
      </c>
      <c r="M4127" s="25"/>
      <c r="O4127" s="2"/>
      <c r="P4127" s="27"/>
      <c r="Q4127" s="26"/>
      <c r="R4127" s="28"/>
    </row>
    <row r="4128" spans="1:20" ht="30" customHeight="1" x14ac:dyDescent="0.45">
      <c r="A4128" s="47" t="s">
        <v>2236</v>
      </c>
      <c r="B4128" s="1008" t="s">
        <v>2237</v>
      </c>
      <c r="C4128" s="1009"/>
      <c r="D4128" s="1010"/>
      <c r="E4128" s="221">
        <v>14900</v>
      </c>
      <c r="F4128" s="222" t="s">
        <v>88</v>
      </c>
      <c r="G4128" s="822">
        <f>(864*0.75)</f>
        <v>648</v>
      </c>
      <c r="H4128" s="351" t="s">
        <v>2194</v>
      </c>
      <c r="I4128" s="47">
        <v>1.03</v>
      </c>
      <c r="J4128" s="47"/>
      <c r="K4128" s="216">
        <f>+E4128/G4128*I4128</f>
        <v>23.683641975308642</v>
      </c>
      <c r="L4128" s="47" t="s">
        <v>2170</v>
      </c>
      <c r="M4128" s="25"/>
      <c r="O4128" s="2"/>
      <c r="P4128" s="27"/>
      <c r="Q4128" s="26"/>
      <c r="R4128" s="28"/>
    </row>
    <row r="4129" spans="1:20" ht="30" customHeight="1" x14ac:dyDescent="0.45">
      <c r="A4129" s="426"/>
      <c r="B4129" s="197" t="s">
        <v>2238</v>
      </c>
      <c r="C4129" s="198"/>
      <c r="D4129" s="198"/>
      <c r="E4129" s="198"/>
      <c r="F4129" s="199"/>
      <c r="G4129" s="56"/>
      <c r="H4129" s="56"/>
      <c r="I4129" s="47"/>
      <c r="J4129" s="47" t="s">
        <v>38</v>
      </c>
      <c r="K4129" s="221">
        <f>SUM(K4127:K4128)</f>
        <v>45.864034132171383</v>
      </c>
      <c r="L4129" s="47" t="s">
        <v>2170</v>
      </c>
      <c r="M4129" s="186"/>
      <c r="O4129" s="2"/>
      <c r="P4129" s="27"/>
      <c r="Q4129" s="26"/>
      <c r="R4129" s="28"/>
      <c r="T4129" s="41"/>
    </row>
    <row r="4130" spans="1:20" ht="30" customHeight="1" x14ac:dyDescent="0.45">
      <c r="A4130" s="47"/>
      <c r="B4130" s="224"/>
      <c r="C4130" s="224"/>
      <c r="D4130" s="224"/>
      <c r="E4130" s="221"/>
      <c r="F4130" s="1011" t="s">
        <v>285</v>
      </c>
      <c r="G4130" s="1013" t="s">
        <v>286</v>
      </c>
      <c r="H4130" s="1013"/>
      <c r="I4130" s="1013"/>
      <c r="J4130" s="1013"/>
      <c r="K4130" s="278">
        <v>1.07</v>
      </c>
      <c r="L4130" s="47"/>
      <c r="M4130" s="25"/>
    </row>
    <row r="4131" spans="1:20" ht="30" customHeight="1" x14ac:dyDescent="0.45">
      <c r="A4131" s="47"/>
      <c r="B4131" s="224"/>
      <c r="C4131" s="224"/>
      <c r="D4131" s="224"/>
      <c r="E4131" s="221"/>
      <c r="F4131" s="1012"/>
      <c r="G4131" s="1014" t="s">
        <v>580</v>
      </c>
      <c r="H4131" s="1014"/>
      <c r="I4131" s="1014"/>
      <c r="J4131" s="1014"/>
      <c r="K4131" s="278">
        <v>1.08</v>
      </c>
      <c r="L4131" s="47"/>
      <c r="M4131" s="25"/>
      <c r="O4131" s="2"/>
      <c r="P4131" s="27"/>
      <c r="Q4131" s="26"/>
      <c r="R4131" s="28"/>
      <c r="T4131" s="41"/>
    </row>
    <row r="4132" spans="1:20" ht="30" customHeight="1" x14ac:dyDescent="0.45">
      <c r="A4132" s="47"/>
      <c r="B4132" s="47"/>
      <c r="C4132" s="58"/>
      <c r="D4132" s="58"/>
      <c r="E4132" s="58"/>
      <c r="F4132" s="58"/>
      <c r="G4132" s="58"/>
      <c r="H4132" s="58"/>
      <c r="I4132" s="58"/>
      <c r="J4132" s="47" t="s">
        <v>39</v>
      </c>
      <c r="K4132" s="216">
        <f>+K4129*K4130/K4131</f>
        <v>45.439367149466094</v>
      </c>
      <c r="L4132" s="47" t="s">
        <v>2170</v>
      </c>
      <c r="M4132" s="25"/>
    </row>
    <row r="4133" spans="1:20" ht="30" customHeight="1" x14ac:dyDescent="0.45">
      <c r="A4133" s="47"/>
      <c r="B4133" s="47"/>
      <c r="C4133" s="58"/>
      <c r="D4133" s="58"/>
      <c r="E4133" s="58"/>
      <c r="F4133" s="58"/>
      <c r="G4133" s="1021" t="s">
        <v>288</v>
      </c>
      <c r="H4133" s="1022"/>
      <c r="I4133" s="1023"/>
      <c r="J4133" s="213">
        <f>VLOOKUP(B4125,'[1]Mil Cost Premiums for PUCs'!$A$4:$R$278,18,FALSE)</f>
        <v>1.0209999999999999</v>
      </c>
      <c r="K4133" s="216">
        <f>+K4132*J4133</f>
        <v>46.393593859604877</v>
      </c>
      <c r="L4133" s="47" t="s">
        <v>2170</v>
      </c>
      <c r="M4133" s="25"/>
      <c r="O4133" s="2"/>
      <c r="P4133" s="27"/>
      <c r="Q4133" s="26"/>
      <c r="R4133" s="28"/>
    </row>
    <row r="4134" spans="1:20" ht="30" customHeight="1" x14ac:dyDescent="0.45">
      <c r="A4134" s="541"/>
      <c r="B4134" s="541"/>
      <c r="C4134" s="542"/>
      <c r="D4134" s="542"/>
      <c r="E4134" s="542"/>
      <c r="F4134" s="1024" t="s">
        <v>581</v>
      </c>
      <c r="G4134" s="1024"/>
      <c r="H4134" s="1024"/>
      <c r="I4134" s="1024"/>
      <c r="J4134" s="756">
        <v>1.0833999999999999</v>
      </c>
      <c r="K4134" s="757">
        <f>K4133*J4134</f>
        <v>50.262819587495919</v>
      </c>
      <c r="L4134" s="47" t="s">
        <v>2170</v>
      </c>
      <c r="M4134" s="25"/>
      <c r="N4134" s="26"/>
      <c r="O4134" s="2"/>
      <c r="P4134" s="27"/>
      <c r="Q4134" s="26"/>
      <c r="R4134" s="28"/>
    </row>
    <row r="4135" spans="1:20" ht="30" customHeight="1" thickBot="1" x14ac:dyDescent="0.5">
      <c r="A4135" s="225"/>
      <c r="B4135" s="225"/>
      <c r="C4135" s="150"/>
      <c r="D4135" s="150"/>
      <c r="E4135" s="150"/>
      <c r="F4135" s="150"/>
      <c r="G4135" s="1025" t="s">
        <v>299</v>
      </c>
      <c r="H4135" s="1026"/>
      <c r="I4135" s="1027"/>
      <c r="J4135" s="226">
        <v>1.1214</v>
      </c>
      <c r="K4135" s="227">
        <f>+K4134*J4135</f>
        <v>56.364725885417919</v>
      </c>
      <c r="L4135" s="47" t="s">
        <v>2170</v>
      </c>
      <c r="M4135" s="25"/>
    </row>
    <row r="4136" spans="1:20" ht="30" customHeight="1" thickBot="1" x14ac:dyDescent="0.5">
      <c r="A4136" s="999"/>
      <c r="B4136" s="1000"/>
      <c r="C4136" s="1000"/>
      <c r="D4136" s="1000"/>
      <c r="E4136" s="1000"/>
      <c r="F4136" s="1000"/>
      <c r="G4136" s="1000"/>
      <c r="H4136" s="1000"/>
      <c r="I4136" s="1000"/>
      <c r="J4136" s="1000"/>
      <c r="K4136" s="1000"/>
      <c r="L4136" s="1001"/>
      <c r="M4136" s="25"/>
      <c r="N4136" s="26"/>
      <c r="O4136" s="2"/>
      <c r="P4136" s="27"/>
      <c r="Q4136" s="26"/>
      <c r="R4136" s="28"/>
    </row>
    <row r="4137" spans="1:20" ht="30" customHeight="1" x14ac:dyDescent="0.45">
      <c r="A4137" s="326" t="s">
        <v>4</v>
      </c>
      <c r="B4137" s="76">
        <v>8415</v>
      </c>
      <c r="C4137" s="1073" t="s">
        <v>2239</v>
      </c>
      <c r="D4137" s="1074"/>
      <c r="E4137" s="94" t="s">
        <v>7</v>
      </c>
      <c r="F4137" s="95" t="s">
        <v>2170</v>
      </c>
      <c r="G4137" s="102" t="s">
        <v>6</v>
      </c>
      <c r="H4137" s="96">
        <v>429</v>
      </c>
      <c r="I4137" s="94" t="s">
        <v>9</v>
      </c>
      <c r="J4137" s="1004" t="s">
        <v>2240</v>
      </c>
      <c r="K4137" s="1004"/>
      <c r="L4137" s="1165"/>
      <c r="N4137" s="26"/>
      <c r="O4137" s="2"/>
      <c r="P4137" s="27"/>
      <c r="Q4137" s="26"/>
      <c r="R4137" s="28"/>
    </row>
    <row r="4138" spans="1:20" ht="30" customHeight="1" x14ac:dyDescent="0.45">
      <c r="A4138" s="825"/>
      <c r="B4138" s="826"/>
      <c r="C4138" s="1005" t="s">
        <v>12</v>
      </c>
      <c r="D4138" s="1005"/>
      <c r="E4138" s="1005"/>
      <c r="F4138" s="20" t="s">
        <v>13</v>
      </c>
      <c r="G4138" s="827"/>
      <c r="H4138" s="648"/>
      <c r="I4138" s="1068" t="s">
        <v>16</v>
      </c>
      <c r="J4138" s="1069"/>
      <c r="K4138" s="828"/>
      <c r="L4138" s="829"/>
      <c r="M4138" s="25"/>
      <c r="N4138" s="26"/>
      <c r="O4138" s="2"/>
      <c r="P4138" s="27"/>
      <c r="Q4138" s="26"/>
      <c r="R4138" s="28"/>
    </row>
    <row r="4139" spans="1:20" ht="30" customHeight="1" thickBot="1" x14ac:dyDescent="0.5">
      <c r="A4139" s="830"/>
      <c r="B4139" s="159"/>
      <c r="C4139" s="1159" t="s">
        <v>2241</v>
      </c>
      <c r="D4139" s="1160"/>
      <c r="E4139" s="395"/>
      <c r="F4139" s="831">
        <v>11307.597475999999</v>
      </c>
      <c r="G4139" s="65"/>
      <c r="H4139" s="832"/>
      <c r="I4139" s="1161">
        <f>+'[1]2023 MILCON Inflation Table'!F18</f>
        <v>1.1214155171577724</v>
      </c>
      <c r="J4139" s="1162"/>
      <c r="K4139" s="833">
        <f>+F4139*I4139</f>
        <v>12680.515271360462</v>
      </c>
      <c r="L4139" s="834" t="s">
        <v>2170</v>
      </c>
      <c r="M4139" s="25"/>
      <c r="N4139" s="26"/>
      <c r="O4139" s="2"/>
      <c r="P4139" s="27"/>
      <c r="Q4139" s="26"/>
      <c r="R4139" s="28"/>
    </row>
    <row r="4140" spans="1:20" ht="30" customHeight="1" thickBot="1" x14ac:dyDescent="0.5">
      <c r="A4140" s="999"/>
      <c r="B4140" s="1000"/>
      <c r="C4140" s="1000"/>
      <c r="D4140" s="1000"/>
      <c r="E4140" s="1000"/>
      <c r="F4140" s="1000"/>
      <c r="G4140" s="1000"/>
      <c r="H4140" s="1000"/>
      <c r="I4140" s="1000"/>
      <c r="J4140" s="1000"/>
      <c r="K4140" s="1000"/>
      <c r="L4140" s="1001"/>
      <c r="M4140" s="25"/>
      <c r="N4140" s="26"/>
      <c r="O4140" s="2"/>
      <c r="P4140" s="27"/>
      <c r="Q4140" s="26"/>
      <c r="R4140" s="28"/>
    </row>
    <row r="4141" spans="1:20" ht="30" customHeight="1" x14ac:dyDescent="0.45">
      <c r="A4141" s="9" t="s">
        <v>4</v>
      </c>
      <c r="B4141" s="10">
        <v>8421</v>
      </c>
      <c r="C4141" s="1163" t="s">
        <v>2242</v>
      </c>
      <c r="D4141" s="1164"/>
      <c r="E4141" s="13" t="s">
        <v>7</v>
      </c>
      <c r="F4141" s="14" t="s">
        <v>113</v>
      </c>
      <c r="G4141" s="11" t="s">
        <v>6</v>
      </c>
      <c r="H4141" s="163">
        <v>15256.157667076001</v>
      </c>
      <c r="I4141" s="13" t="s">
        <v>9</v>
      </c>
      <c r="J4141" s="985" t="s">
        <v>10</v>
      </c>
      <c r="K4141" s="985"/>
      <c r="L4141" s="986"/>
      <c r="M4141" s="25"/>
      <c r="N4141" s="26"/>
      <c r="O4141" s="2"/>
      <c r="P4141" s="27"/>
      <c r="Q4141" s="26"/>
      <c r="R4141" s="28"/>
    </row>
    <row r="4142" spans="1:20" ht="30" customHeight="1" x14ac:dyDescent="0.45">
      <c r="A4142" s="19" t="s">
        <v>11</v>
      </c>
      <c r="B4142" s="1005" t="s">
        <v>12</v>
      </c>
      <c r="C4142" s="1005"/>
      <c r="D4142" s="1005"/>
      <c r="E4142" s="20" t="s">
        <v>13</v>
      </c>
      <c r="F4142" s="220" t="s">
        <v>14</v>
      </c>
      <c r="G4142" s="1114" t="s">
        <v>15</v>
      </c>
      <c r="H4142" s="1115"/>
      <c r="I4142" s="1068" t="s">
        <v>16</v>
      </c>
      <c r="J4142" s="1069"/>
      <c r="K4142" s="23" t="s">
        <v>17</v>
      </c>
      <c r="L4142" s="24"/>
      <c r="M4142" s="25"/>
      <c r="N4142" s="26"/>
      <c r="T4142" s="41"/>
    </row>
    <row r="4143" spans="1:20" ht="30" customHeight="1" x14ac:dyDescent="0.45">
      <c r="A4143" s="47">
        <v>84210</v>
      </c>
      <c r="B4143" s="1018" t="s">
        <v>2243</v>
      </c>
      <c r="C4143" s="1019"/>
      <c r="D4143" s="1020"/>
      <c r="E4143" s="762">
        <v>306.62</v>
      </c>
      <c r="F4143" s="394" t="s">
        <v>113</v>
      </c>
      <c r="G4143" s="424"/>
      <c r="H4143" s="223"/>
      <c r="I4143" s="1090">
        <f>+'[1]2023 MILCON Inflation Table'!F22</f>
        <v>0.93771935922451721</v>
      </c>
      <c r="J4143" s="1091"/>
      <c r="K4143" s="335">
        <f>+E4143*I4143</f>
        <v>287.52350992542148</v>
      </c>
      <c r="L4143" s="29" t="s">
        <v>113</v>
      </c>
      <c r="M4143" s="25"/>
      <c r="N4143" s="3"/>
      <c r="T4143" s="41"/>
    </row>
    <row r="4144" spans="1:20" ht="30" customHeight="1" x14ac:dyDescent="0.45">
      <c r="A4144" s="47">
        <v>84210</v>
      </c>
      <c r="B4144" s="1018" t="s">
        <v>2244</v>
      </c>
      <c r="C4144" s="1019"/>
      <c r="D4144" s="1020"/>
      <c r="E4144" s="812">
        <v>247.96</v>
      </c>
      <c r="F4144" s="394" t="s">
        <v>113</v>
      </c>
      <c r="G4144" s="813"/>
      <c r="H4144" s="349"/>
      <c r="I4144" s="1090">
        <f>+I4143</f>
        <v>0.93771935922451721</v>
      </c>
      <c r="J4144" s="1091"/>
      <c r="K4144" s="335">
        <f>+E4144*I4144</f>
        <v>232.5168923133113</v>
      </c>
      <c r="L4144" s="29" t="s">
        <v>113</v>
      </c>
      <c r="M4144" s="25"/>
      <c r="N4144" s="26"/>
      <c r="O4144" s="2"/>
      <c r="P4144" s="27"/>
      <c r="Q4144" s="26"/>
      <c r="R4144" s="28"/>
    </row>
    <row r="4145" spans="1:18" ht="30" customHeight="1" x14ac:dyDescent="0.45">
      <c r="A4145" s="47">
        <v>84210</v>
      </c>
      <c r="B4145" s="1018" t="s">
        <v>2245</v>
      </c>
      <c r="C4145" s="1019"/>
      <c r="D4145" s="1020"/>
      <c r="E4145" s="812">
        <v>89.57</v>
      </c>
      <c r="F4145" s="56" t="s">
        <v>113</v>
      </c>
      <c r="G4145" s="813"/>
      <c r="H4145" s="349"/>
      <c r="I4145" s="1090">
        <f>+I4144</f>
        <v>0.93771935922451721</v>
      </c>
      <c r="J4145" s="1091"/>
      <c r="K4145" s="335">
        <f>+E4145*I4145</f>
        <v>83.991523005740007</v>
      </c>
      <c r="L4145" s="29" t="s">
        <v>113</v>
      </c>
      <c r="M4145" s="25"/>
      <c r="N4145" s="26"/>
      <c r="O4145" s="2"/>
      <c r="P4145" s="27"/>
      <c r="Q4145" s="26"/>
      <c r="R4145" s="28"/>
    </row>
    <row r="4146" spans="1:18" ht="30" customHeight="1" x14ac:dyDescent="0.45">
      <c r="A4146" s="47"/>
      <c r="B4146" s="1008"/>
      <c r="C4146" s="1009"/>
      <c r="D4146" s="1010"/>
      <c r="E4146" s="378"/>
      <c r="F4146" s="56"/>
      <c r="I4146" s="47"/>
      <c r="J4146" s="56" t="s">
        <v>328</v>
      </c>
      <c r="K4146" s="185">
        <f>AVERAGE(K4143:K4145)</f>
        <v>201.34397508149092</v>
      </c>
      <c r="L4146" s="56" t="s">
        <v>113</v>
      </c>
      <c r="M4146" s="25"/>
      <c r="N4146" s="26"/>
      <c r="O4146" s="2"/>
      <c r="P4146" s="27"/>
      <c r="Q4146" s="26"/>
      <c r="R4146" s="28"/>
    </row>
    <row r="4147" spans="1:18" ht="30" customHeight="1" thickBot="1" x14ac:dyDescent="0.5">
      <c r="A4147" s="47"/>
      <c r="B4147" s="197"/>
      <c r="C4147" s="198"/>
      <c r="D4147" s="199"/>
      <c r="E4147" s="378"/>
      <c r="F4147" s="56"/>
      <c r="G4147" s="1157"/>
      <c r="H4147" s="1158"/>
      <c r="I4147" s="47"/>
      <c r="J4147" s="85" t="s">
        <v>39</v>
      </c>
      <c r="K4147" s="185">
        <f>+K4146</f>
        <v>201.34397508149092</v>
      </c>
      <c r="L4147" s="56" t="s">
        <v>113</v>
      </c>
      <c r="N4147" s="26"/>
      <c r="O4147" s="2"/>
      <c r="P4147" s="27"/>
      <c r="Q4147" s="26"/>
      <c r="R4147" s="28"/>
    </row>
    <row r="4148" spans="1:18" ht="30" customHeight="1" thickBot="1" x14ac:dyDescent="0.5">
      <c r="A4148" s="999"/>
      <c r="B4148" s="1000"/>
      <c r="C4148" s="1000"/>
      <c r="D4148" s="1000"/>
      <c r="E4148" s="1000"/>
      <c r="F4148" s="1000"/>
      <c r="G4148" s="1000"/>
      <c r="H4148" s="1000"/>
      <c r="I4148" s="1000"/>
      <c r="J4148" s="1000"/>
      <c r="K4148" s="1000"/>
      <c r="L4148" s="1001"/>
      <c r="M4148" s="41"/>
      <c r="N4148" s="26"/>
      <c r="O4148" s="2"/>
      <c r="P4148" s="27"/>
      <c r="Q4148" s="26"/>
      <c r="R4148" s="28"/>
    </row>
    <row r="4149" spans="1:18" ht="30" customHeight="1" x14ac:dyDescent="0.45">
      <c r="A4149" s="9" t="s">
        <v>4</v>
      </c>
      <c r="B4149" s="10">
        <v>8422</v>
      </c>
      <c r="C4149" s="1138" t="s">
        <v>2246</v>
      </c>
      <c r="D4149" s="1139"/>
      <c r="E4149" s="13" t="s">
        <v>7</v>
      </c>
      <c r="F4149" s="14" t="s">
        <v>2170</v>
      </c>
      <c r="G4149" s="11" t="s">
        <v>6</v>
      </c>
      <c r="H4149" s="184">
        <v>7427.7039338555196</v>
      </c>
      <c r="I4149" s="13" t="s">
        <v>9</v>
      </c>
      <c r="J4149" s="985" t="s">
        <v>10</v>
      </c>
      <c r="K4149" s="985"/>
      <c r="L4149" s="986"/>
      <c r="M4149" s="41"/>
      <c r="N4149" s="26"/>
      <c r="O4149" s="2"/>
      <c r="P4149" s="27"/>
      <c r="Q4149" s="26"/>
      <c r="R4149" s="28"/>
    </row>
    <row r="4150" spans="1:18" ht="30" customHeight="1" x14ac:dyDescent="0.45">
      <c r="A4150" s="19" t="s">
        <v>11</v>
      </c>
      <c r="B4150" s="1005" t="s">
        <v>12</v>
      </c>
      <c r="C4150" s="1005"/>
      <c r="D4150" s="1005"/>
      <c r="E4150" s="20" t="s">
        <v>1986</v>
      </c>
      <c r="F4150" s="19" t="s">
        <v>2247</v>
      </c>
      <c r="G4150" s="1114" t="s">
        <v>15</v>
      </c>
      <c r="H4150" s="1115"/>
      <c r="I4150" s="1068" t="s">
        <v>16</v>
      </c>
      <c r="J4150" s="1069"/>
      <c r="K4150" s="23" t="s">
        <v>17</v>
      </c>
      <c r="L4150" s="24"/>
      <c r="N4150" s="26"/>
      <c r="O4150" s="2"/>
      <c r="P4150" s="27"/>
      <c r="Q4150" s="26"/>
      <c r="R4150" s="28"/>
    </row>
    <row r="4151" spans="1:18" ht="30" customHeight="1" x14ac:dyDescent="0.45">
      <c r="A4151" s="47">
        <v>84472</v>
      </c>
      <c r="B4151" s="1018" t="s">
        <v>2248</v>
      </c>
      <c r="C4151" s="1019"/>
      <c r="D4151" s="1020"/>
      <c r="E4151" s="762">
        <v>234643.59</v>
      </c>
      <c r="F4151" s="394">
        <v>2000</v>
      </c>
      <c r="G4151" s="835">
        <v>2880</v>
      </c>
      <c r="H4151" s="223" t="s">
        <v>2249</v>
      </c>
      <c r="I4151" s="1090">
        <f>+'[1]2023 MILCON Inflation Table'!F22</f>
        <v>0.93771935922451721</v>
      </c>
      <c r="J4151" s="1091"/>
      <c r="K4151" s="335">
        <f>E4151/G4151*I4151</f>
        <v>76.399248910048726</v>
      </c>
      <c r="L4151" s="47" t="s">
        <v>2170</v>
      </c>
      <c r="N4151" s="26"/>
      <c r="O4151" s="2"/>
      <c r="P4151" s="27"/>
      <c r="Q4151" s="26"/>
      <c r="R4151" s="28"/>
    </row>
    <row r="4152" spans="1:18" ht="30" customHeight="1" x14ac:dyDescent="0.45">
      <c r="A4152" s="47">
        <v>84472</v>
      </c>
      <c r="B4152" s="1018" t="s">
        <v>2250</v>
      </c>
      <c r="C4152" s="1019"/>
      <c r="D4152" s="1020"/>
      <c r="E4152" s="762">
        <v>347917.65</v>
      </c>
      <c r="F4152" s="394">
        <v>2500</v>
      </c>
      <c r="G4152" s="836">
        <v>3600</v>
      </c>
      <c r="H4152" s="223" t="s">
        <v>2251</v>
      </c>
      <c r="I4152" s="1090">
        <f>+I4151</f>
        <v>0.93771935922451721</v>
      </c>
      <c r="J4152" s="1091"/>
      <c r="K4152" s="335">
        <f>E4152/G4152*I4152</f>
        <v>90.624754394694406</v>
      </c>
      <c r="L4152" s="47" t="s">
        <v>2170</v>
      </c>
      <c r="N4152" s="26"/>
      <c r="O4152" s="2"/>
      <c r="P4152" s="27"/>
      <c r="Q4152" s="26"/>
      <c r="R4152" s="28"/>
    </row>
    <row r="4153" spans="1:18" ht="30" customHeight="1" x14ac:dyDescent="0.45">
      <c r="A4153" s="47">
        <v>84472</v>
      </c>
      <c r="B4153" s="1018" t="s">
        <v>2252</v>
      </c>
      <c r="C4153" s="1019"/>
      <c r="D4153" s="1020"/>
      <c r="E4153" s="762">
        <v>138148.78</v>
      </c>
      <c r="F4153" s="394">
        <v>2000</v>
      </c>
      <c r="G4153" s="835">
        <v>2880</v>
      </c>
      <c r="H4153" s="223" t="s">
        <v>2249</v>
      </c>
      <c r="I4153" s="1090">
        <f>+I4151</f>
        <v>0.93771935922451721</v>
      </c>
      <c r="J4153" s="1091"/>
      <c r="K4153" s="335">
        <f>E4153/G4153*I4153</f>
        <v>44.980828284461388</v>
      </c>
      <c r="L4153" s="47" t="s">
        <v>2170</v>
      </c>
      <c r="N4153" s="26"/>
      <c r="O4153" s="2"/>
      <c r="P4153" s="27"/>
      <c r="Q4153" s="26"/>
      <c r="R4153" s="28"/>
    </row>
    <row r="4154" spans="1:18" ht="30" customHeight="1" x14ac:dyDescent="0.45">
      <c r="A4154" s="47"/>
      <c r="B4154" s="197"/>
      <c r="C4154" s="198"/>
      <c r="D4154" s="199"/>
      <c r="E4154" s="353"/>
      <c r="F4154" s="434">
        <f>AVERAGE(F4151:F4153)</f>
        <v>2166.6666666666665</v>
      </c>
      <c r="G4154" s="356"/>
      <c r="H4154" s="223"/>
      <c r="I4154" s="391"/>
      <c r="J4154" s="351" t="s">
        <v>56</v>
      </c>
      <c r="K4154" s="335">
        <f>AVERAGE(K4151:K4153)</f>
        <v>70.668277196401505</v>
      </c>
      <c r="L4154" s="47" t="s">
        <v>2170</v>
      </c>
      <c r="N4154" s="26"/>
      <c r="O4154" s="2"/>
      <c r="P4154" s="27"/>
      <c r="Q4154" s="26"/>
      <c r="R4154" s="28"/>
    </row>
    <row r="4155" spans="1:18" ht="30" customHeight="1" thickBot="1" x14ac:dyDescent="0.5">
      <c r="A4155" s="47"/>
      <c r="B4155" s="1008" t="s">
        <v>2253</v>
      </c>
      <c r="C4155" s="1009"/>
      <c r="D4155" s="1010"/>
      <c r="E4155" s="161"/>
      <c r="F4155" s="415"/>
      <c r="G4155" s="161"/>
      <c r="H4155" s="389"/>
      <c r="I4155" s="58"/>
      <c r="J4155" s="85" t="s">
        <v>39</v>
      </c>
      <c r="K4155" s="335">
        <f>+K4154</f>
        <v>70.668277196401505</v>
      </c>
      <c r="L4155" s="47" t="s">
        <v>2170</v>
      </c>
      <c r="M4155" s="553"/>
      <c r="N4155" s="26"/>
      <c r="O4155" s="2"/>
      <c r="P4155" s="27"/>
      <c r="Q4155" s="26"/>
      <c r="R4155" s="28"/>
    </row>
    <row r="4156" spans="1:18" ht="30" customHeight="1" thickBot="1" x14ac:dyDescent="0.5">
      <c r="A4156" s="999"/>
      <c r="B4156" s="1000"/>
      <c r="C4156" s="1000"/>
      <c r="D4156" s="1000"/>
      <c r="E4156" s="1000"/>
      <c r="F4156" s="1000"/>
      <c r="G4156" s="1000"/>
      <c r="H4156" s="1000"/>
      <c r="I4156" s="1000"/>
      <c r="J4156" s="1000"/>
      <c r="K4156" s="1000"/>
      <c r="L4156" s="1001"/>
      <c r="N4156" s="26"/>
      <c r="O4156" s="2"/>
      <c r="P4156" s="27"/>
      <c r="Q4156" s="26"/>
      <c r="R4156" s="28"/>
    </row>
    <row r="4157" spans="1:18" ht="30" customHeight="1" x14ac:dyDescent="0.45">
      <c r="A4157" s="9" t="s">
        <v>4</v>
      </c>
      <c r="B4157" s="10">
        <v>8431</v>
      </c>
      <c r="C4157" s="1138" t="s">
        <v>2254</v>
      </c>
      <c r="D4157" s="1139"/>
      <c r="E4157" s="13" t="s">
        <v>7</v>
      </c>
      <c r="F4157" s="14" t="s">
        <v>252</v>
      </c>
      <c r="G4157" s="11" t="s">
        <v>6</v>
      </c>
      <c r="H4157" s="184">
        <v>731.6</v>
      </c>
      <c r="I4157" s="13" t="s">
        <v>9</v>
      </c>
      <c r="J4157" s="985" t="s">
        <v>10</v>
      </c>
      <c r="K4157" s="985"/>
      <c r="L4157" s="986"/>
      <c r="N4157" s="26"/>
      <c r="O4157" s="2"/>
      <c r="P4157" s="27"/>
      <c r="Q4157" s="26"/>
      <c r="R4157" s="28"/>
    </row>
    <row r="4158" spans="1:18" ht="30" customHeight="1" x14ac:dyDescent="0.45">
      <c r="A4158" s="19" t="s">
        <v>11</v>
      </c>
      <c r="B4158" s="1005" t="s">
        <v>12</v>
      </c>
      <c r="C4158" s="1005"/>
      <c r="D4158" s="1005"/>
      <c r="E4158" s="20" t="s">
        <v>1986</v>
      </c>
      <c r="F4158" s="19" t="s">
        <v>2247</v>
      </c>
      <c r="G4158" s="1114" t="s">
        <v>15</v>
      </c>
      <c r="H4158" s="1115"/>
      <c r="I4158" s="1068" t="s">
        <v>16</v>
      </c>
      <c r="J4158" s="1069"/>
      <c r="K4158" s="992" t="s">
        <v>17</v>
      </c>
      <c r="L4158" s="993"/>
      <c r="N4158" s="26"/>
      <c r="O4158" s="2"/>
      <c r="P4158" s="27"/>
      <c r="Q4158" s="26"/>
      <c r="R4158" s="28"/>
    </row>
    <row r="4159" spans="1:18" ht="30" customHeight="1" x14ac:dyDescent="0.45">
      <c r="A4159" s="47">
        <v>84472</v>
      </c>
      <c r="B4159" s="1018" t="s">
        <v>2255</v>
      </c>
      <c r="C4159" s="1019"/>
      <c r="D4159" s="1020"/>
      <c r="E4159" s="216">
        <v>202502.21</v>
      </c>
      <c r="F4159" s="394">
        <v>500</v>
      </c>
      <c r="G4159" s="584">
        <v>500</v>
      </c>
      <c r="H4159" s="223" t="s">
        <v>2256</v>
      </c>
      <c r="I4159" s="1090">
        <f>+'[1]2023 MILCON Inflation Table'!F22</f>
        <v>0.93771935922451721</v>
      </c>
      <c r="J4159" s="1091"/>
      <c r="K4159" s="335">
        <f>+E4159/F4159*I4159</f>
        <v>379.7804852054972</v>
      </c>
      <c r="L4159" s="47" t="s">
        <v>252</v>
      </c>
      <c r="N4159" s="26"/>
      <c r="O4159" s="2"/>
      <c r="P4159" s="27"/>
      <c r="Q4159" s="26"/>
      <c r="R4159" s="28"/>
    </row>
    <row r="4160" spans="1:18" ht="30" customHeight="1" x14ac:dyDescent="0.45">
      <c r="A4160" s="47">
        <v>84472</v>
      </c>
      <c r="B4160" s="1018" t="s">
        <v>2257</v>
      </c>
      <c r="C4160" s="1019"/>
      <c r="D4160" s="1020"/>
      <c r="E4160" s="216">
        <v>215066.64</v>
      </c>
      <c r="F4160" s="394">
        <v>1000</v>
      </c>
      <c r="G4160" s="773">
        <v>1000</v>
      </c>
      <c r="H4160" s="223" t="s">
        <v>2256</v>
      </c>
      <c r="I4160" s="1090">
        <f>+I4159</f>
        <v>0.93771935922451721</v>
      </c>
      <c r="J4160" s="1091"/>
      <c r="K4160" s="335">
        <f>+E4160/F4160*I4160</f>
        <v>201.67215185136993</v>
      </c>
      <c r="L4160" s="47" t="s">
        <v>252</v>
      </c>
      <c r="N4160" s="26"/>
      <c r="O4160" s="2"/>
      <c r="P4160" s="27"/>
      <c r="Q4160" s="26"/>
      <c r="R4160" s="28"/>
    </row>
    <row r="4161" spans="1:20" ht="30" customHeight="1" x14ac:dyDescent="0.45">
      <c r="A4161" s="47">
        <v>84472</v>
      </c>
      <c r="B4161" s="1018" t="s">
        <v>2258</v>
      </c>
      <c r="C4161" s="1019"/>
      <c r="D4161" s="1020"/>
      <c r="E4161" s="216">
        <v>234643.59</v>
      </c>
      <c r="F4161" s="394">
        <v>2000</v>
      </c>
      <c r="G4161" s="584">
        <v>2000</v>
      </c>
      <c r="H4161" s="223" t="s">
        <v>2256</v>
      </c>
      <c r="I4161" s="1090">
        <f>+I4159</f>
        <v>0.93771935922451721</v>
      </c>
      <c r="J4161" s="1091"/>
      <c r="K4161" s="335">
        <f>+E4161/F4161*I4161</f>
        <v>110.01491843047016</v>
      </c>
      <c r="L4161" s="47" t="s">
        <v>252</v>
      </c>
      <c r="N4161" s="26"/>
      <c r="O4161" s="2"/>
      <c r="P4161" s="27"/>
      <c r="Q4161" s="26"/>
      <c r="R4161" s="28"/>
    </row>
    <row r="4162" spans="1:20" ht="30" customHeight="1" x14ac:dyDescent="0.45">
      <c r="A4162" s="47">
        <v>84472</v>
      </c>
      <c r="B4162" s="1018" t="s">
        <v>985</v>
      </c>
      <c r="C4162" s="1019"/>
      <c r="D4162" s="1020"/>
      <c r="E4162" s="216">
        <v>103213.95</v>
      </c>
      <c r="F4162" s="394">
        <v>1000</v>
      </c>
      <c r="G4162" s="584">
        <v>1000</v>
      </c>
      <c r="H4162" s="223" t="s">
        <v>2256</v>
      </c>
      <c r="I4162" s="1090">
        <f>+I4159</f>
        <v>0.93771935922451721</v>
      </c>
      <c r="J4162" s="1091"/>
      <c r="K4162" s="335">
        <f>+E4162/F4162*I4162</f>
        <v>96.785719057031358</v>
      </c>
      <c r="L4162" s="47" t="s">
        <v>252</v>
      </c>
      <c r="N4162" s="26"/>
      <c r="O4162" s="2"/>
      <c r="P4162" s="27"/>
      <c r="Q4162" s="26"/>
      <c r="R4162" s="28"/>
    </row>
    <row r="4163" spans="1:20" ht="30" customHeight="1" thickBot="1" x14ac:dyDescent="0.5">
      <c r="A4163" s="47"/>
      <c r="B4163" s="1008"/>
      <c r="C4163" s="1009"/>
      <c r="D4163" s="1010"/>
      <c r="E4163" s="161"/>
      <c r="F4163" s="415"/>
      <c r="G4163" s="161"/>
      <c r="H4163" s="389" t="s">
        <v>56</v>
      </c>
      <c r="I4163" s="58"/>
      <c r="J4163" s="85" t="s">
        <v>39</v>
      </c>
      <c r="K4163" s="185">
        <f>AVERAGE(K4159:K4162)</f>
        <v>197.06331863609216</v>
      </c>
      <c r="L4163" s="47" t="s">
        <v>252</v>
      </c>
      <c r="N4163" s="26"/>
      <c r="O4163" s="2"/>
      <c r="P4163" s="27"/>
      <c r="Q4163" s="26"/>
      <c r="R4163" s="28"/>
    </row>
    <row r="4164" spans="1:20" ht="30" customHeight="1" thickBot="1" x14ac:dyDescent="0.5">
      <c r="A4164" s="999"/>
      <c r="B4164" s="1000"/>
      <c r="C4164" s="1000"/>
      <c r="D4164" s="1000"/>
      <c r="E4164" s="1000"/>
      <c r="F4164" s="1000"/>
      <c r="G4164" s="1000"/>
      <c r="H4164" s="1000"/>
      <c r="I4164" s="1000"/>
      <c r="J4164" s="1000"/>
      <c r="K4164" s="1000"/>
      <c r="L4164" s="1001"/>
      <c r="M4164" s="25"/>
      <c r="N4164" s="26"/>
      <c r="O4164" s="2"/>
      <c r="P4164" s="27"/>
      <c r="Q4164" s="26"/>
      <c r="R4164" s="28"/>
    </row>
    <row r="4165" spans="1:20" ht="30" customHeight="1" x14ac:dyDescent="0.45">
      <c r="A4165" s="9" t="s">
        <v>4</v>
      </c>
      <c r="B4165" s="10">
        <v>8432</v>
      </c>
      <c r="C4165" s="983" t="s">
        <v>2259</v>
      </c>
      <c r="D4165" s="984"/>
      <c r="E4165" s="13" t="s">
        <v>7</v>
      </c>
      <c r="F4165" s="14" t="s">
        <v>113</v>
      </c>
      <c r="G4165" s="11" t="s">
        <v>6</v>
      </c>
      <c r="H4165" s="163">
        <v>5615.4647782874599</v>
      </c>
      <c r="I4165" s="13" t="s">
        <v>9</v>
      </c>
      <c r="J4165" s="985" t="s">
        <v>10</v>
      </c>
      <c r="K4165" s="985"/>
      <c r="L4165" s="986"/>
      <c r="N4165" s="26"/>
      <c r="O4165" s="2"/>
      <c r="P4165" s="27"/>
      <c r="Q4165" s="26"/>
      <c r="R4165" s="28"/>
    </row>
    <row r="4166" spans="1:20" ht="30" customHeight="1" x14ac:dyDescent="0.45">
      <c r="A4166" s="19" t="s">
        <v>11</v>
      </c>
      <c r="B4166" s="1005" t="s">
        <v>12</v>
      </c>
      <c r="C4166" s="1005"/>
      <c r="D4166" s="1005"/>
      <c r="E4166" s="20" t="s">
        <v>13</v>
      </c>
      <c r="F4166" s="220" t="s">
        <v>14</v>
      </c>
      <c r="G4166" s="1114" t="s">
        <v>15</v>
      </c>
      <c r="H4166" s="1115"/>
      <c r="I4166" s="1068" t="s">
        <v>16</v>
      </c>
      <c r="J4166" s="1069"/>
      <c r="K4166" s="23" t="s">
        <v>17</v>
      </c>
      <c r="L4166" s="24"/>
      <c r="M4166" s="25"/>
      <c r="N4166" s="26"/>
      <c r="T4166" s="41"/>
    </row>
    <row r="4167" spans="1:20" ht="30" customHeight="1" x14ac:dyDescent="0.45">
      <c r="A4167" s="47">
        <v>84210</v>
      </c>
      <c r="B4167" s="1018" t="s">
        <v>2243</v>
      </c>
      <c r="C4167" s="1019"/>
      <c r="D4167" s="1020"/>
      <c r="E4167" s="216">
        <v>306.62</v>
      </c>
      <c r="F4167" s="394" t="s">
        <v>113</v>
      </c>
      <c r="G4167" s="424"/>
      <c r="H4167" s="223"/>
      <c r="I4167" s="1090">
        <f>+'[1]2023 MILCON Inflation Table'!F22</f>
        <v>0.93771935922451721</v>
      </c>
      <c r="J4167" s="1091"/>
      <c r="K4167" s="335">
        <f>+E4167*I4167</f>
        <v>287.52350992542148</v>
      </c>
      <c r="L4167" s="29" t="s">
        <v>113</v>
      </c>
      <c r="M4167" s="25"/>
      <c r="N4167" s="3"/>
      <c r="T4167" s="41"/>
    </row>
    <row r="4168" spans="1:20" ht="30" customHeight="1" x14ac:dyDescent="0.45">
      <c r="A4168" s="47">
        <v>84210</v>
      </c>
      <c r="B4168" s="1018" t="s">
        <v>2260</v>
      </c>
      <c r="C4168" s="1019"/>
      <c r="D4168" s="1020"/>
      <c r="E4168" s="216">
        <v>512.46</v>
      </c>
      <c r="F4168" s="394" t="s">
        <v>113</v>
      </c>
      <c r="G4168" s="1114"/>
      <c r="H4168" s="1115"/>
      <c r="I4168" s="1090">
        <f>+I4167</f>
        <v>0.93771935922451721</v>
      </c>
      <c r="J4168" s="1091"/>
      <c r="K4168" s="335">
        <f>+E4168*I4168</f>
        <v>480.54366282819615</v>
      </c>
      <c r="L4168" s="29" t="s">
        <v>113</v>
      </c>
      <c r="N4168" s="26"/>
      <c r="O4168" s="2"/>
      <c r="P4168" s="27"/>
      <c r="Q4168" s="26"/>
      <c r="R4168" s="28"/>
    </row>
    <row r="4169" spans="1:20" ht="30" customHeight="1" x14ac:dyDescent="0.45">
      <c r="A4169" s="2"/>
      <c r="E4169" s="58"/>
      <c r="F4169" s="56"/>
      <c r="G4169" s="813"/>
      <c r="H4169" s="349"/>
      <c r="I4169" s="47"/>
      <c r="J4169" s="56" t="s">
        <v>56</v>
      </c>
      <c r="K4169" s="185">
        <f>AVERAGE(K4167:K4168)</f>
        <v>384.03358637680878</v>
      </c>
      <c r="L4169" s="56" t="s">
        <v>113</v>
      </c>
      <c r="N4169" s="26"/>
      <c r="O4169" s="2"/>
      <c r="P4169" s="27"/>
      <c r="Q4169" s="26"/>
      <c r="R4169" s="28"/>
    </row>
    <row r="4170" spans="1:20" ht="30" customHeight="1" x14ac:dyDescent="0.45">
      <c r="A4170" s="47">
        <v>89240</v>
      </c>
      <c r="B4170" s="1018" t="s">
        <v>2261</v>
      </c>
      <c r="C4170" s="1019"/>
      <c r="D4170" s="1020"/>
      <c r="E4170" s="812">
        <v>34725.89</v>
      </c>
      <c r="F4170" s="56" t="s">
        <v>88</v>
      </c>
      <c r="G4170" s="813">
        <v>1000</v>
      </c>
      <c r="H4170" s="349" t="s">
        <v>310</v>
      </c>
      <c r="I4170" s="1090">
        <f>+I4167</f>
        <v>0.93771935922451721</v>
      </c>
      <c r="J4170" s="1091"/>
      <c r="K4170" s="383">
        <f>+E4170/G4170*I4170</f>
        <v>32.563139319301072</v>
      </c>
      <c r="L4170" s="56" t="s">
        <v>113</v>
      </c>
      <c r="N4170" s="26"/>
      <c r="O4170" s="2"/>
      <c r="P4170" s="27"/>
      <c r="Q4170" s="26"/>
      <c r="R4170" s="28"/>
    </row>
    <row r="4171" spans="1:20" ht="30" customHeight="1" x14ac:dyDescent="0.45">
      <c r="A4171" s="47"/>
      <c r="B4171" s="1018" t="s">
        <v>2262</v>
      </c>
      <c r="C4171" s="1019"/>
      <c r="D4171" s="1020"/>
      <c r="E4171" s="378"/>
      <c r="F4171" s="56"/>
      <c r="G4171" s="813"/>
      <c r="H4171" s="349"/>
      <c r="I4171" s="47"/>
      <c r="J4171" s="56" t="s">
        <v>38</v>
      </c>
      <c r="K4171" s="383">
        <f>+K4169+K4170</f>
        <v>416.59672569610984</v>
      </c>
      <c r="L4171" s="56" t="s">
        <v>113</v>
      </c>
      <c r="M4171" s="41"/>
      <c r="N4171" s="26"/>
      <c r="O4171" s="2"/>
      <c r="P4171" s="27"/>
      <c r="Q4171" s="26"/>
      <c r="R4171" s="28"/>
    </row>
    <row r="4172" spans="1:20" ht="30" customHeight="1" thickBot="1" x14ac:dyDescent="0.5">
      <c r="A4172" s="47"/>
      <c r="B4172" s="1008"/>
      <c r="C4172" s="1009"/>
      <c r="D4172" s="1010"/>
      <c r="E4172" s="378"/>
      <c r="F4172" s="56"/>
      <c r="G4172" s="837"/>
      <c r="H4172" s="349"/>
      <c r="I4172" s="47"/>
      <c r="J4172" s="220" t="s">
        <v>39</v>
      </c>
      <c r="K4172" s="383">
        <f>+K4171</f>
        <v>416.59672569610984</v>
      </c>
      <c r="L4172" s="56" t="s">
        <v>113</v>
      </c>
      <c r="M4172" s="41"/>
      <c r="N4172" s="26"/>
      <c r="O4172" s="2"/>
      <c r="P4172" s="27"/>
      <c r="Q4172" s="26"/>
      <c r="R4172" s="28"/>
    </row>
    <row r="4173" spans="1:20" ht="30" customHeight="1" thickBot="1" x14ac:dyDescent="0.5">
      <c r="A4173" s="999"/>
      <c r="B4173" s="1000"/>
      <c r="C4173" s="1000"/>
      <c r="D4173" s="1000"/>
      <c r="E4173" s="1000"/>
      <c r="F4173" s="1000"/>
      <c r="G4173" s="1000"/>
      <c r="H4173" s="1000"/>
      <c r="I4173" s="1000"/>
      <c r="J4173" s="1000"/>
      <c r="K4173" s="1000"/>
      <c r="L4173" s="1001"/>
      <c r="N4173" s="26"/>
      <c r="O4173" s="2"/>
      <c r="P4173" s="27"/>
      <c r="Q4173" s="26"/>
      <c r="R4173" s="28"/>
    </row>
    <row r="4174" spans="1:20" ht="30" customHeight="1" thickBot="1" x14ac:dyDescent="0.5">
      <c r="A4174" s="9" t="s">
        <v>4</v>
      </c>
      <c r="B4174" s="10">
        <v>8433</v>
      </c>
      <c r="C4174" s="983" t="s">
        <v>2263</v>
      </c>
      <c r="D4174" s="984"/>
      <c r="E4174" s="13" t="s">
        <v>7</v>
      </c>
      <c r="F4174" s="14" t="s">
        <v>163</v>
      </c>
      <c r="G4174" s="11" t="s">
        <v>6</v>
      </c>
      <c r="H4174" s="163">
        <v>14275</v>
      </c>
      <c r="I4174" s="13" t="s">
        <v>9</v>
      </c>
      <c r="J4174" s="1155" t="s">
        <v>673</v>
      </c>
      <c r="K4174" s="1156"/>
      <c r="L4174" s="1127"/>
      <c r="N4174" s="26"/>
      <c r="O4174" s="2"/>
      <c r="P4174" s="27"/>
      <c r="Q4174" s="26"/>
      <c r="R4174" s="28"/>
    </row>
    <row r="4175" spans="1:20" ht="30" customHeight="1" thickBot="1" x14ac:dyDescent="0.5">
      <c r="A4175" s="999"/>
      <c r="B4175" s="1000"/>
      <c r="C4175" s="1000"/>
      <c r="D4175" s="1000"/>
      <c r="E4175" s="1000"/>
      <c r="F4175" s="1000"/>
      <c r="G4175" s="1000"/>
      <c r="H4175" s="1000"/>
      <c r="I4175" s="1000"/>
      <c r="J4175" s="1000"/>
      <c r="K4175" s="1000"/>
      <c r="L4175" s="1001"/>
      <c r="N4175" s="26"/>
      <c r="O4175" s="2"/>
      <c r="P4175" s="27"/>
      <c r="Q4175" s="26"/>
      <c r="R4175" s="28"/>
    </row>
    <row r="4176" spans="1:20" ht="30" customHeight="1" x14ac:dyDescent="0.45">
      <c r="A4176" s="9" t="s">
        <v>4</v>
      </c>
      <c r="B4176" s="10">
        <v>8434</v>
      </c>
      <c r="C4176" s="1138" t="s">
        <v>2264</v>
      </c>
      <c r="D4176" s="1139"/>
      <c r="E4176" s="13" t="s">
        <v>7</v>
      </c>
      <c r="F4176" s="14" t="s">
        <v>2170</v>
      </c>
      <c r="G4176" s="11" t="s">
        <v>6</v>
      </c>
      <c r="H4176" s="184">
        <v>2943.7382424242401</v>
      </c>
      <c r="I4176" s="13" t="s">
        <v>9</v>
      </c>
      <c r="J4176" s="985" t="s">
        <v>10</v>
      </c>
      <c r="K4176" s="985"/>
      <c r="L4176" s="986"/>
      <c r="N4176" s="26"/>
      <c r="O4176" s="2"/>
      <c r="P4176" s="27"/>
      <c r="Q4176" s="26"/>
      <c r="R4176" s="28"/>
    </row>
    <row r="4177" spans="1:18" ht="30" customHeight="1" x14ac:dyDescent="0.45">
      <c r="A4177" s="19" t="s">
        <v>11</v>
      </c>
      <c r="B4177" s="1005" t="s">
        <v>12</v>
      </c>
      <c r="C4177" s="1005"/>
      <c r="D4177" s="1005"/>
      <c r="E4177" s="20" t="s">
        <v>1986</v>
      </c>
      <c r="F4177" s="19" t="s">
        <v>2247</v>
      </c>
      <c r="G4177" s="1114" t="s">
        <v>15</v>
      </c>
      <c r="H4177" s="1115"/>
      <c r="I4177" s="1068" t="s">
        <v>490</v>
      </c>
      <c r="J4177" s="1069"/>
      <c r="K4177" s="992" t="s">
        <v>17</v>
      </c>
      <c r="L4177" s="993"/>
      <c r="M4177" s="41"/>
      <c r="N4177" s="26"/>
      <c r="O4177" s="2"/>
      <c r="P4177" s="27"/>
      <c r="Q4177" s="26"/>
      <c r="R4177" s="28"/>
    </row>
    <row r="4178" spans="1:18" ht="30" customHeight="1" x14ac:dyDescent="0.45">
      <c r="A4178" s="47">
        <v>84472</v>
      </c>
      <c r="B4178" s="1018" t="s">
        <v>2258</v>
      </c>
      <c r="C4178" s="1019"/>
      <c r="D4178" s="1020"/>
      <c r="E4178" s="730">
        <v>234643.59</v>
      </c>
      <c r="F4178" s="394">
        <v>2000</v>
      </c>
      <c r="G4178" s="835">
        <v>2880</v>
      </c>
      <c r="H4178" s="223" t="s">
        <v>2249</v>
      </c>
      <c r="I4178" s="1090">
        <f>+'[1]2023 MILCON Inflation Table'!F22</f>
        <v>0.93771935922451721</v>
      </c>
      <c r="J4178" s="1091"/>
      <c r="K4178" s="335">
        <f>+E4178/G4178*I4178</f>
        <v>76.399248910048726</v>
      </c>
      <c r="L4178" s="47" t="s">
        <v>2170</v>
      </c>
      <c r="M4178" s="41"/>
      <c r="N4178" s="26"/>
      <c r="O4178" s="2"/>
      <c r="P4178" s="27"/>
      <c r="Q4178" s="26"/>
      <c r="R4178" s="28"/>
    </row>
    <row r="4179" spans="1:18" ht="30" customHeight="1" x14ac:dyDescent="0.45">
      <c r="A4179" s="47">
        <v>84472</v>
      </c>
      <c r="B4179" s="1018" t="s">
        <v>2265</v>
      </c>
      <c r="C4179" s="1019"/>
      <c r="D4179" s="1020"/>
      <c r="E4179" s="730">
        <v>347917.65</v>
      </c>
      <c r="F4179" s="394">
        <v>2500</v>
      </c>
      <c r="G4179" s="836">
        <v>3600</v>
      </c>
      <c r="H4179" s="223" t="s">
        <v>2251</v>
      </c>
      <c r="I4179" s="1090">
        <f>+I4178</f>
        <v>0.93771935922451721</v>
      </c>
      <c r="J4179" s="1091"/>
      <c r="K4179" s="335">
        <f>+E4179/G4179*I4179</f>
        <v>90.624754394694406</v>
      </c>
      <c r="L4179" s="47" t="s">
        <v>2170</v>
      </c>
      <c r="N4179" s="26"/>
      <c r="O4179" s="2"/>
      <c r="P4179" s="27"/>
      <c r="Q4179" s="26"/>
      <c r="R4179" s="28"/>
    </row>
    <row r="4180" spans="1:18" ht="30" customHeight="1" x14ac:dyDescent="0.45">
      <c r="A4180" s="47">
        <v>84472</v>
      </c>
      <c r="B4180" s="1018" t="s">
        <v>2266</v>
      </c>
      <c r="C4180" s="1019"/>
      <c r="D4180" s="1020"/>
      <c r="E4180" s="730">
        <v>138148.78</v>
      </c>
      <c r="F4180" s="394">
        <v>2000</v>
      </c>
      <c r="G4180" s="835">
        <v>2880</v>
      </c>
      <c r="H4180" s="223" t="s">
        <v>2249</v>
      </c>
      <c r="I4180" s="1090">
        <f>+I4178</f>
        <v>0.93771935922451721</v>
      </c>
      <c r="J4180" s="1091"/>
      <c r="K4180" s="335">
        <f>+E4180/G4180*I4180</f>
        <v>44.980828284461388</v>
      </c>
      <c r="L4180" s="47" t="s">
        <v>2170</v>
      </c>
      <c r="N4180" s="26"/>
      <c r="O4180" s="2"/>
      <c r="P4180" s="27"/>
      <c r="Q4180" s="26"/>
      <c r="R4180" s="28"/>
    </row>
    <row r="4181" spans="1:18" ht="30" customHeight="1" thickBot="1" x14ac:dyDescent="0.5">
      <c r="A4181" s="47"/>
      <c r="B4181" s="1008" t="s">
        <v>2253</v>
      </c>
      <c r="C4181" s="1009"/>
      <c r="D4181" s="1010"/>
      <c r="E4181" s="161"/>
      <c r="F4181" s="415">
        <f>AVERAGE(F4178:F4180)</f>
        <v>2166.6666666666665</v>
      </c>
      <c r="G4181" s="161"/>
      <c r="H4181" s="389" t="s">
        <v>56</v>
      </c>
      <c r="I4181" s="58"/>
      <c r="J4181" s="85" t="s">
        <v>39</v>
      </c>
      <c r="K4181" s="185">
        <f>AVERAGE(K4178:K4180)</f>
        <v>70.668277196401505</v>
      </c>
      <c r="L4181" s="29" t="s">
        <v>2170</v>
      </c>
      <c r="N4181" s="26"/>
      <c r="O4181" s="2"/>
      <c r="P4181" s="27"/>
      <c r="Q4181" s="26"/>
      <c r="R4181" s="28"/>
    </row>
    <row r="4182" spans="1:18" ht="30" customHeight="1" thickBot="1" x14ac:dyDescent="0.5">
      <c r="A4182" s="999"/>
      <c r="B4182" s="1000"/>
      <c r="C4182" s="1000"/>
      <c r="D4182" s="1000"/>
      <c r="E4182" s="1000"/>
      <c r="F4182" s="1000"/>
      <c r="G4182" s="1000"/>
      <c r="H4182" s="1000"/>
      <c r="I4182" s="1000"/>
      <c r="J4182" s="1000"/>
      <c r="K4182" s="1000"/>
      <c r="L4182" s="1001"/>
      <c r="N4182" s="26"/>
      <c r="O4182" s="2"/>
      <c r="P4182" s="27"/>
      <c r="Q4182" s="26"/>
      <c r="R4182" s="28"/>
    </row>
    <row r="4183" spans="1:18" ht="30" customHeight="1" x14ac:dyDescent="0.45">
      <c r="A4183" s="9" t="s">
        <v>4</v>
      </c>
      <c r="B4183" s="10">
        <v>8435</v>
      </c>
      <c r="C4183" s="1138" t="s">
        <v>2267</v>
      </c>
      <c r="D4183" s="1139"/>
      <c r="E4183" s="13" t="s">
        <v>7</v>
      </c>
      <c r="F4183" s="14" t="s">
        <v>163</v>
      </c>
      <c r="G4183" s="11" t="s">
        <v>6</v>
      </c>
      <c r="H4183" s="184">
        <v>158377</v>
      </c>
      <c r="I4183" s="13" t="s">
        <v>9</v>
      </c>
      <c r="J4183" s="985" t="s">
        <v>2268</v>
      </c>
      <c r="K4183" s="985"/>
      <c r="L4183" s="986"/>
      <c r="N4183" s="26"/>
      <c r="O4183" s="2"/>
      <c r="P4183" s="27"/>
      <c r="Q4183" s="26"/>
      <c r="R4183" s="28"/>
    </row>
    <row r="4184" spans="1:18" ht="30" customHeight="1" x14ac:dyDescent="0.45">
      <c r="A4184" s="19"/>
      <c r="B4184" s="1005" t="s">
        <v>12</v>
      </c>
      <c r="C4184" s="1005"/>
      <c r="D4184" s="1005"/>
      <c r="E4184" s="19" t="s">
        <v>13</v>
      </c>
      <c r="F4184" s="19" t="s">
        <v>14</v>
      </c>
      <c r="G4184" s="990" t="s">
        <v>15</v>
      </c>
      <c r="H4184" s="991"/>
      <c r="I4184" s="19" t="s">
        <v>59</v>
      </c>
      <c r="J4184" s="19" t="s">
        <v>60</v>
      </c>
      <c r="K4184" s="992" t="s">
        <v>39</v>
      </c>
      <c r="L4184" s="993"/>
      <c r="N4184" s="26"/>
      <c r="O4184" s="2"/>
      <c r="P4184" s="27"/>
      <c r="Q4184" s="26"/>
      <c r="R4184" s="28"/>
    </row>
    <row r="4185" spans="1:18" ht="30" customHeight="1" thickBot="1" x14ac:dyDescent="0.5">
      <c r="A4185" s="38"/>
      <c r="B4185" s="1065" t="s">
        <v>2231</v>
      </c>
      <c r="C4185" s="1065"/>
      <c r="D4185" s="1065"/>
      <c r="E4185" s="350">
        <f>K4123</f>
        <v>1.6029174242184894</v>
      </c>
      <c r="F4185" s="105"/>
      <c r="G4185" s="1084"/>
      <c r="H4185" s="1085"/>
      <c r="I4185" s="105"/>
      <c r="J4185" s="106"/>
      <c r="K4185" s="108">
        <f>E4185</f>
        <v>1.6029174242184894</v>
      </c>
      <c r="L4185" s="29" t="s">
        <v>163</v>
      </c>
      <c r="M4185" s="25"/>
      <c r="N4185" s="26"/>
      <c r="O4185" s="2"/>
      <c r="P4185" s="27"/>
      <c r="Q4185" s="26"/>
      <c r="R4185" s="28"/>
    </row>
    <row r="4186" spans="1:18" ht="30" customHeight="1" thickBot="1" x14ac:dyDescent="0.5">
      <c r="A4186" s="999"/>
      <c r="B4186" s="1000"/>
      <c r="C4186" s="1000"/>
      <c r="D4186" s="1000"/>
      <c r="E4186" s="1000"/>
      <c r="F4186" s="1000"/>
      <c r="G4186" s="1000"/>
      <c r="H4186" s="1000"/>
      <c r="I4186" s="1000"/>
      <c r="J4186" s="1000"/>
      <c r="K4186" s="1000"/>
      <c r="L4186" s="1001"/>
      <c r="M4186" s="149"/>
      <c r="N4186" s="26"/>
      <c r="O4186" s="2"/>
      <c r="P4186" s="27"/>
      <c r="Q4186" s="26"/>
      <c r="R4186" s="28"/>
    </row>
    <row r="4187" spans="1:18" ht="30" customHeight="1" x14ac:dyDescent="0.45">
      <c r="A4187" s="9" t="s">
        <v>4</v>
      </c>
      <c r="B4187" s="10">
        <v>8442</v>
      </c>
      <c r="C4187" s="983" t="s">
        <v>2269</v>
      </c>
      <c r="D4187" s="984"/>
      <c r="E4187" s="13" t="s">
        <v>7</v>
      </c>
      <c r="F4187" s="14" t="s">
        <v>163</v>
      </c>
      <c r="G4187" s="11" t="s">
        <v>6</v>
      </c>
      <c r="H4187" s="713">
        <v>141470</v>
      </c>
      <c r="I4187" s="13" t="s">
        <v>9</v>
      </c>
      <c r="J4187" s="985" t="s">
        <v>575</v>
      </c>
      <c r="K4187" s="985"/>
      <c r="L4187" s="986"/>
      <c r="N4187" s="26"/>
      <c r="O4187" s="2"/>
      <c r="P4187" s="27"/>
      <c r="Q4187" s="26"/>
      <c r="R4187" s="28"/>
    </row>
    <row r="4188" spans="1:18" ht="30" customHeight="1" x14ac:dyDescent="0.45">
      <c r="A4188" s="85" t="s">
        <v>277</v>
      </c>
      <c r="B4188" s="987" t="s">
        <v>293</v>
      </c>
      <c r="C4188" s="988"/>
      <c r="D4188" s="989"/>
      <c r="E4188" s="220" t="s">
        <v>13</v>
      </c>
      <c r="F4188" s="220" t="s">
        <v>14</v>
      </c>
      <c r="G4188" s="990" t="s">
        <v>15</v>
      </c>
      <c r="H4188" s="991"/>
      <c r="I4188" s="19" t="s">
        <v>278</v>
      </c>
      <c r="J4188" s="19"/>
      <c r="K4188" s="992" t="s">
        <v>17</v>
      </c>
      <c r="L4188" s="993"/>
      <c r="N4188" s="26"/>
      <c r="O4188" s="2"/>
      <c r="P4188" s="27"/>
      <c r="Q4188" s="26"/>
      <c r="R4188" s="28"/>
    </row>
    <row r="4189" spans="1:18" ht="30" customHeight="1" x14ac:dyDescent="0.45">
      <c r="A4189" s="47" t="s">
        <v>2270</v>
      </c>
      <c r="B4189" s="1018" t="s">
        <v>2271</v>
      </c>
      <c r="C4189" s="1019"/>
      <c r="D4189" s="1020"/>
      <c r="E4189" s="378">
        <f>750000*0.85</f>
        <v>637500</v>
      </c>
      <c r="F4189" s="56" t="s">
        <v>88</v>
      </c>
      <c r="G4189" s="813">
        <v>750000</v>
      </c>
      <c r="H4189" s="349" t="s">
        <v>1400</v>
      </c>
      <c r="I4189" s="365">
        <v>1</v>
      </c>
      <c r="J4189" s="56"/>
      <c r="K4189" s="216">
        <f>+E4189/G4189*I4189</f>
        <v>0.85</v>
      </c>
      <c r="L4189" s="56" t="s">
        <v>163</v>
      </c>
      <c r="N4189" s="26"/>
      <c r="O4189" s="2"/>
      <c r="P4189" s="27"/>
      <c r="Q4189" s="26"/>
      <c r="R4189" s="28"/>
    </row>
    <row r="4190" spans="1:18" ht="30" customHeight="1" x14ac:dyDescent="0.45">
      <c r="A4190" s="47" t="s">
        <v>2270</v>
      </c>
      <c r="B4190" s="1008" t="s">
        <v>2272</v>
      </c>
      <c r="C4190" s="1009"/>
      <c r="D4190" s="1010"/>
      <c r="E4190" s="378">
        <f>1000000*0.85</f>
        <v>850000</v>
      </c>
      <c r="F4190" s="56" t="s">
        <v>88</v>
      </c>
      <c r="G4190" s="813">
        <v>1000000</v>
      </c>
      <c r="H4190" s="349" t="s">
        <v>1400</v>
      </c>
      <c r="I4190" s="365">
        <v>1</v>
      </c>
      <c r="J4190" s="56"/>
      <c r="K4190" s="216">
        <f>+E4190/G4190*I4190</f>
        <v>0.85</v>
      </c>
      <c r="L4190" s="56" t="s">
        <v>163</v>
      </c>
      <c r="N4190" s="26"/>
      <c r="O4190" s="2"/>
      <c r="P4190" s="27"/>
      <c r="Q4190" s="26"/>
      <c r="R4190" s="28"/>
    </row>
    <row r="4191" spans="1:18" ht="30" customHeight="1" x14ac:dyDescent="0.45">
      <c r="A4191" s="47" t="s">
        <v>2270</v>
      </c>
      <c r="B4191" s="1008" t="s">
        <v>2273</v>
      </c>
      <c r="C4191" s="1009"/>
      <c r="D4191" s="1010"/>
      <c r="E4191" s="378">
        <v>3235000</v>
      </c>
      <c r="F4191" s="56" t="s">
        <v>88</v>
      </c>
      <c r="G4191" s="813">
        <v>1000000</v>
      </c>
      <c r="H4191" s="349" t="s">
        <v>1400</v>
      </c>
      <c r="I4191" s="365">
        <v>1</v>
      </c>
      <c r="J4191" s="56"/>
      <c r="K4191" s="216">
        <f>+E4191/G4191*I4191</f>
        <v>3.2349999999999999</v>
      </c>
      <c r="L4191" s="56" t="s">
        <v>163</v>
      </c>
      <c r="N4191" s="26"/>
      <c r="O4191" s="2"/>
      <c r="P4191" s="27"/>
      <c r="Q4191" s="26"/>
      <c r="R4191" s="28"/>
    </row>
    <row r="4192" spans="1:18" ht="30" customHeight="1" x14ac:dyDescent="0.45">
      <c r="A4192" s="426"/>
      <c r="B4192" s="1030"/>
      <c r="C4192" s="1030"/>
      <c r="D4192" s="1030"/>
      <c r="E4192" s="221"/>
      <c r="F4192" s="47"/>
      <c r="G4192" s="47"/>
      <c r="H4192" s="47"/>
      <c r="I4192" s="47"/>
      <c r="J4192" s="47" t="s">
        <v>56</v>
      </c>
      <c r="K4192" s="221">
        <f>AVERAGE(K4189:K4191)</f>
        <v>1.6449999999999998</v>
      </c>
      <c r="L4192" s="47" t="s">
        <v>163</v>
      </c>
      <c r="N4192" s="26"/>
      <c r="O4192" s="2"/>
      <c r="P4192" s="27"/>
      <c r="Q4192" s="26"/>
      <c r="R4192" s="28"/>
    </row>
    <row r="4193" spans="1:18" ht="30" customHeight="1" x14ac:dyDescent="0.45">
      <c r="A4193" s="47"/>
      <c r="B4193" s="224"/>
      <c r="C4193" s="224"/>
      <c r="D4193" s="224"/>
      <c r="E4193" s="221"/>
      <c r="F4193" s="1011" t="s">
        <v>285</v>
      </c>
      <c r="G4193" s="1013" t="s">
        <v>286</v>
      </c>
      <c r="H4193" s="1013"/>
      <c r="I4193" s="1013"/>
      <c r="J4193" s="1013"/>
      <c r="K4193" s="278">
        <v>1.07</v>
      </c>
      <c r="L4193" s="47"/>
      <c r="N4193" s="26"/>
      <c r="O4193" s="2"/>
      <c r="P4193" s="27"/>
      <c r="Q4193" s="26"/>
      <c r="R4193" s="28"/>
    </row>
    <row r="4194" spans="1:18" ht="30" customHeight="1" x14ac:dyDescent="0.45">
      <c r="A4194" s="47"/>
      <c r="B4194" s="224"/>
      <c r="C4194" s="224"/>
      <c r="D4194" s="224"/>
      <c r="E4194" s="221"/>
      <c r="F4194" s="1012"/>
      <c r="G4194" s="1014" t="s">
        <v>580</v>
      </c>
      <c r="H4194" s="1014"/>
      <c r="I4194" s="1014"/>
      <c r="J4194" s="1014"/>
      <c r="K4194" s="278">
        <v>1.08</v>
      </c>
      <c r="L4194" s="47"/>
      <c r="N4194" s="26"/>
      <c r="O4194" s="2"/>
      <c r="P4194" s="27"/>
      <c r="Q4194" s="26"/>
      <c r="R4194" s="28"/>
    </row>
    <row r="4195" spans="1:18" ht="30" customHeight="1" x14ac:dyDescent="0.45">
      <c r="A4195" s="47"/>
      <c r="B4195" s="47"/>
      <c r="C4195" s="58"/>
      <c r="D4195" s="58"/>
      <c r="E4195" s="58"/>
      <c r="F4195" s="58"/>
      <c r="G4195" s="58"/>
      <c r="H4195" s="58"/>
      <c r="I4195" s="58"/>
      <c r="J4195" s="47" t="s">
        <v>39</v>
      </c>
      <c r="K4195" s="216">
        <f>+K4192*K4193/K4194</f>
        <v>1.6297685185185182</v>
      </c>
      <c r="L4195" s="47" t="s">
        <v>163</v>
      </c>
      <c r="M4195" s="25"/>
      <c r="N4195" s="26"/>
      <c r="O4195" s="2"/>
      <c r="P4195" s="27"/>
      <c r="Q4195" s="26"/>
      <c r="R4195" s="28"/>
    </row>
    <row r="4196" spans="1:18" ht="30" customHeight="1" x14ac:dyDescent="0.45">
      <c r="A4196" s="47"/>
      <c r="B4196" s="47"/>
      <c r="C4196" s="58"/>
      <c r="D4196" s="58"/>
      <c r="E4196" s="58"/>
      <c r="F4196" s="58"/>
      <c r="G4196" s="1021" t="s">
        <v>288</v>
      </c>
      <c r="H4196" s="1022"/>
      <c r="I4196" s="1023"/>
      <c r="J4196" s="213">
        <f>VLOOKUP(B4187,'[1]Mil Cost Premiums for PUCs'!$A$4:$R$278,18,FALSE)</f>
        <v>1.0905505199999999</v>
      </c>
      <c r="K4196" s="216">
        <f>+K4195*J4196</f>
        <v>1.7773449053499994</v>
      </c>
      <c r="L4196" s="47" t="s">
        <v>163</v>
      </c>
      <c r="N4196" s="26"/>
      <c r="O4196" s="2"/>
      <c r="P4196" s="27"/>
      <c r="Q4196" s="26"/>
      <c r="R4196" s="28"/>
    </row>
    <row r="4197" spans="1:18" ht="30" customHeight="1" x14ac:dyDescent="0.45">
      <c r="A4197" s="541"/>
      <c r="B4197" s="541"/>
      <c r="C4197" s="542"/>
      <c r="D4197" s="542"/>
      <c r="E4197" s="542"/>
      <c r="F4197" s="1024" t="s">
        <v>581</v>
      </c>
      <c r="G4197" s="1024"/>
      <c r="H4197" s="1024"/>
      <c r="I4197" s="1024"/>
      <c r="J4197" s="756">
        <v>1.0833999999999999</v>
      </c>
      <c r="K4197" s="757">
        <f>K4196*J4197</f>
        <v>1.9255754704561892</v>
      </c>
      <c r="L4197" s="47" t="s">
        <v>163</v>
      </c>
      <c r="M4197" s="41"/>
      <c r="N4197" s="26"/>
      <c r="O4197" s="2"/>
      <c r="P4197" s="27"/>
      <c r="Q4197" s="26"/>
      <c r="R4197" s="28"/>
    </row>
    <row r="4198" spans="1:18" ht="30" customHeight="1" thickBot="1" x14ac:dyDescent="0.5">
      <c r="A4198" s="225"/>
      <c r="B4198" s="225"/>
      <c r="C4198" s="150"/>
      <c r="D4198" s="150"/>
      <c r="E4198" s="150"/>
      <c r="F4198" s="150"/>
      <c r="G4198" s="1025" t="s">
        <v>299</v>
      </c>
      <c r="H4198" s="1026"/>
      <c r="I4198" s="1027"/>
      <c r="J4198" s="226">
        <v>1.1214</v>
      </c>
      <c r="K4198" s="227">
        <f>+K4197*J4198</f>
        <v>2.1593403325695704</v>
      </c>
      <c r="L4198" s="47" t="s">
        <v>163</v>
      </c>
      <c r="M4198" s="25"/>
    </row>
    <row r="4199" spans="1:18" ht="30" customHeight="1" thickBot="1" x14ac:dyDescent="0.5">
      <c r="A4199" s="999"/>
      <c r="B4199" s="1000"/>
      <c r="C4199" s="1000"/>
      <c r="D4199" s="1000"/>
      <c r="E4199" s="1000"/>
      <c r="F4199" s="1000"/>
      <c r="G4199" s="1000"/>
      <c r="H4199" s="1000"/>
      <c r="I4199" s="1000"/>
      <c r="J4199" s="1000"/>
      <c r="K4199" s="1000"/>
      <c r="L4199" s="1001"/>
      <c r="N4199" s="26"/>
      <c r="O4199" s="2"/>
      <c r="P4199" s="27"/>
      <c r="Q4199" s="26"/>
      <c r="R4199" s="28"/>
    </row>
    <row r="4200" spans="1:18" ht="30" customHeight="1" thickBot="1" x14ac:dyDescent="0.5">
      <c r="A4200" s="9" t="s">
        <v>4</v>
      </c>
      <c r="B4200" s="10">
        <v>8443</v>
      </c>
      <c r="C4200" s="983" t="s">
        <v>2274</v>
      </c>
      <c r="D4200" s="984"/>
      <c r="E4200" s="13" t="s">
        <v>7</v>
      </c>
      <c r="F4200" s="14" t="s">
        <v>163</v>
      </c>
      <c r="G4200" s="11" t="s">
        <v>6</v>
      </c>
      <c r="H4200" s="713">
        <v>245048</v>
      </c>
      <c r="I4200" s="13" t="s">
        <v>9</v>
      </c>
      <c r="J4200" s="985" t="s">
        <v>673</v>
      </c>
      <c r="K4200" s="985"/>
      <c r="L4200" s="986"/>
      <c r="M4200" s="41"/>
      <c r="N4200" s="26"/>
      <c r="O4200" s="2"/>
      <c r="P4200" s="27"/>
      <c r="Q4200" s="26"/>
      <c r="R4200" s="28"/>
    </row>
    <row r="4201" spans="1:18" ht="30" customHeight="1" thickBot="1" x14ac:dyDescent="0.5">
      <c r="A4201" s="999"/>
      <c r="B4201" s="1000"/>
      <c r="C4201" s="1000"/>
      <c r="D4201" s="1000"/>
      <c r="E4201" s="1000"/>
      <c r="F4201" s="1000"/>
      <c r="G4201" s="1000"/>
      <c r="H4201" s="1000"/>
      <c r="I4201" s="1000"/>
      <c r="J4201" s="1000"/>
      <c r="K4201" s="1000"/>
      <c r="L4201" s="1001"/>
      <c r="N4201" s="26"/>
      <c r="O4201" s="2"/>
      <c r="P4201" s="27"/>
      <c r="Q4201" s="26"/>
      <c r="R4201" s="28"/>
    </row>
    <row r="4202" spans="1:18" ht="30" customHeight="1" x14ac:dyDescent="0.45">
      <c r="A4202" s="9" t="s">
        <v>4</v>
      </c>
      <c r="B4202" s="10">
        <v>8451</v>
      </c>
      <c r="C4202" s="983" t="s">
        <v>2275</v>
      </c>
      <c r="D4202" s="984"/>
      <c r="E4202" s="13" t="s">
        <v>7</v>
      </c>
      <c r="F4202" s="14" t="s">
        <v>113</v>
      </c>
      <c r="G4202" s="11" t="s">
        <v>6</v>
      </c>
      <c r="H4202" s="713">
        <v>20579</v>
      </c>
      <c r="I4202" s="13" t="s">
        <v>9</v>
      </c>
      <c r="J4202" s="985" t="s">
        <v>2276</v>
      </c>
      <c r="K4202" s="985"/>
      <c r="L4202" s="986"/>
      <c r="N4202" s="26"/>
      <c r="O4202" s="2"/>
      <c r="P4202" s="27"/>
      <c r="Q4202" s="26"/>
      <c r="R4202" s="28"/>
    </row>
    <row r="4203" spans="1:18" ht="30" customHeight="1" x14ac:dyDescent="0.45">
      <c r="A4203" s="19"/>
      <c r="B4203" s="1005" t="s">
        <v>12</v>
      </c>
      <c r="C4203" s="1005"/>
      <c r="D4203" s="1005"/>
      <c r="E4203" s="19" t="s">
        <v>13</v>
      </c>
      <c r="F4203" s="19" t="s">
        <v>14</v>
      </c>
      <c r="G4203" s="990" t="s">
        <v>15</v>
      </c>
      <c r="H4203" s="991"/>
      <c r="I4203" s="19" t="s">
        <v>59</v>
      </c>
      <c r="J4203" s="19" t="s">
        <v>60</v>
      </c>
      <c r="K4203" s="992" t="s">
        <v>39</v>
      </c>
      <c r="L4203" s="993"/>
      <c r="N4203" s="26"/>
      <c r="O4203" s="2"/>
      <c r="P4203" s="27"/>
      <c r="Q4203" s="26"/>
      <c r="R4203" s="28"/>
    </row>
    <row r="4204" spans="1:18" ht="30" customHeight="1" thickBot="1" x14ac:dyDescent="0.5">
      <c r="A4204" s="38"/>
      <c r="B4204" s="1065" t="s">
        <v>2242</v>
      </c>
      <c r="C4204" s="1065"/>
      <c r="D4204" s="1065"/>
      <c r="E4204" s="350">
        <f>+K4147</f>
        <v>201.34397508149092</v>
      </c>
      <c r="F4204" s="105" t="s">
        <v>113</v>
      </c>
      <c r="G4204" s="1084"/>
      <c r="H4204" s="1085"/>
      <c r="I4204" s="105"/>
      <c r="J4204" s="106"/>
      <c r="K4204" s="108">
        <f>E4204</f>
        <v>201.34397508149092</v>
      </c>
      <c r="L4204" s="105" t="s">
        <v>113</v>
      </c>
      <c r="N4204" s="26"/>
      <c r="O4204" s="2"/>
      <c r="P4204" s="27"/>
      <c r="Q4204" s="26"/>
      <c r="R4204" s="28"/>
    </row>
    <row r="4205" spans="1:18" ht="30" customHeight="1" thickBot="1" x14ac:dyDescent="0.5">
      <c r="A4205" s="999"/>
      <c r="B4205" s="1000"/>
      <c r="C4205" s="1000"/>
      <c r="D4205" s="1000"/>
      <c r="E4205" s="1000"/>
      <c r="F4205" s="1000"/>
      <c r="G4205" s="1000"/>
      <c r="H4205" s="1000"/>
      <c r="I4205" s="1000"/>
      <c r="J4205" s="1000"/>
      <c r="K4205" s="1000"/>
      <c r="L4205" s="1001"/>
      <c r="M4205" s="149"/>
      <c r="N4205" s="26"/>
      <c r="O4205" s="2"/>
      <c r="P4205" s="27"/>
      <c r="Q4205" s="26"/>
      <c r="R4205" s="28"/>
    </row>
    <row r="4206" spans="1:18" ht="30" customHeight="1" x14ac:dyDescent="0.45">
      <c r="A4206" s="9" t="s">
        <v>4</v>
      </c>
      <c r="B4206" s="10">
        <v>8452</v>
      </c>
      <c r="C4206" s="1138" t="s">
        <v>2277</v>
      </c>
      <c r="D4206" s="1139"/>
      <c r="E4206" s="13" t="s">
        <v>7</v>
      </c>
      <c r="F4206" s="14" t="s">
        <v>2170</v>
      </c>
      <c r="G4206" s="11" t="s">
        <v>6</v>
      </c>
      <c r="H4206" s="184">
        <v>9745.4505660377308</v>
      </c>
      <c r="I4206" s="13" t="s">
        <v>9</v>
      </c>
      <c r="J4206" s="985" t="s">
        <v>10</v>
      </c>
      <c r="K4206" s="985"/>
      <c r="L4206" s="986"/>
      <c r="N4206" s="26"/>
      <c r="O4206" s="2"/>
      <c r="P4206" s="27"/>
      <c r="Q4206" s="26"/>
      <c r="R4206" s="28"/>
    </row>
    <row r="4207" spans="1:18" ht="30" customHeight="1" x14ac:dyDescent="0.45">
      <c r="A4207" s="19" t="s">
        <v>11</v>
      </c>
      <c r="B4207" s="1005" t="s">
        <v>12</v>
      </c>
      <c r="C4207" s="1005"/>
      <c r="D4207" s="1005"/>
      <c r="E4207" s="20" t="s">
        <v>1986</v>
      </c>
      <c r="F4207" s="19" t="s">
        <v>2247</v>
      </c>
      <c r="G4207" s="1114" t="s">
        <v>15</v>
      </c>
      <c r="H4207" s="1115"/>
      <c r="I4207" s="1068" t="s">
        <v>16</v>
      </c>
      <c r="J4207" s="1069"/>
      <c r="K4207" s="992" t="s">
        <v>17</v>
      </c>
      <c r="L4207" s="993"/>
      <c r="N4207" s="26"/>
      <c r="O4207" s="2"/>
      <c r="P4207" s="27"/>
      <c r="Q4207" s="26"/>
      <c r="R4207" s="28"/>
    </row>
    <row r="4208" spans="1:18" ht="30" customHeight="1" x14ac:dyDescent="0.45">
      <c r="A4208" s="47">
        <v>84472</v>
      </c>
      <c r="B4208" s="1018" t="s">
        <v>2258</v>
      </c>
      <c r="C4208" s="1019"/>
      <c r="D4208" s="1020"/>
      <c r="E4208" s="730">
        <v>234643.59</v>
      </c>
      <c r="F4208" s="394">
        <v>2000</v>
      </c>
      <c r="G4208" s="835">
        <v>2880</v>
      </c>
      <c r="H4208" s="223" t="s">
        <v>2249</v>
      </c>
      <c r="I4208" s="1090">
        <f>+'[1]2023 MILCON Inflation Table'!F22</f>
        <v>0.93771935922451721</v>
      </c>
      <c r="J4208" s="1091"/>
      <c r="K4208" s="335">
        <f>+E4208/G4208*I4208</f>
        <v>76.399248910048726</v>
      </c>
      <c r="L4208" s="47" t="s">
        <v>2170</v>
      </c>
      <c r="N4208" s="26"/>
      <c r="O4208" s="2"/>
      <c r="P4208" s="27"/>
      <c r="Q4208" s="26"/>
      <c r="R4208" s="28"/>
    </row>
    <row r="4209" spans="1:18" ht="30" customHeight="1" x14ac:dyDescent="0.45">
      <c r="A4209" s="47">
        <v>84472</v>
      </c>
      <c r="B4209" s="1018" t="s">
        <v>2265</v>
      </c>
      <c r="C4209" s="1019"/>
      <c r="D4209" s="1020"/>
      <c r="E4209" s="730">
        <v>347917.65</v>
      </c>
      <c r="F4209" s="394">
        <v>2500</v>
      </c>
      <c r="G4209" s="836">
        <v>3600</v>
      </c>
      <c r="H4209" s="223" t="s">
        <v>2251</v>
      </c>
      <c r="I4209" s="1090">
        <f>+I4208</f>
        <v>0.93771935922451721</v>
      </c>
      <c r="J4209" s="1091"/>
      <c r="K4209" s="335">
        <f>+E4209/G4209*I4209</f>
        <v>90.624754394694406</v>
      </c>
      <c r="L4209" s="47" t="s">
        <v>2170</v>
      </c>
      <c r="N4209" s="26"/>
      <c r="O4209" s="2"/>
      <c r="P4209" s="27"/>
      <c r="Q4209" s="26"/>
      <c r="R4209" s="28"/>
    </row>
    <row r="4210" spans="1:18" ht="30" customHeight="1" thickBot="1" x14ac:dyDescent="0.5">
      <c r="A4210" s="47"/>
      <c r="B4210" s="1008"/>
      <c r="C4210" s="1009"/>
      <c r="D4210" s="1010"/>
      <c r="E4210" s="161"/>
      <c r="F4210" s="415"/>
      <c r="G4210" s="161"/>
      <c r="H4210" s="389" t="s">
        <v>56</v>
      </c>
      <c r="I4210" s="58"/>
      <c r="J4210" s="85" t="s">
        <v>39</v>
      </c>
      <c r="K4210" s="185">
        <f>AVERAGE(K4208:K4209)</f>
        <v>83.512001652371566</v>
      </c>
      <c r="L4210" s="29" t="s">
        <v>2170</v>
      </c>
      <c r="N4210" s="26"/>
      <c r="O4210" s="2"/>
      <c r="P4210" s="27"/>
      <c r="Q4210" s="26"/>
      <c r="R4210" s="28"/>
    </row>
    <row r="4211" spans="1:18" ht="30" customHeight="1" thickBot="1" x14ac:dyDescent="0.5">
      <c r="A4211" s="999"/>
      <c r="B4211" s="1000"/>
      <c r="C4211" s="1000"/>
      <c r="D4211" s="1000"/>
      <c r="E4211" s="1000"/>
      <c r="F4211" s="1000"/>
      <c r="G4211" s="1000"/>
      <c r="H4211" s="1000"/>
      <c r="I4211" s="1000"/>
      <c r="J4211" s="1000"/>
      <c r="K4211" s="1000"/>
      <c r="L4211" s="1001"/>
      <c r="N4211" s="26"/>
      <c r="O4211" s="2"/>
      <c r="P4211" s="27"/>
      <c r="Q4211" s="26"/>
      <c r="R4211" s="28"/>
    </row>
    <row r="4212" spans="1:18" ht="30" customHeight="1" x14ac:dyDescent="0.45">
      <c r="A4212" s="9" t="s">
        <v>4</v>
      </c>
      <c r="B4212" s="10">
        <v>8511</v>
      </c>
      <c r="C4212" s="1138" t="s">
        <v>2278</v>
      </c>
      <c r="D4212" s="1139"/>
      <c r="E4212" s="13" t="s">
        <v>7</v>
      </c>
      <c r="F4212" s="14" t="s">
        <v>8</v>
      </c>
      <c r="G4212" s="11" t="s">
        <v>6</v>
      </c>
      <c r="H4212" s="184">
        <v>23815.856126482799</v>
      </c>
      <c r="I4212" s="13" t="s">
        <v>9</v>
      </c>
      <c r="J4212" s="985" t="s">
        <v>2279</v>
      </c>
      <c r="K4212" s="985"/>
      <c r="L4212" s="986"/>
      <c r="N4212" s="26"/>
      <c r="O4212" s="2"/>
      <c r="P4212" s="27"/>
      <c r="Q4212" s="26"/>
      <c r="R4212" s="28"/>
    </row>
    <row r="4213" spans="1:18" ht="30" customHeight="1" x14ac:dyDescent="0.45">
      <c r="A4213" s="19" t="s">
        <v>11</v>
      </c>
      <c r="B4213" s="1005" t="s">
        <v>12</v>
      </c>
      <c r="C4213" s="1005"/>
      <c r="D4213" s="1005"/>
      <c r="E4213" s="20" t="s">
        <v>13</v>
      </c>
      <c r="F4213" s="19" t="s">
        <v>79</v>
      </c>
      <c r="G4213" s="1114" t="s">
        <v>15</v>
      </c>
      <c r="H4213" s="1115"/>
      <c r="I4213" s="1068" t="s">
        <v>16</v>
      </c>
      <c r="J4213" s="1069"/>
      <c r="K4213" s="992" t="s">
        <v>17</v>
      </c>
      <c r="L4213" s="993"/>
      <c r="N4213" s="26"/>
      <c r="O4213" s="2"/>
      <c r="P4213" s="27"/>
      <c r="Q4213" s="26"/>
      <c r="R4213" s="28"/>
    </row>
    <row r="4214" spans="1:18" ht="30" customHeight="1" x14ac:dyDescent="0.45">
      <c r="A4214" s="502"/>
      <c r="B4214" s="1142" t="s">
        <v>2280</v>
      </c>
      <c r="C4214" s="1117"/>
      <c r="D4214" s="1118"/>
      <c r="E4214" s="397"/>
      <c r="F4214" s="502"/>
      <c r="G4214" s="397"/>
      <c r="H4214" s="396"/>
      <c r="I4214" s="174"/>
      <c r="J4214" s="175"/>
      <c r="K4214" s="9"/>
      <c r="L4214" s="228"/>
      <c r="N4214" s="26"/>
      <c r="O4214" s="2"/>
      <c r="P4214" s="27"/>
      <c r="Q4214" s="26"/>
      <c r="R4214" s="28"/>
    </row>
    <row r="4215" spans="1:18" ht="30" customHeight="1" x14ac:dyDescent="0.45">
      <c r="A4215" s="47">
        <v>93210</v>
      </c>
      <c r="B4215" s="1111" t="s">
        <v>1648</v>
      </c>
      <c r="C4215" s="1112"/>
      <c r="D4215" s="1113"/>
      <c r="E4215" s="221">
        <v>6.42</v>
      </c>
      <c r="F4215" s="394" t="s">
        <v>2281</v>
      </c>
      <c r="G4215" s="838">
        <v>0.33300000000000002</v>
      </c>
      <c r="H4215" s="223" t="s">
        <v>30</v>
      </c>
      <c r="I4215" s="1090">
        <f>+'[1]2023 MILCON Inflation Table'!F22</f>
        <v>0.93771935922451721</v>
      </c>
      <c r="J4215" s="1091"/>
      <c r="K4215" s="335">
        <f>+E4215*G4215*I4215</f>
        <v>2.0047127093117263</v>
      </c>
      <c r="L4215" s="29" t="s">
        <v>8</v>
      </c>
      <c r="N4215" s="26"/>
      <c r="O4215" s="2"/>
      <c r="P4215" s="27"/>
      <c r="Q4215" s="26"/>
      <c r="R4215" s="28"/>
    </row>
    <row r="4216" spans="1:18" ht="30" customHeight="1" x14ac:dyDescent="0.45">
      <c r="A4216" s="47">
        <v>93410</v>
      </c>
      <c r="B4216" s="1018" t="s">
        <v>2282</v>
      </c>
      <c r="C4216" s="1019"/>
      <c r="D4216" s="1020"/>
      <c r="E4216" s="221">
        <v>11.04</v>
      </c>
      <c r="F4216" s="394" t="s">
        <v>2283</v>
      </c>
      <c r="G4216" s="838">
        <v>0.33300000000000002</v>
      </c>
      <c r="H4216" s="223" t="s">
        <v>30</v>
      </c>
      <c r="I4216" s="1090">
        <f>+I4215</f>
        <v>0.93771935922451721</v>
      </c>
      <c r="J4216" s="1091"/>
      <c r="K4216" s="335">
        <f>+E4216*G4216*I4216</f>
        <v>3.4473564347042771</v>
      </c>
      <c r="L4216" s="29" t="s">
        <v>8</v>
      </c>
      <c r="M4216" s="25"/>
      <c r="N4216" s="26"/>
      <c r="O4216" s="2"/>
      <c r="P4216" s="27"/>
      <c r="Q4216" s="26"/>
      <c r="R4216" s="28"/>
    </row>
    <row r="4217" spans="1:18" ht="30" customHeight="1" x14ac:dyDescent="0.45">
      <c r="A4217" s="47">
        <v>85110</v>
      </c>
      <c r="B4217" s="1111" t="s">
        <v>2284</v>
      </c>
      <c r="C4217" s="1112"/>
      <c r="D4217" s="1113"/>
      <c r="E4217" s="221">
        <v>25.98</v>
      </c>
      <c r="F4217" s="394" t="s">
        <v>8</v>
      </c>
      <c r="G4217" s="736"/>
      <c r="H4217" s="223"/>
      <c r="I4217" s="1090">
        <f>+I4216</f>
        <v>0.93771935922451721</v>
      </c>
      <c r="J4217" s="1091"/>
      <c r="K4217" s="335">
        <f>+E4217*I4217</f>
        <v>24.361948952652959</v>
      </c>
      <c r="L4217" s="29" t="s">
        <v>8</v>
      </c>
      <c r="N4217" s="26"/>
      <c r="O4217" s="2"/>
      <c r="P4217" s="27"/>
      <c r="Q4217" s="26"/>
      <c r="R4217" s="28"/>
    </row>
    <row r="4218" spans="1:18" ht="30" customHeight="1" x14ac:dyDescent="0.45">
      <c r="A4218" s="47">
        <v>85110</v>
      </c>
      <c r="B4218" s="1018" t="s">
        <v>2285</v>
      </c>
      <c r="C4218" s="1019"/>
      <c r="D4218" s="1020"/>
      <c r="E4218" s="221">
        <v>5.45</v>
      </c>
      <c r="F4218" s="394" t="s">
        <v>8</v>
      </c>
      <c r="G4218" s="434"/>
      <c r="H4218" s="223"/>
      <c r="I4218" s="1090">
        <f>+I4216</f>
        <v>0.93771935922451721</v>
      </c>
      <c r="J4218" s="1091"/>
      <c r="K4218" s="335">
        <f>+E4218*I4218</f>
        <v>5.1105705077736188</v>
      </c>
      <c r="L4218" s="29" t="s">
        <v>8</v>
      </c>
      <c r="M4218" s="41"/>
      <c r="N4218" s="26"/>
      <c r="O4218" s="2"/>
      <c r="P4218" s="27"/>
      <c r="Q4218" s="26"/>
      <c r="R4218" s="28"/>
    </row>
    <row r="4219" spans="1:18" ht="30" customHeight="1" x14ac:dyDescent="0.45">
      <c r="A4219" s="47">
        <v>85110</v>
      </c>
      <c r="B4219" s="1018" t="s">
        <v>2286</v>
      </c>
      <c r="C4219" s="1019"/>
      <c r="D4219" s="1020"/>
      <c r="E4219" s="221">
        <v>44.18</v>
      </c>
      <c r="F4219" s="394" t="s">
        <v>8</v>
      </c>
      <c r="G4219" s="434"/>
      <c r="H4219" s="223"/>
      <c r="I4219" s="1090">
        <f>+I4216</f>
        <v>0.93771935922451721</v>
      </c>
      <c r="J4219" s="1091"/>
      <c r="K4219" s="335">
        <f>+E4219*I4219</f>
        <v>41.428441290539169</v>
      </c>
      <c r="L4219" s="29" t="s">
        <v>8</v>
      </c>
      <c r="M4219" s="41"/>
      <c r="N4219" s="26"/>
      <c r="O4219" s="2"/>
      <c r="P4219" s="27"/>
      <c r="Q4219" s="26"/>
      <c r="R4219" s="28"/>
    </row>
    <row r="4220" spans="1:18" ht="30" customHeight="1" x14ac:dyDescent="0.45">
      <c r="A4220" s="47"/>
      <c r="B4220" s="204"/>
      <c r="C4220" s="205"/>
      <c r="D4220" s="206"/>
      <c r="E4220" s="353"/>
      <c r="F4220" s="434"/>
      <c r="G4220" s="434"/>
      <c r="H4220" s="223"/>
      <c r="I4220" s="232"/>
      <c r="J4220" s="392" t="s">
        <v>2280</v>
      </c>
      <c r="K4220" s="335">
        <f>SUM(K4215:K4219)</f>
        <v>76.353029894981745</v>
      </c>
      <c r="L4220" s="29" t="s">
        <v>8</v>
      </c>
      <c r="N4220" s="26"/>
      <c r="O4220" s="2"/>
      <c r="P4220" s="27"/>
      <c r="Q4220" s="26"/>
      <c r="R4220" s="28"/>
    </row>
    <row r="4221" spans="1:18" ht="30" customHeight="1" x14ac:dyDescent="0.45">
      <c r="A4221" s="47"/>
      <c r="B4221" s="1142" t="s">
        <v>2287</v>
      </c>
      <c r="C4221" s="1117"/>
      <c r="D4221" s="1118"/>
      <c r="E4221" s="353"/>
      <c r="F4221" s="434"/>
      <c r="G4221" s="434"/>
      <c r="H4221" s="223"/>
      <c r="I4221" s="232"/>
      <c r="J4221" s="233"/>
      <c r="K4221" s="36"/>
      <c r="L4221" s="29"/>
      <c r="N4221" s="26"/>
      <c r="O4221" s="2"/>
      <c r="P4221" s="27"/>
      <c r="Q4221" s="26"/>
      <c r="R4221" s="28"/>
    </row>
    <row r="4222" spans="1:18" ht="30" customHeight="1" x14ac:dyDescent="0.45">
      <c r="A4222" s="47">
        <v>93210</v>
      </c>
      <c r="B4222" s="1111" t="s">
        <v>1648</v>
      </c>
      <c r="C4222" s="1112"/>
      <c r="D4222" s="1113"/>
      <c r="E4222" s="221">
        <f>+E4215</f>
        <v>6.42</v>
      </c>
      <c r="F4222" s="394" t="s">
        <v>2281</v>
      </c>
      <c r="G4222" s="838">
        <v>0.33300000000000002</v>
      </c>
      <c r="H4222" s="223" t="s">
        <v>30</v>
      </c>
      <c r="I4222" s="1090">
        <f>+I4215</f>
        <v>0.93771935922451721</v>
      </c>
      <c r="J4222" s="1091"/>
      <c r="K4222" s="335">
        <f>+E4222*G4222*I4222</f>
        <v>2.0047127093117263</v>
      </c>
      <c r="L4222" s="29" t="s">
        <v>8</v>
      </c>
      <c r="N4222" s="26"/>
      <c r="O4222" s="2"/>
      <c r="P4222" s="27"/>
      <c r="Q4222" s="26"/>
      <c r="R4222" s="28"/>
    </row>
    <row r="4223" spans="1:18" ht="30" customHeight="1" x14ac:dyDescent="0.45">
      <c r="A4223" s="47">
        <v>93410</v>
      </c>
      <c r="B4223" s="1018" t="s">
        <v>2282</v>
      </c>
      <c r="C4223" s="1019"/>
      <c r="D4223" s="1020"/>
      <c r="E4223" s="221">
        <v>11.04</v>
      </c>
      <c r="F4223" s="394" t="s">
        <v>2283</v>
      </c>
      <c r="G4223" s="838">
        <v>0.33300000000000002</v>
      </c>
      <c r="H4223" s="223" t="s">
        <v>2288</v>
      </c>
      <c r="I4223" s="1090">
        <f>+I4215</f>
        <v>0.93771935922451721</v>
      </c>
      <c r="J4223" s="1091"/>
      <c r="K4223" s="335">
        <f>+E4223*G4223*I4223</f>
        <v>3.4473564347042771</v>
      </c>
      <c r="L4223" s="29" t="s">
        <v>8</v>
      </c>
      <c r="N4223" s="26"/>
      <c r="O4223" s="2"/>
      <c r="P4223" s="27"/>
      <c r="Q4223" s="26"/>
      <c r="R4223" s="28"/>
    </row>
    <row r="4224" spans="1:18" ht="30" customHeight="1" x14ac:dyDescent="0.45">
      <c r="A4224" s="47">
        <v>85110</v>
      </c>
      <c r="B4224" s="1111" t="s">
        <v>2284</v>
      </c>
      <c r="C4224" s="1112"/>
      <c r="D4224" s="1113"/>
      <c r="E4224" s="221">
        <v>25.98</v>
      </c>
      <c r="F4224" s="394" t="s">
        <v>8</v>
      </c>
      <c r="G4224" s="736"/>
      <c r="H4224" s="223"/>
      <c r="I4224" s="1090">
        <f>+I4215</f>
        <v>0.93771935922451721</v>
      </c>
      <c r="J4224" s="1091"/>
      <c r="K4224" s="335">
        <f>+E4224*I4224</f>
        <v>24.361948952652959</v>
      </c>
      <c r="L4224" s="29" t="s">
        <v>8</v>
      </c>
      <c r="N4224" s="26"/>
      <c r="O4224" s="2"/>
      <c r="P4224" s="27"/>
      <c r="Q4224" s="26"/>
      <c r="R4224" s="28"/>
    </row>
    <row r="4225" spans="1:18" ht="30" customHeight="1" x14ac:dyDescent="0.45">
      <c r="A4225" s="47">
        <v>85110</v>
      </c>
      <c r="B4225" s="1142" t="s">
        <v>2289</v>
      </c>
      <c r="C4225" s="1117"/>
      <c r="D4225" s="1118"/>
      <c r="E4225" s="221">
        <v>122.44</v>
      </c>
      <c r="F4225" s="394" t="s">
        <v>8</v>
      </c>
      <c r="G4225" s="434"/>
      <c r="H4225" s="223"/>
      <c r="I4225" s="1090">
        <f>+I4215</f>
        <v>0.93771935922451721</v>
      </c>
      <c r="J4225" s="1091"/>
      <c r="K4225" s="335">
        <f>+E4225*I4225</f>
        <v>114.81435834344988</v>
      </c>
      <c r="L4225" s="29" t="s">
        <v>8</v>
      </c>
      <c r="N4225" s="26"/>
      <c r="O4225" s="2"/>
      <c r="P4225" s="27"/>
      <c r="Q4225" s="26"/>
      <c r="R4225" s="28"/>
    </row>
    <row r="4226" spans="1:18" ht="30" customHeight="1" x14ac:dyDescent="0.45">
      <c r="A4226" s="59"/>
      <c r="B4226" s="60"/>
      <c r="C4226" s="60"/>
      <c r="D4226" s="75"/>
      <c r="E4226" s="353"/>
      <c r="F4226" s="434"/>
      <c r="G4226" s="434"/>
      <c r="H4226" s="223"/>
      <c r="I4226" s="391"/>
      <c r="J4226" s="392" t="s">
        <v>2287</v>
      </c>
      <c r="K4226" s="335">
        <f>SUM(K4222:K4225)</f>
        <v>144.62837644011884</v>
      </c>
      <c r="L4226" s="29" t="s">
        <v>8</v>
      </c>
      <c r="N4226" s="26"/>
      <c r="O4226" s="2"/>
      <c r="P4226" s="27"/>
      <c r="Q4226" s="26"/>
      <c r="R4226" s="28"/>
    </row>
    <row r="4227" spans="1:18" ht="30" customHeight="1" x14ac:dyDescent="0.45">
      <c r="A4227" s="399"/>
      <c r="B4227" s="400"/>
      <c r="C4227" s="400"/>
      <c r="D4227" s="401"/>
      <c r="E4227" s="353"/>
      <c r="F4227" s="434"/>
      <c r="G4227" s="434"/>
      <c r="H4227" s="223"/>
      <c r="I4227" s="391"/>
      <c r="J4227" s="588" t="s">
        <v>27</v>
      </c>
      <c r="K4227" s="335">
        <f>+(K4220*0.816)+(K4226*0.184)</f>
        <v>88.915693659286973</v>
      </c>
      <c r="L4227" s="29" t="s">
        <v>8</v>
      </c>
      <c r="N4227" s="26"/>
      <c r="O4227" s="2"/>
      <c r="P4227" s="27"/>
      <c r="Q4227" s="26"/>
      <c r="R4227" s="28"/>
    </row>
    <row r="4228" spans="1:18" ht="30" customHeight="1" x14ac:dyDescent="0.45">
      <c r="A4228" s="47">
        <v>85110</v>
      </c>
      <c r="B4228" s="1018" t="s">
        <v>2290</v>
      </c>
      <c r="C4228" s="1019"/>
      <c r="D4228" s="1020"/>
      <c r="E4228" s="221">
        <v>89.88</v>
      </c>
      <c r="F4228" s="394" t="s">
        <v>113</v>
      </c>
      <c r="G4228" s="839">
        <f>2.66666666666667*2</f>
        <v>5.3333333333333401</v>
      </c>
      <c r="H4228" s="223" t="s">
        <v>2291</v>
      </c>
      <c r="I4228" s="1090">
        <f>+I4215</f>
        <v>0.93771935922451721</v>
      </c>
      <c r="J4228" s="1091"/>
      <c r="K4228" s="335">
        <f>+E4228/G4228*I4228</f>
        <v>15.802915501331155</v>
      </c>
      <c r="L4228" s="29" t="s">
        <v>8</v>
      </c>
      <c r="N4228" s="26"/>
      <c r="O4228" s="2"/>
      <c r="P4228" s="27"/>
      <c r="Q4228" s="26"/>
      <c r="R4228" s="28"/>
    </row>
    <row r="4229" spans="1:18" ht="30" customHeight="1" x14ac:dyDescent="0.45">
      <c r="A4229" s="225">
        <v>85110</v>
      </c>
      <c r="B4229" s="977" t="s">
        <v>2292</v>
      </c>
      <c r="C4229" s="978"/>
      <c r="D4229" s="979"/>
      <c r="E4229" s="221">
        <v>0.97</v>
      </c>
      <c r="F4229" s="394" t="s">
        <v>113</v>
      </c>
      <c r="G4229" s="839">
        <v>2.67</v>
      </c>
      <c r="H4229" s="223" t="s">
        <v>2291</v>
      </c>
      <c r="I4229" s="1090">
        <f>+I4215</f>
        <v>0.93771935922451721</v>
      </c>
      <c r="J4229" s="1091"/>
      <c r="K4229" s="335">
        <f>+E4229/G4229*I4229</f>
        <v>0.34066957994298941</v>
      </c>
      <c r="L4229" s="29" t="s">
        <v>8</v>
      </c>
      <c r="N4229" s="26"/>
      <c r="O4229" s="2"/>
      <c r="P4229" s="27"/>
      <c r="Q4229" s="26"/>
      <c r="R4229" s="28"/>
    </row>
    <row r="4230" spans="1:18" ht="30" customHeight="1" x14ac:dyDescent="0.45">
      <c r="A4230" s="26" t="s">
        <v>2293</v>
      </c>
      <c r="B4230" s="977" t="s">
        <v>2294</v>
      </c>
      <c r="C4230" s="978"/>
      <c r="D4230" s="979"/>
      <c r="E4230" s="353">
        <v>49</v>
      </c>
      <c r="F4230" s="394" t="s">
        <v>113</v>
      </c>
      <c r="G4230" s="839">
        <v>2.67</v>
      </c>
      <c r="H4230" s="223" t="s">
        <v>2291</v>
      </c>
      <c r="I4230" s="1090">
        <v>1</v>
      </c>
      <c r="J4230" s="1091"/>
      <c r="K4230" s="335">
        <f>+E4230/G4230*I4230</f>
        <v>18.352059925093634</v>
      </c>
      <c r="L4230" s="29" t="s">
        <v>8</v>
      </c>
      <c r="N4230" s="26"/>
      <c r="O4230" s="2"/>
      <c r="P4230" s="27"/>
      <c r="Q4230" s="26"/>
      <c r="R4230" s="28"/>
    </row>
    <row r="4231" spans="1:18" ht="30" customHeight="1" thickBot="1" x14ac:dyDescent="0.5">
      <c r="A4231" s="1154" t="s">
        <v>2295</v>
      </c>
      <c r="B4231" s="1154"/>
      <c r="C4231" s="1154"/>
      <c r="D4231" s="1154"/>
      <c r="E4231" s="677"/>
      <c r="F4231" s="678"/>
      <c r="G4231" s="677"/>
      <c r="H4231" s="679" t="s">
        <v>38</v>
      </c>
      <c r="I4231" s="150"/>
      <c r="J4231" s="133" t="s">
        <v>39</v>
      </c>
      <c r="K4231" s="840">
        <f>+K4227+K4228+K4229+K4230</f>
        <v>123.41133866565474</v>
      </c>
      <c r="L4231" s="395" t="s">
        <v>8</v>
      </c>
      <c r="N4231" s="26"/>
      <c r="O4231" s="2"/>
      <c r="P4231" s="27"/>
      <c r="Q4231" s="26"/>
      <c r="R4231" s="28"/>
    </row>
    <row r="4232" spans="1:18" ht="30" customHeight="1" thickBot="1" x14ac:dyDescent="0.5">
      <c r="A4232" s="999"/>
      <c r="B4232" s="1000"/>
      <c r="C4232" s="1000"/>
      <c r="D4232" s="1000"/>
      <c r="E4232" s="1000"/>
      <c r="F4232" s="1000"/>
      <c r="G4232" s="1000"/>
      <c r="H4232" s="1000"/>
      <c r="I4232" s="1000"/>
      <c r="J4232" s="1000"/>
      <c r="K4232" s="1000"/>
      <c r="L4232" s="1001"/>
      <c r="N4232" s="26"/>
      <c r="O4232" s="2"/>
      <c r="P4232" s="27"/>
      <c r="Q4232" s="26"/>
      <c r="R4232" s="28"/>
    </row>
    <row r="4233" spans="1:18" ht="30" customHeight="1" x14ac:dyDescent="0.45">
      <c r="A4233" s="9" t="s">
        <v>4</v>
      </c>
      <c r="B4233" s="10">
        <v>8512</v>
      </c>
      <c r="C4233" s="1138" t="s">
        <v>2296</v>
      </c>
      <c r="D4233" s="1139"/>
      <c r="E4233" s="13" t="s">
        <v>7</v>
      </c>
      <c r="F4233" s="14" t="s">
        <v>8</v>
      </c>
      <c r="G4233" s="11" t="s">
        <v>6</v>
      </c>
      <c r="H4233" s="184">
        <v>60028.8481367395</v>
      </c>
      <c r="I4233" s="13" t="s">
        <v>9</v>
      </c>
      <c r="J4233" s="985" t="s">
        <v>10</v>
      </c>
      <c r="K4233" s="985"/>
      <c r="L4233" s="986"/>
      <c r="N4233" s="26"/>
      <c r="O4233" s="2"/>
      <c r="P4233" s="27"/>
      <c r="Q4233" s="26"/>
      <c r="R4233" s="28"/>
    </row>
    <row r="4234" spans="1:18" ht="30" customHeight="1" x14ac:dyDescent="0.45">
      <c r="A4234" s="19" t="s">
        <v>11</v>
      </c>
      <c r="B4234" s="1005" t="s">
        <v>12</v>
      </c>
      <c r="C4234" s="1005"/>
      <c r="D4234" s="1005"/>
      <c r="E4234" s="20" t="s">
        <v>13</v>
      </c>
      <c r="F4234" s="19" t="s">
        <v>79</v>
      </c>
      <c r="G4234" s="1114" t="s">
        <v>15</v>
      </c>
      <c r="H4234" s="1115"/>
      <c r="I4234" s="1068" t="s">
        <v>16</v>
      </c>
      <c r="J4234" s="1069"/>
      <c r="K4234" s="992" t="s">
        <v>17</v>
      </c>
      <c r="L4234" s="993"/>
      <c r="N4234" s="26"/>
      <c r="O4234" s="2"/>
      <c r="P4234" s="27"/>
      <c r="Q4234" s="26"/>
      <c r="R4234" s="28"/>
    </row>
    <row r="4235" spans="1:18" ht="30" customHeight="1" x14ac:dyDescent="0.45">
      <c r="A4235" s="47">
        <v>93210</v>
      </c>
      <c r="B4235" s="1111" t="s">
        <v>1648</v>
      </c>
      <c r="C4235" s="1112"/>
      <c r="D4235" s="1113"/>
      <c r="E4235" s="221">
        <f>+E4215</f>
        <v>6.42</v>
      </c>
      <c r="F4235" s="394" t="s">
        <v>2281</v>
      </c>
      <c r="G4235" s="838">
        <v>0.33300000000000002</v>
      </c>
      <c r="H4235" s="223" t="s">
        <v>30</v>
      </c>
      <c r="I4235" s="1090">
        <f>+'[1]2023 MILCON Inflation Table'!F22</f>
        <v>0.93771935922451721</v>
      </c>
      <c r="J4235" s="1091"/>
      <c r="K4235" s="335">
        <f>+E4235*G4235*I4235</f>
        <v>2.0047127093117263</v>
      </c>
      <c r="L4235" s="29" t="s">
        <v>8</v>
      </c>
      <c r="M4235" s="25"/>
      <c r="N4235" s="26"/>
      <c r="O4235" s="2"/>
      <c r="P4235" s="27"/>
      <c r="Q4235" s="26"/>
      <c r="R4235" s="28"/>
    </row>
    <row r="4236" spans="1:18" ht="30" customHeight="1" x14ac:dyDescent="0.45">
      <c r="A4236" s="47">
        <v>93210</v>
      </c>
      <c r="B4236" s="1111" t="s">
        <v>2297</v>
      </c>
      <c r="C4236" s="1112"/>
      <c r="D4236" s="1113"/>
      <c r="E4236" s="221">
        <v>5.84</v>
      </c>
      <c r="F4236" s="394" t="s">
        <v>8</v>
      </c>
      <c r="G4236" s="394"/>
      <c r="H4236" s="223"/>
      <c r="I4236" s="1090">
        <f>+I4235</f>
        <v>0.93771935922451721</v>
      </c>
      <c r="J4236" s="1091"/>
      <c r="K4236" s="335">
        <f>+E4236*I4236</f>
        <v>5.47628105787118</v>
      </c>
      <c r="L4236" s="29" t="s">
        <v>8</v>
      </c>
      <c r="N4236" s="26"/>
      <c r="O4236" s="2"/>
      <c r="P4236" s="27"/>
      <c r="Q4236" s="26"/>
      <c r="R4236" s="28"/>
    </row>
    <row r="4237" spans="1:18" ht="30" customHeight="1" x14ac:dyDescent="0.45">
      <c r="A4237" s="47">
        <v>85110</v>
      </c>
      <c r="B4237" s="1111" t="s">
        <v>2284</v>
      </c>
      <c r="C4237" s="1112"/>
      <c r="D4237" s="1113"/>
      <c r="E4237" s="221">
        <v>25.98</v>
      </c>
      <c r="F4237" s="394" t="s">
        <v>8</v>
      </c>
      <c r="G4237" s="394"/>
      <c r="H4237" s="223"/>
      <c r="I4237" s="1090">
        <f>+I4235</f>
        <v>0.93771935922451721</v>
      </c>
      <c r="J4237" s="1091"/>
      <c r="K4237" s="335">
        <f>+E4237*I4237</f>
        <v>24.361948952652959</v>
      </c>
      <c r="L4237" s="29" t="s">
        <v>8</v>
      </c>
      <c r="N4237" s="26"/>
      <c r="O4237" s="2"/>
      <c r="P4237" s="27"/>
      <c r="Q4237" s="26"/>
      <c r="R4237" s="28"/>
    </row>
    <row r="4238" spans="1:18" ht="30" customHeight="1" thickBot="1" x14ac:dyDescent="0.5">
      <c r="A4238" s="47"/>
      <c r="B4238" s="1018" t="s">
        <v>2298</v>
      </c>
      <c r="C4238" s="1019"/>
      <c r="D4238" s="1020"/>
      <c r="E4238" s="161"/>
      <c r="F4238" s="415"/>
      <c r="G4238" s="161"/>
      <c r="H4238" s="389"/>
      <c r="I4238" s="47" t="s">
        <v>38</v>
      </c>
      <c r="J4238" s="85" t="s">
        <v>39</v>
      </c>
      <c r="K4238" s="185">
        <f>SUM(K4235:K4237)</f>
        <v>31.842942719835865</v>
      </c>
      <c r="L4238" s="29" t="s">
        <v>8</v>
      </c>
      <c r="N4238" s="26"/>
      <c r="O4238" s="2"/>
      <c r="P4238" s="27"/>
      <c r="Q4238" s="26"/>
      <c r="R4238" s="28"/>
    </row>
    <row r="4239" spans="1:18" ht="30" customHeight="1" thickBot="1" x14ac:dyDescent="0.5">
      <c r="A4239" s="999"/>
      <c r="B4239" s="1000"/>
      <c r="C4239" s="1000"/>
      <c r="D4239" s="1000"/>
      <c r="E4239" s="1000"/>
      <c r="F4239" s="1000"/>
      <c r="G4239" s="1000"/>
      <c r="H4239" s="1000"/>
      <c r="I4239" s="1000"/>
      <c r="J4239" s="1000"/>
      <c r="K4239" s="1000"/>
      <c r="L4239" s="1001"/>
      <c r="N4239" s="26"/>
      <c r="O4239" s="2"/>
      <c r="P4239" s="27"/>
      <c r="Q4239" s="26"/>
      <c r="R4239" s="28"/>
    </row>
    <row r="4240" spans="1:18" ht="30" customHeight="1" x14ac:dyDescent="0.45">
      <c r="A4240" s="9" t="s">
        <v>4</v>
      </c>
      <c r="B4240" s="10">
        <v>8513</v>
      </c>
      <c r="C4240" s="983" t="s">
        <v>2299</v>
      </c>
      <c r="D4240" s="984"/>
      <c r="E4240" s="13" t="s">
        <v>7</v>
      </c>
      <c r="F4240" s="14" t="s">
        <v>8</v>
      </c>
      <c r="G4240" s="11" t="s">
        <v>6</v>
      </c>
      <c r="H4240" s="163">
        <v>375.24024759793002</v>
      </c>
      <c r="I4240" s="13" t="s">
        <v>9</v>
      </c>
      <c r="J4240" s="985" t="s">
        <v>276</v>
      </c>
      <c r="K4240" s="985"/>
      <c r="L4240" s="986"/>
      <c r="M4240" s="41"/>
      <c r="N4240" s="26"/>
      <c r="O4240" s="2"/>
      <c r="P4240" s="27"/>
      <c r="Q4240" s="26"/>
      <c r="R4240" s="28"/>
    </row>
    <row r="4241" spans="1:25" ht="30" customHeight="1" x14ac:dyDescent="0.45">
      <c r="A4241" s="228" t="s">
        <v>277</v>
      </c>
      <c r="B4241" s="1028" t="s">
        <v>293</v>
      </c>
      <c r="C4241" s="1149"/>
      <c r="D4241" s="1029"/>
      <c r="E4241" s="80" t="s">
        <v>13</v>
      </c>
      <c r="F4241" s="80" t="s">
        <v>14</v>
      </c>
      <c r="G4241" s="1150" t="s">
        <v>15</v>
      </c>
      <c r="H4241" s="1151"/>
      <c r="I4241" s="502" t="s">
        <v>278</v>
      </c>
      <c r="J4241" s="502"/>
      <c r="K4241" s="1152" t="s">
        <v>17</v>
      </c>
      <c r="L4241" s="1153"/>
      <c r="M4241" s="41"/>
      <c r="N4241" s="26"/>
      <c r="O4241" s="2"/>
      <c r="P4241" s="27"/>
      <c r="Q4241" s="26"/>
      <c r="R4241" s="28"/>
    </row>
    <row r="4242" spans="1:25" ht="30" customHeight="1" x14ac:dyDescent="0.45">
      <c r="A4242" s="29" t="s">
        <v>480</v>
      </c>
      <c r="B4242" s="1142" t="s">
        <v>2300</v>
      </c>
      <c r="C4242" s="1117"/>
      <c r="D4242" s="1118"/>
      <c r="E4242" s="841">
        <f>+(91+310)/2</f>
        <v>200.5</v>
      </c>
      <c r="F4242" s="81" t="s">
        <v>35</v>
      </c>
      <c r="G4242" s="671">
        <v>9</v>
      </c>
      <c r="H4242" s="842" t="s">
        <v>542</v>
      </c>
      <c r="I4242" s="29">
        <v>1.1100000000000001</v>
      </c>
      <c r="J4242" s="81"/>
      <c r="K4242" s="145">
        <f>+E4242*G4242*I4242</f>
        <v>2002.9950000000001</v>
      </c>
      <c r="L4242" s="81" t="s">
        <v>8</v>
      </c>
      <c r="N4242" s="26"/>
      <c r="P4242" s="27"/>
      <c r="Q4242" s="26"/>
      <c r="R4242" s="28"/>
      <c r="T4242" s="41"/>
    </row>
    <row r="4243" spans="1:25" ht="30" customHeight="1" x14ac:dyDescent="0.45">
      <c r="A4243" s="47"/>
      <c r="B4243" s="224"/>
      <c r="C4243" s="224"/>
      <c r="D4243" s="224"/>
      <c r="E4243" s="221"/>
      <c r="F4243" s="1011" t="s">
        <v>285</v>
      </c>
      <c r="G4243" s="1013" t="s">
        <v>286</v>
      </c>
      <c r="H4243" s="1013"/>
      <c r="I4243" s="1013"/>
      <c r="J4243" s="1013"/>
      <c r="K4243" s="278">
        <v>1.06</v>
      </c>
      <c r="L4243" s="47"/>
      <c r="N4243" s="144"/>
      <c r="P4243" s="27"/>
      <c r="Q4243" s="26"/>
      <c r="R4243" s="28"/>
      <c r="T4243" s="41"/>
    </row>
    <row r="4244" spans="1:25" ht="30" customHeight="1" x14ac:dyDescent="0.45">
      <c r="A4244" s="47"/>
      <c r="B4244" s="224"/>
      <c r="C4244" s="224"/>
      <c r="D4244" s="224"/>
      <c r="E4244" s="221"/>
      <c r="F4244" s="1012"/>
      <c r="G4244" s="1014" t="s">
        <v>287</v>
      </c>
      <c r="H4244" s="1014"/>
      <c r="I4244" s="1014"/>
      <c r="J4244" s="1014"/>
      <c r="K4244" s="278">
        <v>1.05</v>
      </c>
      <c r="L4244" s="47"/>
      <c r="N4244" s="26"/>
      <c r="O4244" s="5"/>
      <c r="P4244" s="27"/>
      <c r="Q4244" s="26"/>
      <c r="R4244" s="28"/>
      <c r="T4244" s="18"/>
      <c r="U4244" s="18"/>
      <c r="V4244" s="18"/>
      <c r="W4244" s="18"/>
      <c r="X4244" s="18"/>
    </row>
    <row r="4245" spans="1:25" ht="30" customHeight="1" x14ac:dyDescent="0.45">
      <c r="A4245" s="47"/>
      <c r="B4245" s="47"/>
      <c r="C4245" s="58"/>
      <c r="D4245" s="58"/>
      <c r="E4245" s="58"/>
      <c r="F4245" s="58"/>
      <c r="G4245" s="58"/>
      <c r="H4245" s="58"/>
      <c r="I4245" s="58"/>
      <c r="J4245" s="47" t="s">
        <v>39</v>
      </c>
      <c r="K4245" s="216">
        <f>+K4242*K4243/K4244</f>
        <v>2022.0711428571428</v>
      </c>
      <c r="L4245" s="47" t="s">
        <v>8</v>
      </c>
      <c r="N4245" s="26"/>
      <c r="S4245" s="41"/>
      <c r="Y4245" s="18"/>
    </row>
    <row r="4246" spans="1:25" ht="30" customHeight="1" thickBot="1" x14ac:dyDescent="0.5">
      <c r="A4246" s="47"/>
      <c r="B4246" s="47"/>
      <c r="C4246" s="58"/>
      <c r="D4246" s="58"/>
      <c r="E4246" s="58"/>
      <c r="F4246" s="58"/>
      <c r="H4246" s="58"/>
      <c r="I4246" s="183" t="s">
        <v>288</v>
      </c>
      <c r="J4246" s="213">
        <f>VLOOKUP(B4240,'[1]Mil Cost Premiums for PUCs'!$A$4:$R$278,18,FALSE)</f>
        <v>1.1199953840399997</v>
      </c>
      <c r="K4246" s="216">
        <f>+K4245*J4246</f>
        <v>2264.7103462004866</v>
      </c>
      <c r="L4246" s="47" t="s">
        <v>8</v>
      </c>
      <c r="N4246" s="26"/>
      <c r="S4246" s="41"/>
    </row>
    <row r="4247" spans="1:25" ht="30" customHeight="1" thickBot="1" x14ac:dyDescent="0.5">
      <c r="A4247" s="999"/>
      <c r="B4247" s="1000"/>
      <c r="C4247" s="1000"/>
      <c r="D4247" s="1000"/>
      <c r="E4247" s="1000"/>
      <c r="F4247" s="1000"/>
      <c r="G4247" s="1000"/>
      <c r="H4247" s="1000"/>
      <c r="I4247" s="1000"/>
      <c r="J4247" s="1000"/>
      <c r="K4247" s="1000"/>
      <c r="L4247" s="1001"/>
      <c r="O4247" s="2"/>
    </row>
    <row r="4248" spans="1:25" ht="30" customHeight="1" x14ac:dyDescent="0.45">
      <c r="A4248" s="9" t="s">
        <v>4</v>
      </c>
      <c r="B4248" s="10">
        <v>8514</v>
      </c>
      <c r="C4248" s="983" t="s">
        <v>2301</v>
      </c>
      <c r="D4248" s="984"/>
      <c r="E4248" s="13" t="s">
        <v>7</v>
      </c>
      <c r="F4248" s="14" t="s">
        <v>35</v>
      </c>
      <c r="G4248" s="11" t="s">
        <v>148</v>
      </c>
      <c r="H4248" s="163">
        <v>15000</v>
      </c>
      <c r="I4248" s="13" t="s">
        <v>9</v>
      </c>
      <c r="J4248" s="985" t="s">
        <v>276</v>
      </c>
      <c r="K4248" s="985"/>
      <c r="L4248" s="986"/>
      <c r="M4248" s="41"/>
      <c r="O4248" s="2"/>
    </row>
    <row r="4249" spans="1:25" ht="30" customHeight="1" x14ac:dyDescent="0.45">
      <c r="A4249" s="85" t="s">
        <v>277</v>
      </c>
      <c r="B4249" s="1146" t="s">
        <v>293</v>
      </c>
      <c r="C4249" s="1146"/>
      <c r="D4249" s="1146"/>
      <c r="E4249" s="220" t="s">
        <v>13</v>
      </c>
      <c r="F4249" s="220" t="s">
        <v>14</v>
      </c>
      <c r="G4249" s="990" t="s">
        <v>15</v>
      </c>
      <c r="H4249" s="991"/>
      <c r="I4249" s="19" t="s">
        <v>278</v>
      </c>
      <c r="J4249" s="19"/>
      <c r="K4249" s="992" t="s">
        <v>17</v>
      </c>
      <c r="L4249" s="993"/>
      <c r="O4249" s="2"/>
    </row>
    <row r="4250" spans="1:25" ht="30" customHeight="1" x14ac:dyDescent="0.45">
      <c r="A4250" s="225" t="s">
        <v>1758</v>
      </c>
      <c r="B4250" s="1131" t="s">
        <v>2302</v>
      </c>
      <c r="C4250" s="1131"/>
      <c r="D4250" s="1131"/>
      <c r="E4250" s="744">
        <v>675</v>
      </c>
      <c r="F4250" s="722" t="s">
        <v>35</v>
      </c>
      <c r="G4250" s="823"/>
      <c r="H4250" s="716"/>
      <c r="I4250" s="225">
        <v>1.1200000000000001</v>
      </c>
      <c r="J4250" s="722"/>
      <c r="K4250" s="216">
        <f>E4250*I4250</f>
        <v>756.00000000000011</v>
      </c>
      <c r="L4250" s="56" t="s">
        <v>35</v>
      </c>
      <c r="M4250" s="25"/>
      <c r="O4250" s="2"/>
    </row>
    <row r="4251" spans="1:25" ht="30" customHeight="1" x14ac:dyDescent="0.45">
      <c r="A4251" s="531"/>
      <c r="B4251" s="547"/>
      <c r="C4251" s="547"/>
      <c r="D4251" s="547"/>
      <c r="E4251" s="753"/>
      <c r="F4251" s="1147" t="s">
        <v>285</v>
      </c>
      <c r="G4251" s="1148" t="s">
        <v>286</v>
      </c>
      <c r="H4251" s="1148"/>
      <c r="I4251" s="1148"/>
      <c r="J4251" s="1148"/>
      <c r="K4251" s="843">
        <v>1.06</v>
      </c>
      <c r="L4251" s="47"/>
      <c r="O4251" s="2"/>
    </row>
    <row r="4252" spans="1:25" ht="30" customHeight="1" x14ac:dyDescent="0.45">
      <c r="A4252" s="531"/>
      <c r="B4252" s="547"/>
      <c r="C4252" s="547"/>
      <c r="D4252" s="547"/>
      <c r="E4252" s="753"/>
      <c r="F4252" s="1147"/>
      <c r="G4252" s="1014" t="s">
        <v>287</v>
      </c>
      <c r="H4252" s="1014"/>
      <c r="I4252" s="1014"/>
      <c r="J4252" s="1014"/>
      <c r="K4252" s="843">
        <v>1.05</v>
      </c>
      <c r="L4252" s="47"/>
      <c r="O4252" s="2"/>
    </row>
    <row r="4253" spans="1:25" ht="30" customHeight="1" x14ac:dyDescent="0.45">
      <c r="A4253" s="531"/>
      <c r="B4253" s="1143" t="s">
        <v>2303</v>
      </c>
      <c r="C4253" s="1143"/>
      <c r="D4253" s="1143"/>
      <c r="E4253" s="538"/>
      <c r="F4253" s="538"/>
      <c r="G4253" s="538"/>
      <c r="H4253" s="538"/>
      <c r="I4253" s="538"/>
      <c r="J4253" s="531" t="s">
        <v>39</v>
      </c>
      <c r="K4253" s="844">
        <f>+K4250*K4251/K4252</f>
        <v>763.2</v>
      </c>
      <c r="L4253" s="47" t="s">
        <v>35</v>
      </c>
      <c r="O4253" s="2"/>
    </row>
    <row r="4254" spans="1:25" ht="30" customHeight="1" thickBot="1" x14ac:dyDescent="0.5">
      <c r="A4254" s="531"/>
      <c r="B4254" s="1143"/>
      <c r="C4254" s="1143"/>
      <c r="D4254" s="1143"/>
      <c r="E4254" s="538"/>
      <c r="F4254" s="538"/>
      <c r="G4254" s="1032" t="s">
        <v>288</v>
      </c>
      <c r="H4254" s="1033"/>
      <c r="I4254" s="1034"/>
      <c r="J4254" s="755">
        <f>VLOOKUP(B4248,'[1]Mil Cost Premiums for PUCs'!$A$4:$R$278,18,FALSE)</f>
        <v>1.1199953840399997</v>
      </c>
      <c r="K4254" s="844">
        <f>+K4253*J4254</f>
        <v>854.78047709932775</v>
      </c>
      <c r="L4254" s="47" t="s">
        <v>35</v>
      </c>
      <c r="O4254" s="2"/>
    </row>
    <row r="4255" spans="1:25" ht="30" customHeight="1" thickBot="1" x14ac:dyDescent="0.5">
      <c r="A4255" s="1077"/>
      <c r="B4255" s="1078"/>
      <c r="C4255" s="1078"/>
      <c r="D4255" s="1078"/>
      <c r="E4255" s="1078"/>
      <c r="F4255" s="1078"/>
      <c r="G4255" s="1078"/>
      <c r="H4255" s="1078"/>
      <c r="I4255" s="1078"/>
      <c r="J4255" s="1078"/>
      <c r="K4255" s="1078"/>
      <c r="L4255" s="1079"/>
      <c r="O4255" s="2"/>
    </row>
    <row r="4256" spans="1:25" ht="30" customHeight="1" x14ac:dyDescent="0.45">
      <c r="A4256" s="93" t="s">
        <v>4</v>
      </c>
      <c r="B4256" s="76">
        <v>8521</v>
      </c>
      <c r="C4256" s="1144" t="s">
        <v>2304</v>
      </c>
      <c r="D4256" s="1145"/>
      <c r="E4256" s="94" t="s">
        <v>7</v>
      </c>
      <c r="F4256" s="95" t="s">
        <v>8</v>
      </c>
      <c r="G4256" s="102" t="s">
        <v>6</v>
      </c>
      <c r="H4256" s="96">
        <v>8086.0009489320601</v>
      </c>
      <c r="I4256" s="94" t="s">
        <v>9</v>
      </c>
      <c r="J4256" s="985" t="s">
        <v>2279</v>
      </c>
      <c r="K4256" s="985"/>
      <c r="L4256" s="986"/>
      <c r="M4256" s="845"/>
      <c r="N4256" s="26"/>
      <c r="O4256" s="2"/>
      <c r="P4256" s="27"/>
      <c r="Q4256" s="26"/>
      <c r="R4256" s="28"/>
    </row>
    <row r="4257" spans="1:18" ht="30" customHeight="1" x14ac:dyDescent="0.45">
      <c r="A4257" s="19" t="s">
        <v>11</v>
      </c>
      <c r="B4257" s="1005" t="s">
        <v>12</v>
      </c>
      <c r="C4257" s="1005"/>
      <c r="D4257" s="1005"/>
      <c r="E4257" s="20" t="s">
        <v>13</v>
      </c>
      <c r="F4257" s="19" t="s">
        <v>79</v>
      </c>
      <c r="G4257" s="1114" t="s">
        <v>15</v>
      </c>
      <c r="H4257" s="1115"/>
      <c r="I4257" s="1068" t="s">
        <v>16</v>
      </c>
      <c r="J4257" s="1069"/>
      <c r="K4257" s="992" t="s">
        <v>17</v>
      </c>
      <c r="L4257" s="993"/>
      <c r="N4257" s="26"/>
      <c r="O4257" s="2"/>
      <c r="P4257" s="27"/>
      <c r="Q4257" s="26"/>
      <c r="R4257" s="28"/>
    </row>
    <row r="4258" spans="1:18" ht="30" customHeight="1" x14ac:dyDescent="0.45">
      <c r="A4258" s="47">
        <v>93210</v>
      </c>
      <c r="B4258" s="1111" t="s">
        <v>1648</v>
      </c>
      <c r="C4258" s="1112"/>
      <c r="D4258" s="1113"/>
      <c r="E4258" s="221">
        <v>6.42</v>
      </c>
      <c r="F4258" s="394" t="s">
        <v>2281</v>
      </c>
      <c r="G4258" s="838">
        <v>0.33300000000000002</v>
      </c>
      <c r="H4258" s="223" t="s">
        <v>30</v>
      </c>
      <c r="I4258" s="1090">
        <f>+'[1]2023 MILCON Inflation Table'!F22</f>
        <v>0.93771935922451721</v>
      </c>
      <c r="J4258" s="1091"/>
      <c r="K4258" s="335">
        <f>+E4258*G4258*I4258</f>
        <v>2.0047127093117263</v>
      </c>
      <c r="L4258" s="29" t="s">
        <v>8</v>
      </c>
      <c r="N4258" s="26"/>
      <c r="O4258" s="2"/>
      <c r="P4258" s="27"/>
      <c r="Q4258" s="26"/>
      <c r="R4258" s="28"/>
    </row>
    <row r="4259" spans="1:18" ht="30" customHeight="1" x14ac:dyDescent="0.45">
      <c r="A4259" s="47">
        <v>93410</v>
      </c>
      <c r="B4259" s="1018" t="s">
        <v>2282</v>
      </c>
      <c r="C4259" s="1019"/>
      <c r="D4259" s="1020"/>
      <c r="E4259" s="221">
        <v>11.04</v>
      </c>
      <c r="F4259" s="394" t="s">
        <v>2283</v>
      </c>
      <c r="G4259" s="838">
        <v>0.33300000000000002</v>
      </c>
      <c r="H4259" s="223" t="s">
        <v>30</v>
      </c>
      <c r="I4259" s="1090">
        <f>+I4258</f>
        <v>0.93771935922451721</v>
      </c>
      <c r="J4259" s="1091"/>
      <c r="K4259" s="335">
        <f>+E4259*G4259*I4259</f>
        <v>3.4473564347042771</v>
      </c>
      <c r="L4259" s="29" t="s">
        <v>8</v>
      </c>
      <c r="M4259" s="25"/>
      <c r="N4259" s="26"/>
      <c r="O4259" s="2"/>
      <c r="P4259" s="27"/>
      <c r="Q4259" s="26"/>
      <c r="R4259" s="28"/>
    </row>
    <row r="4260" spans="1:18" ht="30" customHeight="1" x14ac:dyDescent="0.45">
      <c r="A4260" s="47">
        <v>85110</v>
      </c>
      <c r="B4260" s="1111" t="s">
        <v>2284</v>
      </c>
      <c r="C4260" s="1112"/>
      <c r="D4260" s="1113"/>
      <c r="E4260" s="221">
        <v>25.98</v>
      </c>
      <c r="F4260" s="394" t="s">
        <v>8</v>
      </c>
      <c r="G4260" s="736"/>
      <c r="H4260" s="223"/>
      <c r="I4260" s="1090">
        <f>+I4259</f>
        <v>0.93771935922451721</v>
      </c>
      <c r="J4260" s="1091"/>
      <c r="K4260" s="335">
        <f>+E4260*I4260</f>
        <v>24.361948952652959</v>
      </c>
      <c r="L4260" s="29" t="s">
        <v>8</v>
      </c>
      <c r="N4260" s="26"/>
      <c r="O4260" s="2"/>
      <c r="P4260" s="27"/>
      <c r="Q4260" s="26"/>
      <c r="R4260" s="28"/>
    </row>
    <row r="4261" spans="1:18" ht="30" customHeight="1" x14ac:dyDescent="0.45">
      <c r="A4261" s="47">
        <v>85110</v>
      </c>
      <c r="B4261" s="1018" t="s">
        <v>2285</v>
      </c>
      <c r="C4261" s="1019"/>
      <c r="D4261" s="1020"/>
      <c r="E4261" s="221">
        <v>5.45</v>
      </c>
      <c r="F4261" s="394" t="s">
        <v>8</v>
      </c>
      <c r="G4261" s="434"/>
      <c r="H4261" s="223"/>
      <c r="I4261" s="1090">
        <f>+I4259</f>
        <v>0.93771935922451721</v>
      </c>
      <c r="J4261" s="1091"/>
      <c r="K4261" s="335">
        <f>+E4261*I4261</f>
        <v>5.1105705077736188</v>
      </c>
      <c r="L4261" s="29" t="s">
        <v>8</v>
      </c>
      <c r="M4261" s="41"/>
      <c r="N4261" s="26"/>
      <c r="O4261" s="2"/>
      <c r="P4261" s="27"/>
      <c r="Q4261" s="26"/>
      <c r="R4261" s="28"/>
    </row>
    <row r="4262" spans="1:18" ht="30" customHeight="1" x14ac:dyDescent="0.45">
      <c r="A4262" s="47">
        <v>85110</v>
      </c>
      <c r="B4262" s="1018" t="s">
        <v>2286</v>
      </c>
      <c r="C4262" s="1019"/>
      <c r="D4262" s="1020"/>
      <c r="E4262" s="221">
        <v>44.18</v>
      </c>
      <c r="F4262" s="394" t="s">
        <v>8</v>
      </c>
      <c r="G4262" s="434"/>
      <c r="H4262" s="223"/>
      <c r="I4262" s="1090">
        <f>+I4259</f>
        <v>0.93771935922451721</v>
      </c>
      <c r="J4262" s="1091"/>
      <c r="K4262" s="335">
        <f>+E4262*I4262</f>
        <v>41.428441290539169</v>
      </c>
      <c r="L4262" s="29" t="s">
        <v>8</v>
      </c>
      <c r="M4262" s="41"/>
      <c r="N4262" s="26"/>
      <c r="O4262" s="2"/>
      <c r="P4262" s="27"/>
      <c r="Q4262" s="26"/>
      <c r="R4262" s="28"/>
    </row>
    <row r="4263" spans="1:18" ht="30" customHeight="1" x14ac:dyDescent="0.45">
      <c r="A4263" s="47">
        <v>85110</v>
      </c>
      <c r="B4263" s="1018" t="s">
        <v>2290</v>
      </c>
      <c r="C4263" s="1019"/>
      <c r="D4263" s="1020"/>
      <c r="E4263" s="221">
        <v>89.88</v>
      </c>
      <c r="F4263" s="394" t="s">
        <v>113</v>
      </c>
      <c r="G4263" s="434">
        <f>+H4256^0.5*3*4</f>
        <v>1079.0663263424619</v>
      </c>
      <c r="H4263" s="223" t="s">
        <v>473</v>
      </c>
      <c r="I4263" s="1090">
        <f>+I4260</f>
        <v>0.93771935922451721</v>
      </c>
      <c r="J4263" s="1091"/>
      <c r="K4263" s="335">
        <f>+E4263*G4263/H4256*I4263</f>
        <v>11.24735227922454</v>
      </c>
      <c r="L4263" s="29" t="s">
        <v>8</v>
      </c>
      <c r="N4263" s="26"/>
      <c r="O4263" s="2"/>
      <c r="P4263" s="27"/>
      <c r="Q4263" s="26"/>
      <c r="R4263" s="28"/>
    </row>
    <row r="4264" spans="1:18" ht="30" customHeight="1" x14ac:dyDescent="0.45">
      <c r="A4264" s="225">
        <v>85110</v>
      </c>
      <c r="B4264" s="977" t="s">
        <v>2292</v>
      </c>
      <c r="C4264" s="978"/>
      <c r="D4264" s="979"/>
      <c r="E4264" s="221">
        <v>0.97</v>
      </c>
      <c r="F4264" s="394" t="s">
        <v>113</v>
      </c>
      <c r="G4264" s="434">
        <f>1079*16</f>
        <v>17264</v>
      </c>
      <c r="H4264" s="223" t="s">
        <v>473</v>
      </c>
      <c r="I4264" s="1090">
        <f>+I4261</f>
        <v>0.93771935922451721</v>
      </c>
      <c r="J4264" s="1091"/>
      <c r="K4264" s="335">
        <f>+E4264*G4264/H4256*I4264</f>
        <v>1.9420135498742992</v>
      </c>
      <c r="L4264" s="29" t="s">
        <v>8</v>
      </c>
      <c r="N4264" s="26"/>
      <c r="O4264" s="2"/>
      <c r="P4264" s="27"/>
      <c r="Q4264" s="26"/>
      <c r="R4264" s="28"/>
    </row>
    <row r="4265" spans="1:18" ht="30" customHeight="1" x14ac:dyDescent="0.45">
      <c r="A4265" s="26" t="s">
        <v>2293</v>
      </c>
      <c r="B4265" s="977" t="s">
        <v>2294</v>
      </c>
      <c r="C4265" s="978"/>
      <c r="D4265" s="979"/>
      <c r="E4265" s="353">
        <v>49</v>
      </c>
      <c r="F4265" s="394" t="s">
        <v>113</v>
      </c>
      <c r="G4265" s="434">
        <f>+H4256^0.5*3*4</f>
        <v>1079.0663263424619</v>
      </c>
      <c r="H4265" s="223" t="s">
        <v>473</v>
      </c>
      <c r="I4265" s="1090">
        <v>1</v>
      </c>
      <c r="J4265" s="1091"/>
      <c r="K4265" s="335">
        <f>+E4265*G4265/H4256*I4265</f>
        <v>6.5389863697411359</v>
      </c>
      <c r="L4265" s="29" t="s">
        <v>8</v>
      </c>
      <c r="N4265" s="26"/>
      <c r="O4265" s="2"/>
      <c r="P4265" s="27"/>
      <c r="Q4265" s="26"/>
      <c r="R4265" s="28"/>
    </row>
    <row r="4266" spans="1:18" ht="30" customHeight="1" thickBot="1" x14ac:dyDescent="0.5">
      <c r="A4266" s="58"/>
      <c r="B4266" s="1098" t="s">
        <v>2305</v>
      </c>
      <c r="C4266" s="1099"/>
      <c r="D4266" s="1100"/>
      <c r="E4266" s="58"/>
      <c r="F4266" s="58"/>
      <c r="G4266" s="58"/>
      <c r="H4266" s="58"/>
      <c r="I4266" s="58"/>
      <c r="J4266" s="85" t="s">
        <v>39</v>
      </c>
      <c r="K4266" s="185">
        <f>SUM(K4258:K4265)</f>
        <v>96.08138209382173</v>
      </c>
      <c r="L4266" s="47" t="s">
        <v>8</v>
      </c>
      <c r="N4266" s="26"/>
      <c r="O4266" s="2"/>
      <c r="P4266" s="27"/>
      <c r="Q4266" s="26"/>
      <c r="R4266" s="28"/>
    </row>
    <row r="4267" spans="1:18" ht="30" customHeight="1" thickBot="1" x14ac:dyDescent="0.5">
      <c r="A4267" s="999"/>
      <c r="B4267" s="1000"/>
      <c r="C4267" s="1000"/>
      <c r="D4267" s="1000"/>
      <c r="E4267" s="1000"/>
      <c r="F4267" s="1000"/>
      <c r="G4267" s="1000"/>
      <c r="H4267" s="1000"/>
      <c r="I4267" s="1000"/>
      <c r="J4267" s="1000"/>
      <c r="K4267" s="1000"/>
      <c r="L4267" s="1001"/>
      <c r="M4267" s="41"/>
      <c r="N4267" s="26"/>
      <c r="O4267" s="2"/>
      <c r="P4267" s="27"/>
      <c r="Q4267" s="26"/>
      <c r="R4267" s="28"/>
    </row>
    <row r="4268" spans="1:18" ht="30" customHeight="1" x14ac:dyDescent="0.45">
      <c r="A4268" s="9" t="s">
        <v>4</v>
      </c>
      <c r="B4268" s="10">
        <v>8522</v>
      </c>
      <c r="C4268" s="1138" t="s">
        <v>2306</v>
      </c>
      <c r="D4268" s="1139"/>
      <c r="E4268" s="13" t="s">
        <v>7</v>
      </c>
      <c r="F4268" s="14" t="s">
        <v>8</v>
      </c>
      <c r="G4268" s="173" t="s">
        <v>1721</v>
      </c>
      <c r="H4268" s="713">
        <v>7902.1168139826896</v>
      </c>
      <c r="I4268" s="13" t="s">
        <v>9</v>
      </c>
      <c r="J4268" s="985" t="s">
        <v>10</v>
      </c>
      <c r="K4268" s="985"/>
      <c r="L4268" s="986"/>
      <c r="M4268" s="41"/>
      <c r="N4268" s="26"/>
      <c r="O4268" s="2"/>
      <c r="P4268" s="27"/>
      <c r="Q4268" s="26"/>
      <c r="R4268" s="28"/>
    </row>
    <row r="4269" spans="1:18" ht="30" customHeight="1" x14ac:dyDescent="0.45">
      <c r="A4269" s="19" t="s">
        <v>11</v>
      </c>
      <c r="B4269" s="1005" t="s">
        <v>12</v>
      </c>
      <c r="C4269" s="1005"/>
      <c r="D4269" s="1005"/>
      <c r="E4269" s="20" t="s">
        <v>13</v>
      </c>
      <c r="F4269" s="19" t="s">
        <v>79</v>
      </c>
      <c r="G4269" s="1114" t="s">
        <v>15</v>
      </c>
      <c r="H4269" s="1115"/>
      <c r="I4269" s="1068" t="s">
        <v>16</v>
      </c>
      <c r="J4269" s="1069"/>
      <c r="K4269" s="992" t="s">
        <v>17</v>
      </c>
      <c r="L4269" s="993"/>
      <c r="N4269" s="26"/>
      <c r="O4269" s="2"/>
      <c r="P4269" s="27"/>
      <c r="Q4269" s="26"/>
      <c r="R4269" s="28"/>
    </row>
    <row r="4270" spans="1:18" ht="30" customHeight="1" x14ac:dyDescent="0.45">
      <c r="A4270" s="47">
        <v>93210</v>
      </c>
      <c r="B4270" s="1111" t="s">
        <v>1648</v>
      </c>
      <c r="C4270" s="1112"/>
      <c r="D4270" s="1113"/>
      <c r="E4270" s="221">
        <v>6.42</v>
      </c>
      <c r="F4270" s="394" t="s">
        <v>2281</v>
      </c>
      <c r="G4270" s="838">
        <v>0.33300000000000002</v>
      </c>
      <c r="H4270" s="223" t="s">
        <v>30</v>
      </c>
      <c r="I4270" s="1090">
        <f>+'[1]2023 MILCON Inflation Table'!F22</f>
        <v>0.93771935922451721</v>
      </c>
      <c r="J4270" s="1091"/>
      <c r="K4270" s="335">
        <f>+E4270*G4270*I4270</f>
        <v>2.0047127093117263</v>
      </c>
      <c r="L4270" s="29" t="s">
        <v>8</v>
      </c>
      <c r="N4270" s="26"/>
      <c r="O4270" s="2"/>
      <c r="P4270" s="27"/>
      <c r="Q4270" s="26"/>
      <c r="R4270" s="28"/>
    </row>
    <row r="4271" spans="1:18" ht="30" customHeight="1" x14ac:dyDescent="0.45">
      <c r="A4271" s="47">
        <v>93410</v>
      </c>
      <c r="B4271" s="1018" t="s">
        <v>2282</v>
      </c>
      <c r="C4271" s="1019"/>
      <c r="D4271" s="1020"/>
      <c r="E4271" s="221">
        <v>11.04</v>
      </c>
      <c r="F4271" s="394" t="s">
        <v>2283</v>
      </c>
      <c r="G4271" s="838">
        <v>0.33300000000000002</v>
      </c>
      <c r="H4271" s="223" t="s">
        <v>30</v>
      </c>
      <c r="I4271" s="1090">
        <f>+I4270</f>
        <v>0.93771935922451721</v>
      </c>
      <c r="J4271" s="1091"/>
      <c r="K4271" s="335">
        <f>+E4271*G4271*I4271</f>
        <v>3.4473564347042771</v>
      </c>
      <c r="L4271" s="29" t="s">
        <v>8</v>
      </c>
      <c r="M4271" s="25"/>
      <c r="N4271" s="26"/>
      <c r="O4271" s="2"/>
      <c r="P4271" s="27"/>
      <c r="Q4271" s="26"/>
      <c r="R4271" s="28"/>
    </row>
    <row r="4272" spans="1:18" ht="30" customHeight="1" x14ac:dyDescent="0.45">
      <c r="A4272" s="47">
        <v>85110</v>
      </c>
      <c r="B4272" s="1111" t="s">
        <v>2284</v>
      </c>
      <c r="C4272" s="1112"/>
      <c r="D4272" s="1113"/>
      <c r="E4272" s="221">
        <v>25.98</v>
      </c>
      <c r="F4272" s="394" t="s">
        <v>8</v>
      </c>
      <c r="G4272" s="736"/>
      <c r="H4272" s="223"/>
      <c r="I4272" s="1090">
        <f>+I4271</f>
        <v>0.93771935922451721</v>
      </c>
      <c r="J4272" s="1091"/>
      <c r="K4272" s="335">
        <f>+E4272*I4272</f>
        <v>24.361948952652959</v>
      </c>
      <c r="L4272" s="29" t="s">
        <v>8</v>
      </c>
      <c r="N4272" s="26"/>
      <c r="O4272" s="2"/>
      <c r="P4272" s="27"/>
      <c r="Q4272" s="26"/>
      <c r="R4272" s="28"/>
    </row>
    <row r="4273" spans="1:20" ht="30" customHeight="1" thickBot="1" x14ac:dyDescent="0.5">
      <c r="A4273" s="58"/>
      <c r="B4273" s="1098"/>
      <c r="C4273" s="1099"/>
      <c r="D4273" s="1100"/>
      <c r="E4273" s="58"/>
      <c r="F4273" s="58"/>
      <c r="G4273" s="58"/>
      <c r="H4273" s="58"/>
      <c r="I4273" s="58"/>
      <c r="J4273" s="85" t="s">
        <v>39</v>
      </c>
      <c r="K4273" s="185">
        <f>SUM(K4270:K4272)</f>
        <v>29.814018096668963</v>
      </c>
      <c r="L4273" s="47" t="s">
        <v>8</v>
      </c>
      <c r="O4273" s="2"/>
      <c r="P4273" s="27"/>
      <c r="Q4273" s="26"/>
      <c r="R4273" s="28"/>
    </row>
    <row r="4274" spans="1:20" ht="30" customHeight="1" thickBot="1" x14ac:dyDescent="0.5">
      <c r="A4274" s="999"/>
      <c r="B4274" s="1000"/>
      <c r="C4274" s="1000"/>
      <c r="D4274" s="1000"/>
      <c r="E4274" s="1000"/>
      <c r="F4274" s="1000"/>
      <c r="G4274" s="1000"/>
      <c r="H4274" s="1000"/>
      <c r="I4274" s="1000"/>
      <c r="J4274" s="1000"/>
      <c r="K4274" s="1000"/>
      <c r="L4274" s="1001"/>
      <c r="N4274" s="26"/>
      <c r="O4274" s="2"/>
      <c r="P4274" s="27"/>
      <c r="Q4274" s="26"/>
      <c r="R4274" s="28"/>
    </row>
    <row r="4275" spans="1:20" ht="30" customHeight="1" x14ac:dyDescent="0.45">
      <c r="A4275" s="9" t="s">
        <v>4</v>
      </c>
      <c r="B4275" s="10">
        <v>8523</v>
      </c>
      <c r="C4275" s="1002" t="s">
        <v>2307</v>
      </c>
      <c r="D4275" s="1003"/>
      <c r="E4275" s="13" t="s">
        <v>7</v>
      </c>
      <c r="F4275" s="14" t="s">
        <v>8</v>
      </c>
      <c r="G4275" s="11" t="s">
        <v>6</v>
      </c>
      <c r="H4275" s="713">
        <v>8370.0770902460099</v>
      </c>
      <c r="I4275" s="13" t="s">
        <v>9</v>
      </c>
      <c r="J4275" s="985" t="s">
        <v>10</v>
      </c>
      <c r="K4275" s="985"/>
      <c r="L4275" s="986"/>
      <c r="N4275" s="26"/>
      <c r="O4275" s="2"/>
      <c r="P4275" s="27"/>
      <c r="Q4275" s="26"/>
      <c r="R4275" s="28"/>
    </row>
    <row r="4276" spans="1:20" ht="30" customHeight="1" x14ac:dyDescent="0.45">
      <c r="A4276" s="19" t="s">
        <v>11</v>
      </c>
      <c r="B4276" s="1005" t="s">
        <v>12</v>
      </c>
      <c r="C4276" s="1005"/>
      <c r="D4276" s="1005"/>
      <c r="E4276" s="20" t="s">
        <v>13</v>
      </c>
      <c r="F4276" s="19" t="s">
        <v>79</v>
      </c>
      <c r="G4276" s="1114" t="s">
        <v>15</v>
      </c>
      <c r="H4276" s="1115"/>
      <c r="I4276" s="1068" t="s">
        <v>16</v>
      </c>
      <c r="J4276" s="1069"/>
      <c r="K4276" s="992" t="s">
        <v>17</v>
      </c>
      <c r="L4276" s="993"/>
      <c r="N4276" s="26"/>
      <c r="O4276" s="2"/>
      <c r="P4276" s="27"/>
      <c r="Q4276" s="26"/>
      <c r="R4276" s="28"/>
    </row>
    <row r="4277" spans="1:20" ht="30" customHeight="1" x14ac:dyDescent="0.45">
      <c r="A4277" s="47">
        <v>93210</v>
      </c>
      <c r="B4277" s="1111" t="s">
        <v>1648</v>
      </c>
      <c r="C4277" s="1112"/>
      <c r="D4277" s="1113"/>
      <c r="E4277" s="221">
        <v>6.42</v>
      </c>
      <c r="F4277" s="394" t="s">
        <v>2281</v>
      </c>
      <c r="G4277" s="838">
        <v>0.33300000000000002</v>
      </c>
      <c r="H4277" s="223" t="s">
        <v>30</v>
      </c>
      <c r="I4277" s="1090">
        <f>+'[1]2023 MILCON Inflation Table'!F22</f>
        <v>0.93771935922451721</v>
      </c>
      <c r="J4277" s="1091"/>
      <c r="K4277" s="335">
        <f>+E4277*G4277*I4277</f>
        <v>2.0047127093117263</v>
      </c>
      <c r="L4277" s="29" t="s">
        <v>8</v>
      </c>
      <c r="N4277" s="26"/>
      <c r="O4277" s="2"/>
      <c r="P4277" s="27"/>
      <c r="Q4277" s="26"/>
      <c r="R4277" s="28"/>
    </row>
    <row r="4278" spans="1:20" ht="30" customHeight="1" x14ac:dyDescent="0.45">
      <c r="A4278" s="47">
        <v>93410</v>
      </c>
      <c r="B4278" s="1018" t="s">
        <v>2282</v>
      </c>
      <c r="C4278" s="1019"/>
      <c r="D4278" s="1020"/>
      <c r="E4278" s="221">
        <v>11.04</v>
      </c>
      <c r="F4278" s="394" t="s">
        <v>2283</v>
      </c>
      <c r="G4278" s="838">
        <v>0.33300000000000002</v>
      </c>
      <c r="H4278" s="223" t="s">
        <v>30</v>
      </c>
      <c r="I4278" s="1090">
        <f>+I4277</f>
        <v>0.93771935922451721</v>
      </c>
      <c r="J4278" s="1091"/>
      <c r="K4278" s="335">
        <f>+E4278*G4278*I4278</f>
        <v>3.4473564347042771</v>
      </c>
      <c r="L4278" s="29" t="s">
        <v>8</v>
      </c>
      <c r="M4278" s="25"/>
      <c r="N4278" s="26"/>
      <c r="O4278" s="2"/>
      <c r="P4278" s="27"/>
      <c r="Q4278" s="26"/>
      <c r="R4278" s="28"/>
    </row>
    <row r="4279" spans="1:20" ht="30" customHeight="1" x14ac:dyDescent="0.45">
      <c r="A4279" s="47">
        <v>85110</v>
      </c>
      <c r="B4279" s="1111" t="s">
        <v>2284</v>
      </c>
      <c r="C4279" s="1112"/>
      <c r="D4279" s="1113"/>
      <c r="E4279" s="221">
        <v>25.98</v>
      </c>
      <c r="F4279" s="394" t="s">
        <v>8</v>
      </c>
      <c r="G4279" s="736"/>
      <c r="H4279" s="223"/>
      <c r="I4279" s="1090">
        <f>+I4278</f>
        <v>0.93771935922451721</v>
      </c>
      <c r="J4279" s="1091"/>
      <c r="K4279" s="335">
        <f>+E4279*I4279</f>
        <v>24.361948952652959</v>
      </c>
      <c r="L4279" s="29" t="s">
        <v>8</v>
      </c>
      <c r="N4279" s="26"/>
      <c r="O4279" s="2"/>
      <c r="P4279" s="27"/>
      <c r="Q4279" s="26"/>
      <c r="R4279" s="28"/>
    </row>
    <row r="4280" spans="1:20" ht="30" customHeight="1" x14ac:dyDescent="0.45">
      <c r="A4280" s="47">
        <v>85110</v>
      </c>
      <c r="B4280" s="1018" t="s">
        <v>2285</v>
      </c>
      <c r="C4280" s="1019"/>
      <c r="D4280" s="1020"/>
      <c r="E4280" s="221">
        <v>5.45</v>
      </c>
      <c r="F4280" s="394" t="s">
        <v>8</v>
      </c>
      <c r="G4280" s="434"/>
      <c r="H4280" s="223"/>
      <c r="I4280" s="1090">
        <f>+I4278</f>
        <v>0.93771935922451721</v>
      </c>
      <c r="J4280" s="1091"/>
      <c r="K4280" s="335">
        <f>+E4280*I4280</f>
        <v>5.1105705077736188</v>
      </c>
      <c r="L4280" s="29" t="s">
        <v>8</v>
      </c>
      <c r="M4280" s="41"/>
      <c r="N4280" s="26"/>
      <c r="O4280" s="2"/>
      <c r="P4280" s="27"/>
      <c r="Q4280" s="26"/>
      <c r="R4280" s="28"/>
    </row>
    <row r="4281" spans="1:20" ht="30" customHeight="1" x14ac:dyDescent="0.45">
      <c r="A4281" s="47">
        <v>85110</v>
      </c>
      <c r="B4281" s="1018" t="s">
        <v>2286</v>
      </c>
      <c r="C4281" s="1019"/>
      <c r="D4281" s="1020"/>
      <c r="E4281" s="221">
        <v>44.18</v>
      </c>
      <c r="F4281" s="394" t="s">
        <v>8</v>
      </c>
      <c r="G4281" s="434"/>
      <c r="H4281" s="223"/>
      <c r="I4281" s="1090">
        <f>+I4278</f>
        <v>0.93771935922451721</v>
      </c>
      <c r="J4281" s="1091"/>
      <c r="K4281" s="335">
        <f>+E4281*I4281</f>
        <v>41.428441290539169</v>
      </c>
      <c r="L4281" s="29" t="s">
        <v>8</v>
      </c>
      <c r="M4281" s="41"/>
      <c r="N4281" s="26"/>
      <c r="O4281" s="2"/>
      <c r="P4281" s="27"/>
      <c r="Q4281" s="26"/>
      <c r="R4281" s="28"/>
    </row>
    <row r="4282" spans="1:20" ht="30" customHeight="1" thickBot="1" x14ac:dyDescent="0.5">
      <c r="A4282" s="58"/>
      <c r="B4282" s="47"/>
      <c r="C4282" s="58"/>
      <c r="D4282" s="58"/>
      <c r="E4282" s="58"/>
      <c r="F4282" s="58"/>
      <c r="G4282" s="58"/>
      <c r="H4282" s="58"/>
      <c r="I4282" s="58"/>
      <c r="J4282" s="85" t="s">
        <v>39</v>
      </c>
      <c r="K4282" s="185">
        <f>SUM(K4277:K4281)</f>
        <v>76.353029894981745</v>
      </c>
      <c r="L4282" s="47" t="s">
        <v>8</v>
      </c>
      <c r="N4282" s="26"/>
      <c r="S4282" s="41"/>
      <c r="T4282" s="41"/>
    </row>
    <row r="4283" spans="1:20" ht="30" customHeight="1" thickBot="1" x14ac:dyDescent="0.5">
      <c r="A4283" s="999"/>
      <c r="B4283" s="1000"/>
      <c r="C4283" s="1000"/>
      <c r="D4283" s="1000"/>
      <c r="E4283" s="1000"/>
      <c r="F4283" s="1000"/>
      <c r="G4283" s="1000"/>
      <c r="H4283" s="1000"/>
      <c r="I4283" s="1000"/>
      <c r="J4283" s="1000"/>
      <c r="K4283" s="1000"/>
      <c r="L4283" s="1001"/>
      <c r="N4283" s="144"/>
      <c r="S4283" s="41"/>
    </row>
    <row r="4284" spans="1:20" ht="30" customHeight="1" x14ac:dyDescent="0.45">
      <c r="A4284" s="9" t="s">
        <v>4</v>
      </c>
      <c r="B4284" s="10">
        <v>8524</v>
      </c>
      <c r="C4284" s="1002" t="s">
        <v>2308</v>
      </c>
      <c r="D4284" s="1003"/>
      <c r="E4284" s="13" t="s">
        <v>7</v>
      </c>
      <c r="F4284" s="14" t="s">
        <v>8</v>
      </c>
      <c r="G4284" s="11" t="s">
        <v>6</v>
      </c>
      <c r="H4284" s="163">
        <v>3733.68686951983</v>
      </c>
      <c r="I4284" s="13" t="s">
        <v>9</v>
      </c>
      <c r="J4284" s="985" t="s">
        <v>10</v>
      </c>
      <c r="K4284" s="985"/>
      <c r="L4284" s="986"/>
      <c r="S4284" s="41"/>
    </row>
    <row r="4285" spans="1:20" ht="30" customHeight="1" x14ac:dyDescent="0.45">
      <c r="A4285" s="19" t="s">
        <v>11</v>
      </c>
      <c r="B4285" s="1005" t="s">
        <v>12</v>
      </c>
      <c r="C4285" s="1005"/>
      <c r="D4285" s="1005"/>
      <c r="E4285" s="20" t="s">
        <v>13</v>
      </c>
      <c r="F4285" s="19" t="s">
        <v>79</v>
      </c>
      <c r="G4285" s="1114" t="s">
        <v>15</v>
      </c>
      <c r="H4285" s="1115"/>
      <c r="I4285" s="1068" t="s">
        <v>16</v>
      </c>
      <c r="J4285" s="1069"/>
      <c r="K4285" s="992" t="s">
        <v>17</v>
      </c>
      <c r="L4285" s="993"/>
      <c r="N4285" s="26"/>
      <c r="O4285" s="2"/>
      <c r="P4285" s="27"/>
      <c r="Q4285" s="26"/>
      <c r="R4285" s="28"/>
    </row>
    <row r="4286" spans="1:20" ht="30" customHeight="1" x14ac:dyDescent="0.45">
      <c r="A4286" s="47">
        <v>93410</v>
      </c>
      <c r="B4286" s="1111" t="s">
        <v>2309</v>
      </c>
      <c r="C4286" s="1112"/>
      <c r="D4286" s="1113"/>
      <c r="E4286" s="221">
        <v>8.82</v>
      </c>
      <c r="F4286" s="394" t="s">
        <v>8</v>
      </c>
      <c r="G4286" s="838"/>
      <c r="H4286" s="223"/>
      <c r="I4286" s="1090">
        <f>+'[1]2023 MILCON Inflation Table'!F22</f>
        <v>0.93771935922451721</v>
      </c>
      <c r="J4286" s="1091"/>
      <c r="K4286" s="335">
        <f>+E4286*I4286</f>
        <v>8.2706847483602424</v>
      </c>
      <c r="L4286" s="29" t="s">
        <v>8</v>
      </c>
      <c r="N4286" s="26"/>
      <c r="O4286" s="2"/>
      <c r="P4286" s="27"/>
      <c r="Q4286" s="26"/>
      <c r="R4286" s="28"/>
    </row>
    <row r="4287" spans="1:20" ht="30" customHeight="1" x14ac:dyDescent="0.45">
      <c r="A4287" s="47">
        <v>93410</v>
      </c>
      <c r="B4287" s="1018" t="s">
        <v>2310</v>
      </c>
      <c r="C4287" s="1019"/>
      <c r="D4287" s="1020"/>
      <c r="E4287" s="221">
        <v>185.72</v>
      </c>
      <c r="F4287" s="394" t="s">
        <v>8</v>
      </c>
      <c r="G4287" s="838"/>
      <c r="H4287" s="223"/>
      <c r="I4287" s="1090">
        <f>+I4286</f>
        <v>0.93771935922451721</v>
      </c>
      <c r="J4287" s="1091"/>
      <c r="K4287" s="335">
        <f>+E4287*I4287</f>
        <v>174.15323939517734</v>
      </c>
      <c r="L4287" s="29" t="s">
        <v>8</v>
      </c>
      <c r="M4287" s="25"/>
      <c r="N4287" s="26"/>
      <c r="O4287" s="2"/>
      <c r="P4287" s="27"/>
      <c r="Q4287" s="26"/>
      <c r="R4287" s="28"/>
    </row>
    <row r="4288" spans="1:20" ht="30" customHeight="1" thickBot="1" x14ac:dyDescent="0.5">
      <c r="A4288" s="426"/>
      <c r="B4288" s="42"/>
      <c r="C4288" s="515"/>
      <c r="D4288" s="524"/>
      <c r="E4288" s="221"/>
      <c r="F4288" s="56"/>
      <c r="G4288" s="222"/>
      <c r="H4288" s="223"/>
      <c r="I4288" s="47"/>
      <c r="J4288" s="85" t="s">
        <v>39</v>
      </c>
      <c r="K4288" s="185">
        <f>SUM(K4286:K4287)</f>
        <v>182.42392414353759</v>
      </c>
      <c r="L4288" s="47" t="s">
        <v>8</v>
      </c>
      <c r="O4288" s="2"/>
      <c r="P4288" s="27"/>
      <c r="Q4288" s="26"/>
      <c r="R4288" s="28"/>
    </row>
    <row r="4289" spans="1:19" ht="30" customHeight="1" thickBot="1" x14ac:dyDescent="0.5">
      <c r="A4289" s="999"/>
      <c r="B4289" s="1000"/>
      <c r="C4289" s="1000"/>
      <c r="D4289" s="1000"/>
      <c r="E4289" s="1000"/>
      <c r="F4289" s="1000"/>
      <c r="G4289" s="1000"/>
      <c r="H4289" s="1000"/>
      <c r="I4289" s="1000"/>
      <c r="J4289" s="1000"/>
      <c r="K4289" s="1000"/>
      <c r="L4289" s="1001"/>
      <c r="M4289" s="846"/>
      <c r="N4289" s="26"/>
      <c r="O4289" s="2"/>
      <c r="P4289" s="27"/>
      <c r="Q4289" s="26"/>
      <c r="R4289" s="28"/>
    </row>
    <row r="4290" spans="1:19" ht="30" customHeight="1" x14ac:dyDescent="0.45">
      <c r="A4290" s="9" t="s">
        <v>4</v>
      </c>
      <c r="B4290" s="10">
        <v>8525</v>
      </c>
      <c r="C4290" s="91" t="s">
        <v>2311</v>
      </c>
      <c r="D4290" s="92"/>
      <c r="E4290" s="13" t="s">
        <v>7</v>
      </c>
      <c r="F4290" s="14" t="s">
        <v>8</v>
      </c>
      <c r="G4290" s="11" t="s">
        <v>6</v>
      </c>
      <c r="H4290" s="847">
        <v>92.907159487776397</v>
      </c>
      <c r="I4290" s="13" t="s">
        <v>9</v>
      </c>
      <c r="J4290" s="985" t="s">
        <v>276</v>
      </c>
      <c r="K4290" s="985"/>
      <c r="L4290" s="986"/>
      <c r="N4290" s="26"/>
      <c r="O4290" s="2"/>
      <c r="P4290" s="27"/>
      <c r="Q4290" s="26"/>
      <c r="R4290" s="28"/>
    </row>
    <row r="4291" spans="1:19" ht="30" customHeight="1" x14ac:dyDescent="0.45">
      <c r="A4291" s="19" t="s">
        <v>277</v>
      </c>
      <c r="B4291" s="187" t="s">
        <v>293</v>
      </c>
      <c r="C4291" s="188"/>
      <c r="D4291" s="189"/>
      <c r="E4291" s="682" t="s">
        <v>13</v>
      </c>
      <c r="F4291" s="682" t="s">
        <v>14</v>
      </c>
      <c r="G4291" s="737" t="s">
        <v>15</v>
      </c>
      <c r="H4291" s="504"/>
      <c r="I4291" s="19" t="s">
        <v>278</v>
      </c>
      <c r="J4291" s="19"/>
      <c r="K4291" s="992" t="s">
        <v>17</v>
      </c>
      <c r="L4291" s="993"/>
      <c r="N4291" s="26"/>
      <c r="O4291" s="2"/>
      <c r="P4291" s="27"/>
      <c r="Q4291" s="26"/>
      <c r="R4291" s="28"/>
    </row>
    <row r="4292" spans="1:19" ht="30" customHeight="1" x14ac:dyDescent="0.45">
      <c r="A4292" s="47" t="s">
        <v>480</v>
      </c>
      <c r="B4292" s="1018" t="s">
        <v>2312</v>
      </c>
      <c r="C4292" s="1019"/>
      <c r="D4292" s="1020"/>
      <c r="E4292" s="378">
        <f>+(95+540)/2</f>
        <v>317.5</v>
      </c>
      <c r="F4292" s="56" t="s">
        <v>35</v>
      </c>
      <c r="G4292" s="813">
        <v>9</v>
      </c>
      <c r="H4292" s="349" t="s">
        <v>542</v>
      </c>
      <c r="I4292" s="47">
        <v>1.1100000000000001</v>
      </c>
      <c r="J4292" s="56"/>
      <c r="K4292" s="216">
        <f>+E4292*G4292*I4292</f>
        <v>3171.8250000000003</v>
      </c>
      <c r="L4292" s="56" t="s">
        <v>8</v>
      </c>
      <c r="N4292" s="26"/>
      <c r="O4292" s="2"/>
      <c r="P4292" s="27"/>
      <c r="Q4292" s="26"/>
      <c r="R4292" s="28"/>
    </row>
    <row r="4293" spans="1:19" ht="30" customHeight="1" x14ac:dyDescent="0.45">
      <c r="A4293" s="47"/>
      <c r="B4293" s="224"/>
      <c r="C4293" s="224"/>
      <c r="D4293" s="224"/>
      <c r="E4293" s="221"/>
      <c r="F4293" s="1011" t="s">
        <v>285</v>
      </c>
      <c r="G4293" s="1013" t="s">
        <v>286</v>
      </c>
      <c r="H4293" s="1013"/>
      <c r="I4293" s="1013"/>
      <c r="J4293" s="1013"/>
      <c r="K4293" s="278">
        <v>1.06</v>
      </c>
      <c r="L4293" s="47"/>
      <c r="N4293" s="26"/>
      <c r="O4293" s="2"/>
      <c r="P4293" s="27"/>
      <c r="Q4293" s="26"/>
      <c r="R4293" s="28"/>
    </row>
    <row r="4294" spans="1:19" ht="30" customHeight="1" x14ac:dyDescent="0.45">
      <c r="A4294" s="47"/>
      <c r="B4294" s="224"/>
      <c r="C4294" s="224"/>
      <c r="D4294" s="224"/>
      <c r="E4294" s="221"/>
      <c r="F4294" s="1012"/>
      <c r="G4294" s="1014" t="s">
        <v>2313</v>
      </c>
      <c r="H4294" s="1014"/>
      <c r="I4294" s="1014"/>
      <c r="J4294" s="1014"/>
      <c r="K4294" s="278">
        <v>1.05</v>
      </c>
      <c r="L4294" s="47"/>
      <c r="M4294" s="41"/>
      <c r="N4294" s="26"/>
      <c r="O4294" s="2"/>
      <c r="P4294" s="27"/>
      <c r="Q4294" s="26"/>
      <c r="R4294" s="28"/>
    </row>
    <row r="4295" spans="1:19" ht="30" customHeight="1" x14ac:dyDescent="0.45">
      <c r="A4295" s="426"/>
      <c r="B4295" s="42"/>
      <c r="C4295" s="515"/>
      <c r="D4295" s="524"/>
      <c r="E4295" s="221"/>
      <c r="F4295" s="56"/>
      <c r="G4295" s="222"/>
      <c r="H4295" s="223"/>
      <c r="I4295" s="47"/>
      <c r="J4295" s="47" t="s">
        <v>39</v>
      </c>
      <c r="K4295" s="216">
        <f>+K4292*K4293/K4294</f>
        <v>3202.0328571428577</v>
      </c>
      <c r="L4295" s="47" t="s">
        <v>8</v>
      </c>
      <c r="M4295" s="41"/>
      <c r="N4295" s="26"/>
      <c r="O4295" s="2"/>
      <c r="P4295" s="27"/>
      <c r="Q4295" s="26"/>
      <c r="R4295" s="28"/>
    </row>
    <row r="4296" spans="1:19" ht="30" customHeight="1" thickBot="1" x14ac:dyDescent="0.5">
      <c r="A4296" s="426"/>
      <c r="B4296" s="58"/>
      <c r="C4296" s="58"/>
      <c r="D4296" s="58"/>
      <c r="E4296" s="221"/>
      <c r="F4296" s="47"/>
      <c r="G4296" s="1032" t="s">
        <v>288</v>
      </c>
      <c r="H4296" s="1033"/>
      <c r="I4296" s="1034"/>
      <c r="J4296" s="213">
        <f>VLOOKUP(B4290,'[1]Mil Cost Premiums for PUCs'!$A$4:$R$278,18,FALSE)</f>
        <v>1.0905505199999999</v>
      </c>
      <c r="K4296" s="216">
        <f>+K4295*J4296</f>
        <v>3491.9785974142287</v>
      </c>
      <c r="L4296" s="47" t="s">
        <v>8</v>
      </c>
      <c r="N4296" s="26"/>
      <c r="O4296" s="2"/>
      <c r="P4296" s="27"/>
      <c r="Q4296" s="26"/>
      <c r="R4296" s="28"/>
    </row>
    <row r="4297" spans="1:19" ht="30" customHeight="1" thickBot="1" x14ac:dyDescent="0.5">
      <c r="A4297" s="999"/>
      <c r="B4297" s="1000"/>
      <c r="C4297" s="1000"/>
      <c r="D4297" s="1000"/>
      <c r="E4297" s="1000"/>
      <c r="F4297" s="1000"/>
      <c r="G4297" s="1000"/>
      <c r="H4297" s="1000"/>
      <c r="I4297" s="1000"/>
      <c r="J4297" s="1000"/>
      <c r="K4297" s="1000"/>
      <c r="L4297" s="1001"/>
      <c r="N4297" s="26"/>
      <c r="O4297" s="2"/>
      <c r="P4297" s="27"/>
      <c r="Q4297" s="26"/>
      <c r="R4297" s="28"/>
    </row>
    <row r="4298" spans="1:19" ht="30" customHeight="1" x14ac:dyDescent="0.45">
      <c r="A4298" s="9" t="s">
        <v>4</v>
      </c>
      <c r="B4298" s="10">
        <v>8526</v>
      </c>
      <c r="C4298" s="1140" t="s">
        <v>2314</v>
      </c>
      <c r="D4298" s="1141"/>
      <c r="E4298" s="13" t="s">
        <v>7</v>
      </c>
      <c r="F4298" s="14" t="s">
        <v>8</v>
      </c>
      <c r="G4298" s="11" t="s">
        <v>6</v>
      </c>
      <c r="H4298" s="163">
        <v>777.12593221259203</v>
      </c>
      <c r="I4298" s="13" t="s">
        <v>9</v>
      </c>
      <c r="J4298" s="985" t="s">
        <v>10</v>
      </c>
      <c r="K4298" s="985"/>
      <c r="L4298" s="986"/>
      <c r="N4298" s="26"/>
      <c r="O4298" s="2"/>
      <c r="P4298" s="27"/>
      <c r="Q4298" s="26"/>
      <c r="R4298" s="28"/>
    </row>
    <row r="4299" spans="1:19" ht="30" customHeight="1" x14ac:dyDescent="0.45">
      <c r="A4299" s="19" t="s">
        <v>11</v>
      </c>
      <c r="B4299" s="1005" t="s">
        <v>12</v>
      </c>
      <c r="C4299" s="1005"/>
      <c r="D4299" s="1005"/>
      <c r="E4299" s="20" t="s">
        <v>13</v>
      </c>
      <c r="F4299" s="19" t="s">
        <v>79</v>
      </c>
      <c r="G4299" s="1114" t="s">
        <v>15</v>
      </c>
      <c r="H4299" s="1115"/>
      <c r="I4299" s="1068" t="s">
        <v>16</v>
      </c>
      <c r="J4299" s="1069"/>
      <c r="K4299" s="992" t="s">
        <v>17</v>
      </c>
      <c r="L4299" s="993"/>
      <c r="N4299" s="26"/>
      <c r="O4299" s="2"/>
      <c r="P4299" s="27"/>
      <c r="Q4299" s="26"/>
      <c r="R4299" s="28"/>
    </row>
    <row r="4300" spans="1:19" ht="30" customHeight="1" x14ac:dyDescent="0.45">
      <c r="A4300" s="47">
        <v>93210</v>
      </c>
      <c r="B4300" s="1111" t="s">
        <v>1648</v>
      </c>
      <c r="C4300" s="1112"/>
      <c r="D4300" s="1113"/>
      <c r="E4300" s="221">
        <v>6.42</v>
      </c>
      <c r="F4300" s="394" t="s">
        <v>2281</v>
      </c>
      <c r="G4300" s="838">
        <v>0.33300000000000002</v>
      </c>
      <c r="H4300" s="223" t="s">
        <v>30</v>
      </c>
      <c r="I4300" s="1090">
        <f>+'[1]2023 MILCON Inflation Table'!F22</f>
        <v>0.93771935922451721</v>
      </c>
      <c r="J4300" s="1091"/>
      <c r="K4300" s="335">
        <f>+E4300*G4300*I4300</f>
        <v>2.0047127093117263</v>
      </c>
      <c r="L4300" s="29" t="s">
        <v>8</v>
      </c>
      <c r="N4300" s="26"/>
      <c r="O4300" s="2"/>
      <c r="P4300" s="27"/>
      <c r="Q4300" s="26"/>
      <c r="R4300" s="28"/>
    </row>
    <row r="4301" spans="1:19" ht="30" customHeight="1" x14ac:dyDescent="0.45">
      <c r="A4301" s="47">
        <v>93410</v>
      </c>
      <c r="B4301" s="1018" t="s">
        <v>2282</v>
      </c>
      <c r="C4301" s="1019"/>
      <c r="D4301" s="1020"/>
      <c r="E4301" s="221">
        <v>11.04</v>
      </c>
      <c r="F4301" s="394" t="s">
        <v>2283</v>
      </c>
      <c r="G4301" s="838">
        <v>0.33300000000000002</v>
      </c>
      <c r="H4301" s="223" t="s">
        <v>2288</v>
      </c>
      <c r="I4301" s="1090">
        <f>+I4300</f>
        <v>0.93771935922451721</v>
      </c>
      <c r="J4301" s="1091"/>
      <c r="K4301" s="335">
        <f>+E4301*G4301*I4301</f>
        <v>3.4473564347042771</v>
      </c>
      <c r="L4301" s="29" t="s">
        <v>8</v>
      </c>
      <c r="N4301" s="26"/>
      <c r="O4301" s="2"/>
      <c r="P4301" s="27"/>
      <c r="Q4301" s="26"/>
      <c r="R4301" s="28"/>
    </row>
    <row r="4302" spans="1:19" ht="30" customHeight="1" x14ac:dyDescent="0.45">
      <c r="A4302" s="47">
        <v>85110</v>
      </c>
      <c r="B4302" s="1111" t="s">
        <v>2315</v>
      </c>
      <c r="C4302" s="1112"/>
      <c r="D4302" s="1113"/>
      <c r="E4302" s="221">
        <v>18.55</v>
      </c>
      <c r="F4302" s="394" t="s">
        <v>8</v>
      </c>
      <c r="G4302" s="736"/>
      <c r="H4302" s="223"/>
      <c r="I4302" s="1090">
        <f>+I4300</f>
        <v>0.93771935922451721</v>
      </c>
      <c r="J4302" s="1091"/>
      <c r="K4302" s="335">
        <f>+E4302*I4302</f>
        <v>17.394694113614793</v>
      </c>
      <c r="L4302" s="29" t="s">
        <v>8</v>
      </c>
      <c r="N4302" s="26"/>
      <c r="O4302" s="2"/>
      <c r="P4302" s="27"/>
      <c r="Q4302" s="26"/>
      <c r="R4302" s="28"/>
    </row>
    <row r="4303" spans="1:19" ht="30" customHeight="1" x14ac:dyDescent="0.45">
      <c r="A4303" s="47">
        <v>85110</v>
      </c>
      <c r="B4303" s="1142" t="s">
        <v>2316</v>
      </c>
      <c r="C4303" s="1117"/>
      <c r="D4303" s="1118"/>
      <c r="E4303" s="221">
        <v>78.5</v>
      </c>
      <c r="F4303" s="394" t="s">
        <v>8</v>
      </c>
      <c r="G4303" s="434"/>
      <c r="H4303" s="223"/>
      <c r="I4303" s="1090">
        <f>+I4300</f>
        <v>0.93771935922451721</v>
      </c>
      <c r="J4303" s="1091"/>
      <c r="K4303" s="335">
        <f>+E4303*I4303</f>
        <v>73.610969699124595</v>
      </c>
      <c r="L4303" s="29" t="s">
        <v>8</v>
      </c>
      <c r="N4303" s="26"/>
      <c r="O4303" s="2"/>
      <c r="P4303" s="27"/>
      <c r="Q4303" s="26"/>
      <c r="R4303" s="28"/>
    </row>
    <row r="4304" spans="1:19" ht="30" customHeight="1" thickBot="1" x14ac:dyDescent="0.5">
      <c r="A4304" s="58"/>
      <c r="B4304" s="1135"/>
      <c r="C4304" s="1136"/>
      <c r="D4304" s="1137"/>
      <c r="E4304" s="58"/>
      <c r="F4304" s="58"/>
      <c r="G4304" s="58"/>
      <c r="H4304" s="58"/>
      <c r="I4304" s="58"/>
      <c r="J4304" s="85" t="s">
        <v>39</v>
      </c>
      <c r="K4304" s="335">
        <f>SUM(K4300:K4303)</f>
        <v>96.457732956755393</v>
      </c>
      <c r="L4304" s="47" t="s">
        <v>8</v>
      </c>
      <c r="N4304" s="26"/>
      <c r="O4304" s="2"/>
      <c r="P4304" s="325"/>
      <c r="Q4304" s="491"/>
      <c r="R4304" s="492"/>
      <c r="S4304" s="3"/>
    </row>
    <row r="4305" spans="1:18" ht="30" customHeight="1" thickBot="1" x14ac:dyDescent="0.5">
      <c r="A4305" s="999"/>
      <c r="B4305" s="1000"/>
      <c r="C4305" s="1000"/>
      <c r="D4305" s="1000"/>
      <c r="E4305" s="1000"/>
      <c r="F4305" s="1000"/>
      <c r="G4305" s="1000"/>
      <c r="H4305" s="1000"/>
      <c r="I4305" s="1000"/>
      <c r="J4305" s="1000"/>
      <c r="K4305" s="1000"/>
      <c r="L4305" s="1001"/>
      <c r="N4305" s="26"/>
      <c r="O4305" s="2"/>
      <c r="P4305" s="27"/>
      <c r="Q4305" s="26"/>
      <c r="R4305" s="28"/>
    </row>
    <row r="4306" spans="1:18" ht="30" customHeight="1" x14ac:dyDescent="0.45">
      <c r="A4306" s="9" t="s">
        <v>4</v>
      </c>
      <c r="B4306" s="10">
        <v>8531</v>
      </c>
      <c r="C4306" s="1138" t="s">
        <v>2317</v>
      </c>
      <c r="D4306" s="1139"/>
      <c r="E4306" s="13" t="s">
        <v>7</v>
      </c>
      <c r="F4306" s="14" t="s">
        <v>35</v>
      </c>
      <c r="G4306" s="11" t="s">
        <v>6</v>
      </c>
      <c r="H4306" s="273">
        <v>111918.37784946201</v>
      </c>
      <c r="I4306" s="13" t="s">
        <v>9</v>
      </c>
      <c r="J4306" s="985" t="s">
        <v>266</v>
      </c>
      <c r="K4306" s="985"/>
      <c r="L4306" s="986"/>
      <c r="N4306" s="26"/>
      <c r="O4306" s="2"/>
      <c r="P4306" s="27"/>
      <c r="Q4306" s="26"/>
      <c r="R4306" s="28"/>
    </row>
    <row r="4307" spans="1:18" ht="30" customHeight="1" x14ac:dyDescent="0.45">
      <c r="A4307" s="19" t="s">
        <v>11</v>
      </c>
      <c r="B4307" s="1005" t="s">
        <v>12</v>
      </c>
      <c r="C4307" s="1005"/>
      <c r="D4307" s="1005"/>
      <c r="E4307" s="132" t="s">
        <v>267</v>
      </c>
      <c r="F4307" s="20" t="s">
        <v>13</v>
      </c>
      <c r="G4307" s="19"/>
      <c r="H4307" s="19"/>
      <c r="I4307" s="1140" t="s">
        <v>60</v>
      </c>
      <c r="J4307" s="1141"/>
      <c r="K4307" s="992" t="s">
        <v>17</v>
      </c>
      <c r="L4307" s="993"/>
      <c r="N4307" s="26"/>
      <c r="O4307" s="2"/>
      <c r="P4307" s="27"/>
      <c r="Q4307" s="26"/>
      <c r="R4307" s="28"/>
    </row>
    <row r="4308" spans="1:18" ht="30" customHeight="1" x14ac:dyDescent="0.45">
      <c r="A4308" s="29" t="s">
        <v>268</v>
      </c>
      <c r="B4308" s="994" t="s">
        <v>2317</v>
      </c>
      <c r="C4308" s="994"/>
      <c r="D4308" s="994"/>
      <c r="E4308" s="176">
        <v>150000</v>
      </c>
      <c r="F4308" s="145">
        <v>68</v>
      </c>
      <c r="G4308" s="177"/>
      <c r="H4308" s="178"/>
      <c r="I4308" s="1119" t="s">
        <v>270</v>
      </c>
      <c r="J4308" s="1120"/>
      <c r="K4308" s="145">
        <f>+F4308</f>
        <v>68</v>
      </c>
      <c r="L4308" s="29" t="s">
        <v>35</v>
      </c>
      <c r="N4308" s="26"/>
      <c r="O4308" s="2"/>
      <c r="P4308" s="27"/>
      <c r="Q4308" s="26"/>
      <c r="R4308" s="28"/>
    </row>
    <row r="4309" spans="1:18" ht="30" customHeight="1" thickBot="1" x14ac:dyDescent="0.5">
      <c r="A4309" s="225"/>
      <c r="B4309" s="1131"/>
      <c r="C4309" s="1131"/>
      <c r="D4309" s="1131"/>
      <c r="E4309" s="662"/>
      <c r="F4309" s="663"/>
      <c r="G4309" s="663"/>
      <c r="H4309" s="664"/>
      <c r="I4309" s="150"/>
      <c r="J4309" s="133" t="s">
        <v>39</v>
      </c>
      <c r="K4309" s="227">
        <f>+K4308</f>
        <v>68</v>
      </c>
      <c r="L4309" s="225" t="s">
        <v>35</v>
      </c>
      <c r="M4309" s="25"/>
      <c r="N4309" s="26"/>
      <c r="O4309" s="2"/>
      <c r="P4309" s="27"/>
      <c r="Q4309" s="26"/>
      <c r="R4309" s="28"/>
    </row>
    <row r="4310" spans="1:18" ht="30" customHeight="1" thickBot="1" x14ac:dyDescent="0.5">
      <c r="A4310" s="1077"/>
      <c r="B4310" s="1078"/>
      <c r="C4310" s="1078"/>
      <c r="D4310" s="1078"/>
      <c r="E4310" s="1078"/>
      <c r="F4310" s="1078"/>
      <c r="G4310" s="1078"/>
      <c r="H4310" s="1078"/>
      <c r="I4310" s="1078"/>
      <c r="J4310" s="1078"/>
      <c r="K4310" s="1078"/>
      <c r="L4310" s="1079"/>
      <c r="N4310" s="26"/>
      <c r="O4310" s="2"/>
      <c r="P4310" s="27"/>
      <c r="Q4310" s="26"/>
      <c r="R4310" s="28"/>
    </row>
    <row r="4311" spans="1:18" ht="30" customHeight="1" x14ac:dyDescent="0.45">
      <c r="A4311" s="93" t="s">
        <v>4</v>
      </c>
      <c r="B4311" s="76">
        <v>8541</v>
      </c>
      <c r="C4311" s="1132" t="s">
        <v>2318</v>
      </c>
      <c r="D4311" s="1133"/>
      <c r="E4311" s="94" t="s">
        <v>7</v>
      </c>
      <c r="F4311" s="95" t="s">
        <v>88</v>
      </c>
      <c r="G4311" s="408" t="s">
        <v>148</v>
      </c>
      <c r="H4311" s="848">
        <v>1</v>
      </c>
      <c r="I4311" s="94" t="s">
        <v>9</v>
      </c>
      <c r="J4311" s="1134" t="s">
        <v>2218</v>
      </c>
      <c r="K4311" s="1134"/>
      <c r="L4311" s="1134"/>
      <c r="N4311" s="26"/>
      <c r="O4311" s="2"/>
      <c r="P4311" s="27"/>
      <c r="Q4311" s="26"/>
      <c r="R4311" s="28"/>
    </row>
    <row r="4312" spans="1:18" ht="30" customHeight="1" x14ac:dyDescent="0.45">
      <c r="A4312" s="19"/>
      <c r="B4312" s="1005" t="s">
        <v>12</v>
      </c>
      <c r="C4312" s="1005"/>
      <c r="D4312" s="1005"/>
      <c r="E4312" s="19" t="s">
        <v>534</v>
      </c>
      <c r="F4312" s="132" t="s">
        <v>79</v>
      </c>
      <c r="H4312" s="19" t="s">
        <v>59</v>
      </c>
      <c r="I4312" s="1068" t="s">
        <v>490</v>
      </c>
      <c r="J4312" s="1124"/>
      <c r="K4312" s="990" t="s">
        <v>17</v>
      </c>
      <c r="L4312" s="991"/>
      <c r="N4312" s="26"/>
      <c r="O4312" s="2"/>
      <c r="P4312" s="27"/>
      <c r="Q4312" s="26"/>
      <c r="R4312" s="28"/>
    </row>
    <row r="4313" spans="1:18" ht="30" customHeight="1" x14ac:dyDescent="0.45">
      <c r="A4313" s="38"/>
      <c r="B4313" s="1125" t="s">
        <v>2318</v>
      </c>
      <c r="C4313" s="1125"/>
      <c r="D4313" s="1125"/>
      <c r="E4313" s="136"/>
      <c r="F4313" s="29" t="s">
        <v>2319</v>
      </c>
      <c r="G4313" s="173"/>
      <c r="H4313" s="389"/>
      <c r="I4313" s="1126"/>
      <c r="J4313" s="1127"/>
      <c r="K4313" s="136"/>
      <c r="L4313" s="38"/>
      <c r="N4313" s="26"/>
      <c r="O4313" s="2"/>
      <c r="P4313" s="27"/>
      <c r="Q4313" s="26"/>
      <c r="R4313" s="28"/>
    </row>
    <row r="4314" spans="1:18" ht="30" customHeight="1" x14ac:dyDescent="0.45">
      <c r="A4314" s="38"/>
      <c r="B4314" s="1128" t="s">
        <v>2320</v>
      </c>
      <c r="C4314" s="1129"/>
      <c r="D4314" s="1130"/>
      <c r="E4314" s="850">
        <v>861067</v>
      </c>
      <c r="F4314" s="38">
        <v>1</v>
      </c>
      <c r="G4314" s="58"/>
      <c r="H4314" s="398">
        <v>0.86</v>
      </c>
      <c r="I4314" s="1119">
        <f>+'[1]2023 MILCON Inflation Table'!F16</f>
        <v>1.2278483487290333</v>
      </c>
      <c r="J4314" s="1120"/>
      <c r="K4314" s="136">
        <f t="shared" ref="K4314:K4321" si="64">+E4314/H4314*I4314</f>
        <v>1229371.7373198401</v>
      </c>
      <c r="L4314" s="38" t="s">
        <v>88</v>
      </c>
      <c r="N4314" s="26"/>
      <c r="O4314" s="2"/>
      <c r="P4314" s="27"/>
      <c r="Q4314" s="26"/>
      <c r="R4314" s="28"/>
    </row>
    <row r="4315" spans="1:18" ht="30" customHeight="1" x14ac:dyDescent="0.45">
      <c r="A4315" s="38"/>
      <c r="B4315" s="1121" t="s">
        <v>2321</v>
      </c>
      <c r="C4315" s="1122"/>
      <c r="D4315" s="1123"/>
      <c r="E4315" s="850">
        <v>1257469</v>
      </c>
      <c r="F4315" s="38">
        <v>1</v>
      </c>
      <c r="G4315" s="58"/>
      <c r="H4315" s="851">
        <v>0.88</v>
      </c>
      <c r="I4315" s="1119">
        <v>1.1446000000000001</v>
      </c>
      <c r="J4315" s="1120"/>
      <c r="K4315" s="136">
        <f t="shared" si="64"/>
        <v>1635567.0652272727</v>
      </c>
      <c r="L4315" s="38" t="s">
        <v>88</v>
      </c>
      <c r="N4315" s="26"/>
      <c r="O4315" s="2"/>
      <c r="P4315" s="27"/>
      <c r="Q4315" s="26"/>
      <c r="R4315" s="28"/>
    </row>
    <row r="4316" spans="1:18" ht="30" customHeight="1" x14ac:dyDescent="0.45">
      <c r="A4316" s="38"/>
      <c r="B4316" s="1116" t="s">
        <v>2322</v>
      </c>
      <c r="C4316" s="1117"/>
      <c r="D4316" s="1118"/>
      <c r="E4316" s="852">
        <v>261930.52</v>
      </c>
      <c r="F4316" s="38">
        <v>1</v>
      </c>
      <c r="G4316" s="58"/>
      <c r="H4316" s="398">
        <v>0.97</v>
      </c>
      <c r="I4316" s="1119">
        <f>+'[1]2023 MILCON Inflation Table'!$F$13</f>
        <v>1.4090525299662979</v>
      </c>
      <c r="J4316" s="1120"/>
      <c r="K4316" s="136">
        <f t="shared" si="64"/>
        <v>380488.51740349276</v>
      </c>
      <c r="L4316" s="38" t="s">
        <v>88</v>
      </c>
      <c r="N4316" s="26"/>
      <c r="O4316" s="2"/>
      <c r="P4316" s="27"/>
      <c r="Q4316" s="26"/>
      <c r="R4316" s="28"/>
    </row>
    <row r="4317" spans="1:18" ht="30" customHeight="1" x14ac:dyDescent="0.45">
      <c r="A4317" s="38"/>
      <c r="B4317" s="1116" t="s">
        <v>2323</v>
      </c>
      <c r="C4317" s="1117"/>
      <c r="D4317" s="1118"/>
      <c r="E4317" s="852">
        <v>298999</v>
      </c>
      <c r="F4317" s="38">
        <v>1</v>
      </c>
      <c r="G4317" s="58"/>
      <c r="H4317" s="398">
        <v>0.99</v>
      </c>
      <c r="I4317" s="1119">
        <v>1.0946</v>
      </c>
      <c r="J4317" s="1120"/>
      <c r="K4317" s="136">
        <f t="shared" si="64"/>
        <v>330590.2074747475</v>
      </c>
      <c r="L4317" s="38" t="s">
        <v>88</v>
      </c>
      <c r="N4317" s="26"/>
      <c r="O4317" s="2"/>
      <c r="P4317" s="27"/>
      <c r="Q4317" s="26"/>
      <c r="R4317" s="28"/>
    </row>
    <row r="4318" spans="1:18" ht="30" customHeight="1" x14ac:dyDescent="0.45">
      <c r="A4318" s="38"/>
      <c r="B4318" s="1116" t="s">
        <v>2324</v>
      </c>
      <c r="C4318" s="1117"/>
      <c r="D4318" s="1118"/>
      <c r="E4318" s="852">
        <v>300175</v>
      </c>
      <c r="F4318" s="38">
        <v>1</v>
      </c>
      <c r="G4318" s="58"/>
      <c r="H4318" s="398">
        <v>0.95</v>
      </c>
      <c r="I4318" s="1119">
        <v>1</v>
      </c>
      <c r="J4318" s="1120"/>
      <c r="K4318" s="136">
        <f t="shared" si="64"/>
        <v>315973.68421052635</v>
      </c>
      <c r="L4318" s="38" t="s">
        <v>88</v>
      </c>
      <c r="M4318" s="41"/>
      <c r="N4318" s="26"/>
      <c r="O4318" s="2"/>
      <c r="P4318" s="27"/>
      <c r="Q4318" s="26"/>
      <c r="R4318" s="28"/>
    </row>
    <row r="4319" spans="1:18" ht="30" customHeight="1" x14ac:dyDescent="0.45">
      <c r="A4319" s="38"/>
      <c r="B4319" s="1116" t="s">
        <v>2325</v>
      </c>
      <c r="C4319" s="1117"/>
      <c r="D4319" s="1118"/>
      <c r="E4319" s="852">
        <v>185433</v>
      </c>
      <c r="F4319" s="38">
        <v>1</v>
      </c>
      <c r="G4319" s="58"/>
      <c r="H4319" s="398">
        <v>0.86</v>
      </c>
      <c r="I4319" s="1119">
        <f>+'[1]2023 MILCON Inflation Table'!F13</f>
        <v>1.4090525299662979</v>
      </c>
      <c r="J4319" s="1120"/>
      <c r="K4319" s="136">
        <f t="shared" si="64"/>
        <v>303819.57882469828</v>
      </c>
      <c r="L4319" s="38" t="s">
        <v>88</v>
      </c>
      <c r="M4319" s="853"/>
      <c r="N4319" s="26"/>
      <c r="O4319" s="2"/>
      <c r="P4319" s="27"/>
      <c r="Q4319" s="26"/>
      <c r="R4319" s="28"/>
    </row>
    <row r="4320" spans="1:18" ht="30" customHeight="1" x14ac:dyDescent="0.45">
      <c r="A4320" s="38"/>
      <c r="B4320" s="1116" t="s">
        <v>2326</v>
      </c>
      <c r="C4320" s="1117"/>
      <c r="D4320" s="1118"/>
      <c r="E4320" s="852">
        <v>208000</v>
      </c>
      <c r="F4320" s="38">
        <v>1</v>
      </c>
      <c r="G4320" s="58"/>
      <c r="H4320" s="398">
        <v>0.89</v>
      </c>
      <c r="I4320" s="1119">
        <f>+'[1]2023 MILCON Inflation Table'!F13</f>
        <v>1.4090525299662979</v>
      </c>
      <c r="J4320" s="1120"/>
      <c r="K4320" s="136">
        <f t="shared" si="64"/>
        <v>329306.65868875274</v>
      </c>
      <c r="L4320" s="38" t="s">
        <v>88</v>
      </c>
      <c r="N4320" s="26"/>
      <c r="O4320" s="2"/>
      <c r="P4320" s="27"/>
      <c r="Q4320" s="26"/>
      <c r="R4320" s="28"/>
    </row>
    <row r="4321" spans="1:19" ht="30" customHeight="1" x14ac:dyDescent="0.45">
      <c r="A4321" s="38"/>
      <c r="B4321" s="1116" t="s">
        <v>2327</v>
      </c>
      <c r="C4321" s="1117"/>
      <c r="D4321" s="1118"/>
      <c r="E4321" s="854">
        <v>352295.85</v>
      </c>
      <c r="F4321" s="38">
        <v>1</v>
      </c>
      <c r="G4321" s="58"/>
      <c r="H4321" s="398">
        <v>1.24</v>
      </c>
      <c r="I4321" s="1119">
        <v>1</v>
      </c>
      <c r="J4321" s="1120"/>
      <c r="K4321" s="136">
        <f t="shared" si="64"/>
        <v>284109.55645161291</v>
      </c>
      <c r="L4321" s="38" t="s">
        <v>88</v>
      </c>
      <c r="N4321" s="26"/>
      <c r="O4321" s="2"/>
      <c r="P4321" s="27"/>
      <c r="Q4321" s="26"/>
      <c r="R4321" s="28"/>
    </row>
    <row r="4322" spans="1:19" ht="30" customHeight="1" x14ac:dyDescent="0.45">
      <c r="A4322" s="47"/>
      <c r="B4322" s="855"/>
      <c r="C4322" s="224"/>
      <c r="D4322" s="224"/>
      <c r="E4322" s="154"/>
      <c r="F4322" s="38"/>
      <c r="G4322" s="216"/>
      <c r="H4322" s="58" t="s">
        <v>2328</v>
      </c>
      <c r="I4322" s="58"/>
      <c r="J4322" s="398"/>
      <c r="K4322" s="185">
        <f>AVERAGE(K4314:K4321)</f>
        <v>601153.37570011802</v>
      </c>
      <c r="L4322" s="38" t="s">
        <v>88</v>
      </c>
      <c r="N4322" s="26"/>
      <c r="O4322" s="2"/>
      <c r="P4322" s="27"/>
      <c r="Q4322" s="26"/>
      <c r="R4322" s="28"/>
    </row>
    <row r="4323" spans="1:19" ht="30" customHeight="1" x14ac:dyDescent="0.45">
      <c r="A4323" s="47"/>
      <c r="B4323" s="1018" t="s">
        <v>2329</v>
      </c>
      <c r="C4323" s="1019"/>
      <c r="D4323" s="1020"/>
      <c r="E4323" s="42"/>
      <c r="F4323" s="515"/>
      <c r="G4323" s="1021" t="s">
        <v>288</v>
      </c>
      <c r="H4323" s="1022"/>
      <c r="I4323" s="1023"/>
      <c r="J4323" s="213">
        <f>VLOOKUP(B4311,'[1]Mil Cost Premiums for PUCs'!$A$4:$R$278,18,FALSE)</f>
        <v>1.0905505199999999</v>
      </c>
      <c r="K4323" s="185">
        <f>+K4322*J4323</f>
        <v>655588.12646951899</v>
      </c>
      <c r="L4323" s="47" t="s">
        <v>88</v>
      </c>
      <c r="N4323" s="26"/>
      <c r="O4323" s="2"/>
      <c r="P4323" s="27"/>
      <c r="Q4323" s="26"/>
      <c r="R4323" s="28"/>
    </row>
    <row r="4324" spans="1:19" ht="30" customHeight="1" thickBot="1" x14ac:dyDescent="0.5">
      <c r="A4324" s="225"/>
      <c r="B4324" s="225"/>
      <c r="C4324" s="150"/>
      <c r="D4324" s="150"/>
      <c r="E4324" s="150"/>
      <c r="F4324" s="150"/>
      <c r="G4324" s="1025" t="s">
        <v>299</v>
      </c>
      <c r="H4324" s="1026"/>
      <c r="I4324" s="1027"/>
      <c r="J4324" s="226">
        <v>1.1214</v>
      </c>
      <c r="K4324" s="227">
        <f>+K4323*J4324</f>
        <v>735176.52502291859</v>
      </c>
      <c r="L4324" s="47" t="s">
        <v>88</v>
      </c>
      <c r="M4324" s="25"/>
    </row>
    <row r="4325" spans="1:19" ht="30" customHeight="1" thickBot="1" x14ac:dyDescent="0.5">
      <c r="A4325" s="999"/>
      <c r="B4325" s="1000"/>
      <c r="C4325" s="1000"/>
      <c r="D4325" s="1000"/>
      <c r="E4325" s="1000"/>
      <c r="F4325" s="1000"/>
      <c r="G4325" s="1000"/>
      <c r="H4325" s="1000"/>
      <c r="I4325" s="1000"/>
      <c r="J4325" s="1000"/>
      <c r="K4325" s="1000"/>
      <c r="L4325" s="1001"/>
      <c r="N4325" s="26"/>
      <c r="O4325" s="2"/>
      <c r="P4325" s="27"/>
      <c r="Q4325" s="26"/>
      <c r="R4325" s="28"/>
    </row>
    <row r="4326" spans="1:19" ht="30" customHeight="1" x14ac:dyDescent="0.45">
      <c r="A4326" s="9" t="s">
        <v>4</v>
      </c>
      <c r="B4326" s="10">
        <v>8601</v>
      </c>
      <c r="C4326" s="983" t="s">
        <v>2330</v>
      </c>
      <c r="D4326" s="984"/>
      <c r="E4326" s="13" t="s">
        <v>7</v>
      </c>
      <c r="F4326" s="14" t="s">
        <v>302</v>
      </c>
      <c r="G4326" s="11" t="s">
        <v>6</v>
      </c>
      <c r="H4326" s="815">
        <v>3.8</v>
      </c>
      <c r="I4326" s="13" t="s">
        <v>9</v>
      </c>
      <c r="J4326" s="985" t="s">
        <v>10</v>
      </c>
      <c r="K4326" s="985"/>
      <c r="L4326" s="986"/>
      <c r="N4326" s="26"/>
      <c r="O4326" s="2"/>
      <c r="P4326" s="27"/>
      <c r="Q4326" s="26"/>
      <c r="R4326" s="28"/>
    </row>
    <row r="4327" spans="1:19" ht="30" customHeight="1" x14ac:dyDescent="0.45">
      <c r="A4327" s="19" t="s">
        <v>11</v>
      </c>
      <c r="B4327" s="1005" t="s">
        <v>12</v>
      </c>
      <c r="C4327" s="1005"/>
      <c r="D4327" s="1005"/>
      <c r="E4327" s="20" t="s">
        <v>13</v>
      </c>
      <c r="F4327" s="19" t="s">
        <v>79</v>
      </c>
      <c r="G4327" s="1114" t="s">
        <v>15</v>
      </c>
      <c r="H4327" s="1115"/>
      <c r="I4327" s="1068" t="s">
        <v>16</v>
      </c>
      <c r="J4327" s="1069"/>
      <c r="K4327" s="992" t="s">
        <v>17</v>
      </c>
      <c r="L4327" s="993"/>
      <c r="N4327" s="26"/>
      <c r="O4327" s="2"/>
      <c r="P4327" s="27"/>
      <c r="Q4327" s="26"/>
      <c r="R4327" s="28"/>
    </row>
    <row r="4328" spans="1:19" ht="30" customHeight="1" x14ac:dyDescent="0.45">
      <c r="A4328" s="47">
        <v>86010</v>
      </c>
      <c r="B4328" s="1111" t="s">
        <v>2331</v>
      </c>
      <c r="C4328" s="1112"/>
      <c r="D4328" s="1113"/>
      <c r="E4328" s="762">
        <v>610.9</v>
      </c>
      <c r="F4328" s="394" t="s">
        <v>113</v>
      </c>
      <c r="G4328" s="394">
        <v>5280</v>
      </c>
      <c r="H4328" s="223" t="s">
        <v>2332</v>
      </c>
      <c r="I4328" s="1090">
        <f>+'[1]2023 MILCON Inflation Table'!F22</f>
        <v>0.93771935922451721</v>
      </c>
      <c r="J4328" s="1091"/>
      <c r="K4328" s="335">
        <f>+E4328*G4328*I4328</f>
        <v>3024662.55458536</v>
      </c>
      <c r="L4328" s="29" t="s">
        <v>302</v>
      </c>
      <c r="M4328" s="25"/>
      <c r="N4328" s="26"/>
      <c r="O4328" s="2"/>
      <c r="P4328" s="27"/>
      <c r="Q4328" s="26"/>
      <c r="R4328" s="28"/>
    </row>
    <row r="4329" spans="1:19" ht="30" customHeight="1" thickBot="1" x14ac:dyDescent="0.5">
      <c r="A4329" s="47"/>
      <c r="B4329" s="47"/>
      <c r="C4329" s="58"/>
      <c r="D4329" s="58"/>
      <c r="E4329" s="58"/>
      <c r="F4329" s="58"/>
      <c r="G4329" s="58"/>
      <c r="H4329" s="58"/>
      <c r="I4329" s="58"/>
      <c r="J4329" s="85" t="s">
        <v>39</v>
      </c>
      <c r="K4329" s="185">
        <f>+K4328</f>
        <v>3024662.55458536</v>
      </c>
      <c r="L4329" s="47" t="s">
        <v>302</v>
      </c>
      <c r="N4329" s="26"/>
      <c r="O4329" s="2"/>
      <c r="P4329" s="27"/>
      <c r="Q4329" s="26"/>
      <c r="R4329" s="28"/>
    </row>
    <row r="4330" spans="1:19" ht="30" customHeight="1" thickBot="1" x14ac:dyDescent="0.5">
      <c r="A4330" s="999"/>
      <c r="B4330" s="1000"/>
      <c r="C4330" s="1000"/>
      <c r="D4330" s="1000"/>
      <c r="E4330" s="1000"/>
      <c r="F4330" s="1000"/>
      <c r="G4330" s="1000"/>
      <c r="H4330" s="1000"/>
      <c r="I4330" s="1000"/>
      <c r="J4330" s="1000"/>
      <c r="K4330" s="1000"/>
      <c r="L4330" s="1001"/>
      <c r="N4330" s="26"/>
      <c r="O4330" s="2"/>
      <c r="P4330" s="27"/>
      <c r="Q4330" s="26"/>
      <c r="R4330" s="28"/>
    </row>
    <row r="4331" spans="1:19" ht="30" customHeight="1" x14ac:dyDescent="0.45">
      <c r="A4331" s="93" t="s">
        <v>4</v>
      </c>
      <c r="B4331" s="93">
        <v>8611</v>
      </c>
      <c r="C4331" s="1073" t="s">
        <v>2333</v>
      </c>
      <c r="D4331" s="1074"/>
      <c r="E4331" s="94" t="s">
        <v>7</v>
      </c>
      <c r="F4331" s="95" t="s">
        <v>113</v>
      </c>
      <c r="G4331" s="11" t="s">
        <v>6</v>
      </c>
      <c r="H4331" s="96">
        <v>209</v>
      </c>
      <c r="I4331" s="94" t="s">
        <v>9</v>
      </c>
      <c r="J4331" s="1088" t="s">
        <v>2334</v>
      </c>
      <c r="K4331" s="1088"/>
      <c r="L4331" s="1089"/>
      <c r="M4331" s="25"/>
      <c r="N4331" s="26"/>
      <c r="O4331" s="2"/>
      <c r="P4331" s="27"/>
      <c r="Q4331" s="26"/>
      <c r="R4331" s="28"/>
    </row>
    <row r="4332" spans="1:19" ht="30" customHeight="1" x14ac:dyDescent="0.45">
      <c r="A4332" s="19"/>
      <c r="B4332" s="1005" t="s">
        <v>12</v>
      </c>
      <c r="C4332" s="1005"/>
      <c r="D4332" s="1005"/>
      <c r="E4332" s="19" t="s">
        <v>13</v>
      </c>
      <c r="F4332" s="19" t="s">
        <v>14</v>
      </c>
      <c r="G4332" s="990" t="s">
        <v>15</v>
      </c>
      <c r="H4332" s="991"/>
      <c r="I4332" s="19" t="s">
        <v>59</v>
      </c>
      <c r="J4332" s="19" t="s">
        <v>60</v>
      </c>
      <c r="K4332" s="992" t="s">
        <v>39</v>
      </c>
      <c r="L4332" s="993"/>
      <c r="N4332" s="26"/>
      <c r="O4332" s="2"/>
      <c r="P4332" s="27"/>
      <c r="Q4332" s="26"/>
      <c r="R4332" s="28"/>
    </row>
    <row r="4333" spans="1:19" ht="30" customHeight="1" thickBot="1" x14ac:dyDescent="0.5">
      <c r="A4333" s="38"/>
      <c r="B4333" s="1083" t="s">
        <v>2335</v>
      </c>
      <c r="C4333" s="1083"/>
      <c r="D4333" s="1083"/>
      <c r="E4333" s="104">
        <v>14296.806415999999</v>
      </c>
      <c r="F4333" s="105" t="s">
        <v>113</v>
      </c>
      <c r="G4333" s="1084"/>
      <c r="H4333" s="1085"/>
      <c r="I4333" s="105"/>
      <c r="J4333" s="543">
        <f>+'[1]2023 MILCON Inflation Table'!F18</f>
        <v>1.1214155171577724</v>
      </c>
      <c r="K4333" s="108">
        <f>E4333*J4333</f>
        <v>16032.660560703198</v>
      </c>
      <c r="L4333" s="105" t="s">
        <v>113</v>
      </c>
      <c r="M4333" s="25"/>
      <c r="N4333" s="26"/>
      <c r="O4333" s="2"/>
      <c r="P4333" s="27"/>
      <c r="Q4333" s="26"/>
      <c r="R4333" s="28"/>
    </row>
    <row r="4334" spans="1:19" ht="30" customHeight="1" thickBot="1" x14ac:dyDescent="0.5">
      <c r="A4334" s="999"/>
      <c r="B4334" s="1000"/>
      <c r="C4334" s="1000"/>
      <c r="D4334" s="1000"/>
      <c r="E4334" s="1000"/>
      <c r="F4334" s="1000"/>
      <c r="G4334" s="1000"/>
      <c r="H4334" s="1000"/>
      <c r="I4334" s="1000"/>
      <c r="J4334" s="1000"/>
      <c r="K4334" s="1000"/>
      <c r="L4334" s="1001"/>
      <c r="M4334" s="25"/>
      <c r="R4334" s="41"/>
      <c r="S4334" s="41"/>
    </row>
    <row r="4335" spans="1:19" ht="30" customHeight="1" x14ac:dyDescent="0.45">
      <c r="A4335" s="93" t="s">
        <v>4</v>
      </c>
      <c r="B4335" s="76">
        <v>8612</v>
      </c>
      <c r="C4335" s="1073" t="s">
        <v>2336</v>
      </c>
      <c r="D4335" s="1074"/>
      <c r="E4335" s="94" t="s">
        <v>7</v>
      </c>
      <c r="F4335" s="95" t="s">
        <v>88</v>
      </c>
      <c r="G4335" s="408" t="s">
        <v>148</v>
      </c>
      <c r="H4335" s="96">
        <v>1</v>
      </c>
      <c r="I4335" s="94" t="s">
        <v>9</v>
      </c>
      <c r="J4335" s="1088" t="s">
        <v>292</v>
      </c>
      <c r="K4335" s="1088"/>
      <c r="L4335" s="1089"/>
      <c r="R4335" s="41"/>
      <c r="S4335" s="41"/>
    </row>
    <row r="4336" spans="1:19" ht="30" customHeight="1" x14ac:dyDescent="0.45">
      <c r="A4336" s="85" t="s">
        <v>277</v>
      </c>
      <c r="B4336" s="987" t="s">
        <v>293</v>
      </c>
      <c r="C4336" s="988"/>
      <c r="D4336" s="989"/>
      <c r="E4336" s="220" t="s">
        <v>13</v>
      </c>
      <c r="F4336" s="220" t="s">
        <v>14</v>
      </c>
      <c r="G4336" s="990" t="s">
        <v>15</v>
      </c>
      <c r="H4336" s="991"/>
      <c r="I4336" s="19" t="s">
        <v>278</v>
      </c>
      <c r="J4336" s="19"/>
      <c r="K4336" s="992" t="s">
        <v>17</v>
      </c>
      <c r="L4336" s="993"/>
      <c r="N4336" s="26"/>
      <c r="O4336" s="2"/>
      <c r="P4336" s="27"/>
      <c r="Q4336" s="26"/>
      <c r="R4336" s="28"/>
    </row>
    <row r="4337" spans="1:18" ht="30" customHeight="1" x14ac:dyDescent="0.45">
      <c r="A4337" s="47" t="s">
        <v>2337</v>
      </c>
      <c r="B4337" s="1018" t="s">
        <v>2338</v>
      </c>
      <c r="C4337" s="1019"/>
      <c r="D4337" s="1020"/>
      <c r="E4337" s="378">
        <v>140000</v>
      </c>
      <c r="F4337" s="56" t="s">
        <v>88</v>
      </c>
      <c r="G4337" s="813"/>
      <c r="H4337" s="349"/>
      <c r="I4337" s="365">
        <v>1.17</v>
      </c>
      <c r="J4337" s="56"/>
      <c r="K4337" s="216">
        <f>+E4337*I4337</f>
        <v>163800</v>
      </c>
      <c r="L4337" s="56" t="s">
        <v>88</v>
      </c>
      <c r="N4337" s="26"/>
      <c r="O4337" s="2"/>
      <c r="P4337" s="27"/>
      <c r="Q4337" s="26"/>
      <c r="R4337" s="28"/>
    </row>
    <row r="4338" spans="1:18" ht="30" customHeight="1" x14ac:dyDescent="0.45">
      <c r="A4338" s="47"/>
      <c r="B4338" s="224"/>
      <c r="C4338" s="224"/>
      <c r="D4338" s="224"/>
      <c r="E4338" s="221"/>
      <c r="F4338" s="1011" t="s">
        <v>285</v>
      </c>
      <c r="G4338" s="1013" t="s">
        <v>286</v>
      </c>
      <c r="H4338" s="1013"/>
      <c r="I4338" s="1013"/>
      <c r="J4338" s="1013"/>
      <c r="K4338" s="278">
        <v>1.06</v>
      </c>
      <c r="L4338" s="47"/>
      <c r="N4338" s="26"/>
      <c r="O4338" s="2"/>
      <c r="P4338" s="27"/>
      <c r="Q4338" s="26"/>
      <c r="R4338" s="28"/>
    </row>
    <row r="4339" spans="1:18" ht="30" customHeight="1" x14ac:dyDescent="0.45">
      <c r="A4339" s="47"/>
      <c r="B4339" s="224"/>
      <c r="C4339" s="224"/>
      <c r="D4339" s="224"/>
      <c r="E4339" s="221"/>
      <c r="F4339" s="1012"/>
      <c r="G4339" s="1014" t="s">
        <v>298</v>
      </c>
      <c r="H4339" s="1014"/>
      <c r="I4339" s="1014"/>
      <c r="J4339" s="1014"/>
      <c r="K4339" s="278">
        <v>1.06</v>
      </c>
      <c r="L4339" s="47"/>
      <c r="N4339" s="26"/>
      <c r="O4339" s="2"/>
      <c r="P4339" s="27"/>
      <c r="Q4339" s="26"/>
      <c r="R4339" s="28"/>
    </row>
    <row r="4340" spans="1:18" ht="30" customHeight="1" x14ac:dyDescent="0.45">
      <c r="A4340" s="426"/>
      <c r="B4340" s="42"/>
      <c r="C4340" s="515"/>
      <c r="D4340" s="524"/>
      <c r="E4340" s="221"/>
      <c r="F4340" s="56"/>
      <c r="G4340" s="222"/>
      <c r="H4340" s="223"/>
      <c r="I4340" s="47"/>
      <c r="J4340" s="85" t="s">
        <v>39</v>
      </c>
      <c r="K4340" s="216">
        <f>+K4337*K4338/K4339</f>
        <v>163800</v>
      </c>
      <c r="L4340" s="47" t="s">
        <v>88</v>
      </c>
      <c r="N4340" s="26"/>
      <c r="O4340" s="2"/>
      <c r="P4340" s="27"/>
      <c r="Q4340" s="26"/>
      <c r="R4340" s="28"/>
    </row>
    <row r="4341" spans="1:18" ht="30" customHeight="1" x14ac:dyDescent="0.45">
      <c r="A4341" s="47"/>
      <c r="B4341" s="47"/>
      <c r="C4341" s="58"/>
      <c r="D4341" s="58"/>
      <c r="E4341" s="58"/>
      <c r="F4341" s="58"/>
      <c r="G4341" s="1021" t="s">
        <v>288</v>
      </c>
      <c r="H4341" s="1022"/>
      <c r="I4341" s="1023"/>
      <c r="J4341" s="213">
        <f>VLOOKUP(B4335,'[1]Mil Cost Premiums for PUCs'!$A$4:$R$278,18,FALSE)</f>
        <v>1.0905505199999999</v>
      </c>
      <c r="K4341" s="216">
        <f>+K4340*J4341</f>
        <v>178632.17517599999</v>
      </c>
      <c r="L4341" s="47" t="s">
        <v>88</v>
      </c>
      <c r="N4341" s="26"/>
      <c r="O4341" s="2"/>
      <c r="P4341" s="27"/>
      <c r="Q4341" s="26"/>
      <c r="R4341" s="28"/>
    </row>
    <row r="4342" spans="1:18" ht="30" customHeight="1" thickBot="1" x14ac:dyDescent="0.5">
      <c r="A4342" s="225"/>
      <c r="B4342" s="225"/>
      <c r="C4342" s="150"/>
      <c r="D4342" s="150"/>
      <c r="E4342" s="150"/>
      <c r="F4342" s="150"/>
      <c r="G4342" s="1025" t="s">
        <v>299</v>
      </c>
      <c r="H4342" s="1026"/>
      <c r="I4342" s="1027"/>
      <c r="J4342" s="226">
        <v>1.1214</v>
      </c>
      <c r="K4342" s="227">
        <f>+K4341*J4342</f>
        <v>200318.12124236638</v>
      </c>
      <c r="L4342" s="47" t="s">
        <v>88</v>
      </c>
      <c r="M4342" s="25"/>
    </row>
    <row r="4343" spans="1:18" ht="30" customHeight="1" thickBot="1" x14ac:dyDescent="0.5">
      <c r="A4343" s="999"/>
      <c r="B4343" s="1000"/>
      <c r="C4343" s="1000"/>
      <c r="D4343" s="1000"/>
      <c r="E4343" s="1000"/>
      <c r="F4343" s="1000"/>
      <c r="G4343" s="1000"/>
      <c r="H4343" s="1000"/>
      <c r="I4343" s="1000"/>
      <c r="J4343" s="1000"/>
      <c r="K4343" s="1000"/>
      <c r="L4343" s="1001"/>
      <c r="M4343" s="41"/>
      <c r="N4343" s="26"/>
      <c r="O4343" s="2"/>
      <c r="P4343" s="27"/>
      <c r="Q4343" s="26"/>
      <c r="R4343" s="28"/>
    </row>
    <row r="4344" spans="1:18" ht="30" customHeight="1" x14ac:dyDescent="0.45">
      <c r="A4344" s="9" t="s">
        <v>4</v>
      </c>
      <c r="B4344" s="10">
        <v>8711</v>
      </c>
      <c r="C4344" s="983" t="s">
        <v>2339</v>
      </c>
      <c r="D4344" s="984"/>
      <c r="E4344" s="13" t="s">
        <v>7</v>
      </c>
      <c r="F4344" s="14" t="s">
        <v>113</v>
      </c>
      <c r="G4344" s="11" t="s">
        <v>6</v>
      </c>
      <c r="H4344" s="163">
        <v>8798.7949293003603</v>
      </c>
      <c r="I4344" s="13" t="s">
        <v>9</v>
      </c>
      <c r="J4344" s="985" t="s">
        <v>10</v>
      </c>
      <c r="K4344" s="985"/>
      <c r="L4344" s="986"/>
      <c r="M4344" s="41"/>
      <c r="N4344" s="26"/>
      <c r="O4344" s="2"/>
      <c r="P4344" s="27"/>
      <c r="Q4344" s="26"/>
      <c r="R4344" s="28"/>
    </row>
    <row r="4345" spans="1:18" ht="30" customHeight="1" x14ac:dyDescent="0.45">
      <c r="A4345" s="19" t="s">
        <v>11</v>
      </c>
      <c r="B4345" s="1005" t="s">
        <v>12</v>
      </c>
      <c r="C4345" s="1005"/>
      <c r="D4345" s="1005"/>
      <c r="E4345" s="20" t="s">
        <v>13</v>
      </c>
      <c r="F4345" s="19" t="s">
        <v>79</v>
      </c>
      <c r="G4345" s="1114" t="s">
        <v>15</v>
      </c>
      <c r="H4345" s="1115"/>
      <c r="I4345" s="1068" t="s">
        <v>16</v>
      </c>
      <c r="J4345" s="1069"/>
      <c r="K4345" s="992" t="s">
        <v>17</v>
      </c>
      <c r="L4345" s="993"/>
      <c r="N4345" s="26"/>
      <c r="O4345" s="2"/>
      <c r="P4345" s="27"/>
      <c r="Q4345" s="26"/>
      <c r="R4345" s="28"/>
    </row>
    <row r="4346" spans="1:18" ht="30" customHeight="1" x14ac:dyDescent="0.45">
      <c r="A4346" s="47">
        <v>87110</v>
      </c>
      <c r="B4346" s="1111" t="s">
        <v>2340</v>
      </c>
      <c r="C4346" s="1112"/>
      <c r="D4346" s="1113"/>
      <c r="E4346" s="762">
        <v>117.59</v>
      </c>
      <c r="F4346" s="394" t="s">
        <v>113</v>
      </c>
      <c r="G4346" s="394"/>
      <c r="H4346" s="223"/>
      <c r="I4346" s="1090">
        <f>+'[1]2023 MILCON Inflation Table'!F22</f>
        <v>0.93771935922451721</v>
      </c>
      <c r="J4346" s="1091"/>
      <c r="K4346" s="335">
        <f>+E4346*I4346</f>
        <v>110.26641945121098</v>
      </c>
      <c r="L4346" s="29" t="s">
        <v>113</v>
      </c>
      <c r="M4346" s="25"/>
      <c r="N4346" s="26"/>
      <c r="O4346" s="2"/>
      <c r="P4346" s="27"/>
      <c r="Q4346" s="26"/>
      <c r="R4346" s="28"/>
    </row>
    <row r="4347" spans="1:18" ht="30" customHeight="1" x14ac:dyDescent="0.45">
      <c r="A4347" s="47">
        <v>87110</v>
      </c>
      <c r="B4347" s="1111" t="s">
        <v>2341</v>
      </c>
      <c r="C4347" s="1112"/>
      <c r="D4347" s="1113"/>
      <c r="E4347" s="812">
        <v>151.63</v>
      </c>
      <c r="F4347" s="554" t="s">
        <v>113</v>
      </c>
      <c r="G4347" s="810"/>
      <c r="H4347" s="349"/>
      <c r="I4347" s="1090">
        <f>+I4346</f>
        <v>0.93771935922451721</v>
      </c>
      <c r="J4347" s="1091"/>
      <c r="K4347" s="335">
        <f>+E4347*I4347</f>
        <v>142.18638643921355</v>
      </c>
      <c r="L4347" s="29" t="s">
        <v>113</v>
      </c>
      <c r="M4347" s="25"/>
      <c r="N4347" s="26"/>
      <c r="O4347" s="2"/>
      <c r="P4347" s="27"/>
      <c r="Q4347" s="26"/>
      <c r="R4347" s="28"/>
    </row>
    <row r="4348" spans="1:18" ht="30" customHeight="1" x14ac:dyDescent="0.45">
      <c r="A4348" s="47"/>
      <c r="B4348" s="197"/>
      <c r="C4348" s="198"/>
      <c r="D4348" s="199"/>
      <c r="E4348" s="378"/>
      <c r="F4348" s="56"/>
      <c r="G4348" s="348"/>
      <c r="H4348" s="349"/>
      <c r="I4348" s="47"/>
      <c r="J4348" s="105" t="s">
        <v>2342</v>
      </c>
      <c r="K4348" s="335">
        <f>AVERAGE(K4346:K4347)</f>
        <v>126.22640294521227</v>
      </c>
      <c r="L4348" s="56" t="s">
        <v>113</v>
      </c>
      <c r="N4348" s="26"/>
      <c r="O4348" s="2"/>
      <c r="P4348" s="27"/>
      <c r="Q4348" s="26"/>
      <c r="R4348" s="28"/>
    </row>
    <row r="4349" spans="1:18" ht="30" customHeight="1" x14ac:dyDescent="0.45">
      <c r="A4349" s="676">
        <v>83210</v>
      </c>
      <c r="B4349" s="1018" t="s">
        <v>2343</v>
      </c>
      <c r="C4349" s="1019"/>
      <c r="D4349" s="1020"/>
      <c r="E4349" s="812">
        <v>12746.71</v>
      </c>
      <c r="F4349" s="554" t="s">
        <v>88</v>
      </c>
      <c r="G4349" s="348">
        <v>400</v>
      </c>
      <c r="H4349" s="349" t="s">
        <v>310</v>
      </c>
      <c r="I4349" s="1090">
        <f>+I4346</f>
        <v>0.93771935922451721</v>
      </c>
      <c r="J4349" s="1091"/>
      <c r="K4349" s="335">
        <f>+E4349/G4349*I4349</f>
        <v>29.882091833551861</v>
      </c>
      <c r="L4349" s="56" t="s">
        <v>113</v>
      </c>
      <c r="N4349" s="26"/>
      <c r="O4349" s="2"/>
      <c r="P4349" s="27"/>
      <c r="Q4349" s="26"/>
      <c r="R4349" s="28"/>
    </row>
    <row r="4350" spans="1:18" ht="30" customHeight="1" x14ac:dyDescent="0.45">
      <c r="A4350" s="58"/>
      <c r="B4350" s="1030"/>
      <c r="C4350" s="1030"/>
      <c r="D4350" s="1030"/>
      <c r="E4350" s="221"/>
      <c r="F4350" s="47"/>
      <c r="G4350" s="47"/>
      <c r="H4350" s="47"/>
      <c r="I4350" s="47"/>
      <c r="J4350" s="47" t="s">
        <v>38</v>
      </c>
      <c r="K4350" s="459">
        <f>+K4348+K4349</f>
        <v>156.10849477876414</v>
      </c>
      <c r="L4350" s="47" t="s">
        <v>113</v>
      </c>
      <c r="M4350" s="25"/>
      <c r="N4350" s="26"/>
      <c r="O4350" s="2"/>
      <c r="P4350" s="27"/>
      <c r="Q4350" s="26"/>
      <c r="R4350" s="28"/>
    </row>
    <row r="4351" spans="1:18" ht="30" customHeight="1" thickBot="1" x14ac:dyDescent="0.5">
      <c r="A4351" s="58"/>
      <c r="B4351" s="47"/>
      <c r="C4351" s="58"/>
      <c r="D4351" s="58"/>
      <c r="E4351" s="58"/>
      <c r="F4351" s="58"/>
      <c r="G4351" s="58"/>
      <c r="H4351" s="58"/>
      <c r="I4351" s="58"/>
      <c r="J4351" s="85" t="s">
        <v>39</v>
      </c>
      <c r="K4351" s="383">
        <f>+K4350</f>
        <v>156.10849477876414</v>
      </c>
      <c r="L4351" s="47" t="s">
        <v>113</v>
      </c>
      <c r="N4351" s="144"/>
      <c r="O4351" s="2"/>
      <c r="P4351" s="27"/>
      <c r="Q4351" s="26"/>
      <c r="R4351" s="28"/>
    </row>
    <row r="4352" spans="1:18" ht="30" customHeight="1" thickBot="1" x14ac:dyDescent="0.5">
      <c r="A4352" s="999"/>
      <c r="B4352" s="1000"/>
      <c r="C4352" s="1000"/>
      <c r="D4352" s="1000"/>
      <c r="E4352" s="1000"/>
      <c r="F4352" s="1000"/>
      <c r="G4352" s="1000"/>
      <c r="H4352" s="1000"/>
      <c r="I4352" s="1000"/>
      <c r="J4352" s="1000"/>
      <c r="K4352" s="1000"/>
      <c r="L4352" s="1001"/>
      <c r="N4352" s="26"/>
      <c r="O4352" s="2"/>
      <c r="P4352" s="27"/>
      <c r="Q4352" s="26"/>
      <c r="R4352" s="28"/>
    </row>
    <row r="4353" spans="1:18" ht="30" customHeight="1" x14ac:dyDescent="0.45">
      <c r="A4353" s="9" t="s">
        <v>4</v>
      </c>
      <c r="B4353" s="10">
        <v>8712</v>
      </c>
      <c r="C4353" s="983" t="s">
        <v>2344</v>
      </c>
      <c r="D4353" s="984"/>
      <c r="E4353" s="13" t="s">
        <v>7</v>
      </c>
      <c r="F4353" s="14" t="s">
        <v>113</v>
      </c>
      <c r="G4353" s="11" t="s">
        <v>6</v>
      </c>
      <c r="H4353" s="713">
        <v>932.98669673055201</v>
      </c>
      <c r="I4353" s="13" t="s">
        <v>9</v>
      </c>
      <c r="J4353" s="985" t="s">
        <v>276</v>
      </c>
      <c r="K4353" s="985"/>
      <c r="L4353" s="986"/>
      <c r="N4353" s="26"/>
      <c r="O4353" s="2"/>
      <c r="P4353" s="27"/>
      <c r="Q4353" s="26"/>
      <c r="R4353" s="28"/>
    </row>
    <row r="4354" spans="1:18" ht="30" customHeight="1" x14ac:dyDescent="0.45">
      <c r="A4354" s="85" t="s">
        <v>277</v>
      </c>
      <c r="B4354" s="987" t="s">
        <v>293</v>
      </c>
      <c r="C4354" s="988"/>
      <c r="D4354" s="989"/>
      <c r="E4354" s="220" t="s">
        <v>13</v>
      </c>
      <c r="F4354" s="220" t="s">
        <v>14</v>
      </c>
      <c r="G4354" s="990" t="s">
        <v>15</v>
      </c>
      <c r="H4354" s="991"/>
      <c r="I4354" s="19" t="s">
        <v>278</v>
      </c>
      <c r="J4354" s="19"/>
      <c r="K4354" s="992" t="s">
        <v>17</v>
      </c>
      <c r="L4354" s="993"/>
      <c r="N4354" s="26"/>
      <c r="O4354" s="2"/>
      <c r="P4354" s="27"/>
      <c r="Q4354" s="26"/>
      <c r="R4354" s="28"/>
    </row>
    <row r="4355" spans="1:18" ht="30" customHeight="1" x14ac:dyDescent="0.45">
      <c r="A4355" s="47" t="s">
        <v>484</v>
      </c>
      <c r="B4355" s="1018" t="s">
        <v>2345</v>
      </c>
      <c r="C4355" s="1019"/>
      <c r="D4355" s="1020"/>
      <c r="E4355" s="378">
        <v>16.05</v>
      </c>
      <c r="F4355" s="56" t="s">
        <v>35</v>
      </c>
      <c r="G4355" s="813">
        <v>8</v>
      </c>
      <c r="H4355" s="349" t="s">
        <v>2346</v>
      </c>
      <c r="I4355" s="365">
        <v>1.28</v>
      </c>
      <c r="J4355" s="56"/>
      <c r="K4355" s="216">
        <f>+E4355*G4355*I4355</f>
        <v>164.352</v>
      </c>
      <c r="L4355" s="56" t="s">
        <v>113</v>
      </c>
      <c r="N4355" s="26"/>
      <c r="O4355" s="2"/>
      <c r="P4355" s="27"/>
      <c r="Q4355" s="26"/>
      <c r="R4355" s="28"/>
    </row>
    <row r="4356" spans="1:18" ht="30" customHeight="1" x14ac:dyDescent="0.45">
      <c r="A4356" s="426"/>
      <c r="B4356" s="1008" t="s">
        <v>2347</v>
      </c>
      <c r="C4356" s="1009"/>
      <c r="D4356" s="1010"/>
      <c r="E4356" s="221"/>
      <c r="F4356" s="56"/>
      <c r="G4356" s="222"/>
      <c r="H4356" s="223"/>
      <c r="I4356" s="47"/>
      <c r="J4356" s="47"/>
      <c r="K4356" s="221">
        <f>+K4355*2</f>
        <v>328.70400000000001</v>
      </c>
      <c r="L4356" s="47" t="s">
        <v>113</v>
      </c>
      <c r="N4356" s="26"/>
      <c r="O4356" s="2"/>
      <c r="P4356" s="27"/>
      <c r="Q4356" s="26"/>
      <c r="R4356" s="28"/>
    </row>
    <row r="4357" spans="1:18" ht="30" customHeight="1" x14ac:dyDescent="0.45">
      <c r="A4357" s="47"/>
      <c r="B4357" s="1008" t="s">
        <v>2348</v>
      </c>
      <c r="C4357" s="1009"/>
      <c r="D4357" s="1010"/>
      <c r="E4357" s="221"/>
      <c r="F4357" s="1011" t="s">
        <v>285</v>
      </c>
      <c r="G4357" s="1013" t="s">
        <v>286</v>
      </c>
      <c r="H4357" s="1013"/>
      <c r="I4357" s="1013"/>
      <c r="J4357" s="1013"/>
      <c r="K4357" s="278">
        <v>1.06</v>
      </c>
      <c r="L4357" s="47"/>
      <c r="N4357" s="26"/>
      <c r="O4357" s="2"/>
      <c r="P4357" s="27"/>
      <c r="Q4357" s="26"/>
      <c r="R4357" s="28"/>
    </row>
    <row r="4358" spans="1:18" ht="30" customHeight="1" x14ac:dyDescent="0.45">
      <c r="A4358" s="47"/>
      <c r="B4358" s="224"/>
      <c r="C4358" s="224"/>
      <c r="D4358" s="224"/>
      <c r="E4358" s="221"/>
      <c r="F4358" s="1012"/>
      <c r="G4358" s="1014" t="s">
        <v>287</v>
      </c>
      <c r="H4358" s="1014"/>
      <c r="I4358" s="1014"/>
      <c r="J4358" s="1014"/>
      <c r="K4358" s="278">
        <v>1.05</v>
      </c>
      <c r="L4358" s="47"/>
      <c r="O4358" s="2"/>
      <c r="P4358" s="27"/>
      <c r="Q4358" s="26"/>
      <c r="R4358" s="28"/>
    </row>
    <row r="4359" spans="1:18" ht="30" customHeight="1" x14ac:dyDescent="0.45">
      <c r="A4359" s="47"/>
      <c r="B4359" s="47"/>
      <c r="C4359" s="58"/>
      <c r="D4359" s="58"/>
      <c r="E4359" s="58"/>
      <c r="F4359" s="58"/>
      <c r="G4359" s="58"/>
      <c r="H4359" s="58"/>
      <c r="I4359" s="58"/>
      <c r="J4359" s="58" t="s">
        <v>39</v>
      </c>
      <c r="K4359" s="216">
        <f>+K4356*K4357/K4358</f>
        <v>331.83451428571431</v>
      </c>
      <c r="L4359" s="47" t="s">
        <v>113</v>
      </c>
      <c r="O4359" s="2"/>
      <c r="P4359" s="27"/>
      <c r="Q4359" s="26"/>
      <c r="R4359" s="28"/>
    </row>
    <row r="4360" spans="1:18" ht="30" customHeight="1" thickBot="1" x14ac:dyDescent="0.5">
      <c r="A4360" s="47"/>
      <c r="B4360" s="47"/>
      <c r="C4360" s="58"/>
      <c r="D4360" s="58"/>
      <c r="E4360" s="58"/>
      <c r="F4360" s="58"/>
      <c r="G4360" s="1032" t="s">
        <v>288</v>
      </c>
      <c r="H4360" s="1033"/>
      <c r="I4360" s="1034"/>
      <c r="J4360" s="213">
        <f>VLOOKUP(B4353,'[1]Mil Cost Premiums for PUCs'!$A$4:$R$278,18,FALSE)</f>
        <v>1.0209999999999999</v>
      </c>
      <c r="K4360" s="216">
        <f>+K4359*J4360</f>
        <v>338.80303908571426</v>
      </c>
      <c r="L4360" s="47" t="s">
        <v>113</v>
      </c>
      <c r="O4360" s="2"/>
      <c r="P4360" s="27"/>
      <c r="Q4360" s="26"/>
      <c r="R4360" s="28"/>
    </row>
    <row r="4361" spans="1:18" ht="30" customHeight="1" thickBot="1" x14ac:dyDescent="0.5">
      <c r="A4361" s="999"/>
      <c r="B4361" s="1000"/>
      <c r="C4361" s="1000"/>
      <c r="D4361" s="1000"/>
      <c r="E4361" s="1000"/>
      <c r="F4361" s="1000"/>
      <c r="G4361" s="1000"/>
      <c r="H4361" s="1000"/>
      <c r="I4361" s="1000"/>
      <c r="J4361" s="1000"/>
      <c r="K4361" s="1000"/>
      <c r="L4361" s="1001"/>
      <c r="O4361" s="2"/>
      <c r="P4361" s="27"/>
      <c r="Q4361" s="26"/>
      <c r="R4361" s="28"/>
    </row>
    <row r="4362" spans="1:18" ht="30" customHeight="1" x14ac:dyDescent="0.45">
      <c r="A4362" s="9" t="s">
        <v>4</v>
      </c>
      <c r="B4362" s="10">
        <v>8713</v>
      </c>
      <c r="C4362" s="983" t="s">
        <v>2349</v>
      </c>
      <c r="D4362" s="984"/>
      <c r="E4362" s="13" t="s">
        <v>7</v>
      </c>
      <c r="F4362" s="14" t="s">
        <v>88</v>
      </c>
      <c r="G4362" s="161" t="s">
        <v>148</v>
      </c>
      <c r="H4362" s="713">
        <v>1</v>
      </c>
      <c r="I4362" s="13" t="s">
        <v>9</v>
      </c>
      <c r="J4362" s="985" t="s">
        <v>76</v>
      </c>
      <c r="K4362" s="985"/>
      <c r="L4362" s="986"/>
      <c r="N4362" s="26"/>
      <c r="O4362" s="2"/>
      <c r="P4362" s="27"/>
      <c r="Q4362" s="26"/>
      <c r="R4362" s="28"/>
    </row>
    <row r="4363" spans="1:18" ht="30" customHeight="1" x14ac:dyDescent="0.45">
      <c r="A4363" s="19" t="s">
        <v>77</v>
      </c>
      <c r="B4363" s="1005" t="s">
        <v>12</v>
      </c>
      <c r="C4363" s="1005"/>
      <c r="D4363" s="1005"/>
      <c r="E4363" s="19" t="s">
        <v>78</v>
      </c>
      <c r="F4363" s="19" t="s">
        <v>79</v>
      </c>
      <c r="G4363" s="19" t="s">
        <v>80</v>
      </c>
      <c r="H4363" s="19" t="s">
        <v>81</v>
      </c>
      <c r="I4363" s="19" t="s">
        <v>82</v>
      </c>
      <c r="J4363" s="85" t="s">
        <v>222</v>
      </c>
      <c r="K4363" s="85" t="s">
        <v>84</v>
      </c>
      <c r="L4363" s="85"/>
      <c r="O4363" s="2"/>
      <c r="P4363" s="27"/>
      <c r="Q4363" s="26"/>
      <c r="R4363" s="28"/>
    </row>
    <row r="4364" spans="1:18" ht="30" customHeight="1" x14ac:dyDescent="0.45">
      <c r="A4364" s="398" t="s">
        <v>2350</v>
      </c>
      <c r="B4364" s="1110" t="s">
        <v>2351</v>
      </c>
      <c r="C4364" s="1110"/>
      <c r="D4364" s="1110"/>
      <c r="E4364" s="398">
        <v>796</v>
      </c>
      <c r="F4364" s="38" t="s">
        <v>113</v>
      </c>
      <c r="G4364" s="136">
        <v>11926.3522861775</v>
      </c>
      <c r="H4364" s="136">
        <v>12154.399485133899</v>
      </c>
      <c r="I4364" s="136">
        <v>2026.3219903699601</v>
      </c>
      <c r="J4364" s="136">
        <v>0</v>
      </c>
      <c r="K4364" s="136">
        <v>26107.073761681298</v>
      </c>
      <c r="L4364" s="38" t="s">
        <v>113</v>
      </c>
      <c r="M4364" s="856"/>
      <c r="O4364" s="2"/>
      <c r="P4364" s="27"/>
      <c r="Q4364" s="26"/>
      <c r="R4364" s="28"/>
    </row>
    <row r="4365" spans="1:18" ht="30" customHeight="1" x14ac:dyDescent="0.45">
      <c r="A4365" s="398" t="s">
        <v>2352</v>
      </c>
      <c r="B4365" s="994" t="s">
        <v>2353</v>
      </c>
      <c r="C4365" s="994"/>
      <c r="D4365" s="994"/>
      <c r="E4365" s="398">
        <v>1.62</v>
      </c>
      <c r="F4365" s="38" t="s">
        <v>2354</v>
      </c>
      <c r="G4365" s="136">
        <v>0</v>
      </c>
      <c r="H4365" s="136">
        <v>5616.6464400050299</v>
      </c>
      <c r="I4365" s="136">
        <v>7297.7863792123599</v>
      </c>
      <c r="J4365" s="136">
        <v>0</v>
      </c>
      <c r="K4365" s="136">
        <v>12914.4328192174</v>
      </c>
      <c r="L4365" s="38" t="s">
        <v>2354</v>
      </c>
      <c r="M4365" s="856"/>
      <c r="O4365" s="2"/>
      <c r="P4365" s="27"/>
      <c r="Q4365" s="26"/>
      <c r="R4365" s="28"/>
    </row>
    <row r="4366" spans="1:18" ht="30" customHeight="1" x14ac:dyDescent="0.45">
      <c r="A4366" s="398" t="s">
        <v>2355</v>
      </c>
      <c r="B4366" s="994" t="s">
        <v>2356</v>
      </c>
      <c r="C4366" s="994"/>
      <c r="D4366" s="994"/>
      <c r="E4366" s="140">
        <v>3131.15</v>
      </c>
      <c r="F4366" s="38" t="s">
        <v>8</v>
      </c>
      <c r="G4366" s="136">
        <v>0</v>
      </c>
      <c r="H4366" s="136">
        <v>42023.3586064665</v>
      </c>
      <c r="I4366" s="136">
        <v>0</v>
      </c>
      <c r="J4366" s="136">
        <v>0</v>
      </c>
      <c r="K4366" s="136">
        <v>42023.3586064665</v>
      </c>
      <c r="L4366" s="38" t="s">
        <v>8</v>
      </c>
      <c r="M4366" s="856"/>
      <c r="N4366" s="26"/>
      <c r="O4366" s="2"/>
      <c r="P4366" s="27"/>
      <c r="Q4366" s="26"/>
      <c r="R4366" s="28"/>
    </row>
    <row r="4367" spans="1:18" ht="30" customHeight="1" x14ac:dyDescent="0.45">
      <c r="A4367" s="398" t="s">
        <v>2357</v>
      </c>
      <c r="B4367" s="994" t="s">
        <v>2358</v>
      </c>
      <c r="C4367" s="994"/>
      <c r="D4367" s="994"/>
      <c r="E4367" s="140">
        <v>1004.61</v>
      </c>
      <c r="F4367" s="38" t="s">
        <v>29</v>
      </c>
      <c r="G4367" s="136">
        <v>0</v>
      </c>
      <c r="H4367" s="136">
        <v>152300.17502138601</v>
      </c>
      <c r="I4367" s="136">
        <v>0</v>
      </c>
      <c r="J4367" s="136">
        <v>0</v>
      </c>
      <c r="K4367" s="136">
        <v>152300.17502138601</v>
      </c>
      <c r="L4367" s="38" t="s">
        <v>29</v>
      </c>
      <c r="M4367" s="856"/>
      <c r="N4367" s="26"/>
      <c r="O4367" s="2"/>
      <c r="P4367" s="27"/>
      <c r="Q4367" s="26"/>
      <c r="R4367" s="28"/>
    </row>
    <row r="4368" spans="1:18" ht="30" customHeight="1" x14ac:dyDescent="0.45">
      <c r="A4368" s="398" t="s">
        <v>2359</v>
      </c>
      <c r="B4368" s="994" t="s">
        <v>2360</v>
      </c>
      <c r="C4368" s="994"/>
      <c r="D4368" s="994"/>
      <c r="E4368" s="140">
        <v>20092.23</v>
      </c>
      <c r="F4368" s="38" t="s">
        <v>29</v>
      </c>
      <c r="G4368" s="136">
        <v>0</v>
      </c>
      <c r="H4368" s="136">
        <v>186524.73779747801</v>
      </c>
      <c r="I4368" s="136">
        <v>109002.647932166</v>
      </c>
      <c r="J4368" s="136">
        <v>0</v>
      </c>
      <c r="K4368" s="136">
        <v>295527.38572964398</v>
      </c>
      <c r="L4368" s="38" t="s">
        <v>29</v>
      </c>
      <c r="M4368" s="856"/>
      <c r="N4368" s="26"/>
      <c r="O4368" s="2"/>
      <c r="P4368" s="27"/>
      <c r="Q4368" s="26"/>
      <c r="R4368" s="28"/>
    </row>
    <row r="4369" spans="1:18" ht="30" customHeight="1" x14ac:dyDescent="0.45">
      <c r="A4369" s="398" t="s">
        <v>2361</v>
      </c>
      <c r="B4369" s="994" t="s">
        <v>2362</v>
      </c>
      <c r="C4369" s="994"/>
      <c r="D4369" s="994"/>
      <c r="E4369" s="140">
        <v>20092.23</v>
      </c>
      <c r="F4369" s="38" t="s">
        <v>29</v>
      </c>
      <c r="G4369" s="136">
        <v>1217795.1508905001</v>
      </c>
      <c r="H4369" s="136">
        <v>125756.497429069</v>
      </c>
      <c r="I4369" s="136">
        <v>323654.01616781502</v>
      </c>
      <c r="J4369" s="136">
        <v>0</v>
      </c>
      <c r="K4369" s="136">
        <v>1667205.6644873801</v>
      </c>
      <c r="L4369" s="38" t="s">
        <v>29</v>
      </c>
      <c r="M4369" s="856"/>
      <c r="N4369" s="26"/>
      <c r="O4369" s="2"/>
      <c r="P4369" s="27"/>
      <c r="Q4369" s="26"/>
      <c r="R4369" s="28"/>
    </row>
    <row r="4370" spans="1:18" ht="30" customHeight="1" x14ac:dyDescent="0.45">
      <c r="A4370" s="398" t="s">
        <v>2363</v>
      </c>
      <c r="B4370" s="994" t="s">
        <v>2364</v>
      </c>
      <c r="C4370" s="994"/>
      <c r="D4370" s="994"/>
      <c r="E4370" s="140">
        <v>2009.22</v>
      </c>
      <c r="F4370" s="38" t="s">
        <v>29</v>
      </c>
      <c r="G4370" s="136">
        <v>0</v>
      </c>
      <c r="H4370" s="136">
        <v>7174.0176651802904</v>
      </c>
      <c r="I4370" s="136">
        <v>838.48065522101001</v>
      </c>
      <c r="J4370" s="136">
        <v>0</v>
      </c>
      <c r="K4370" s="136">
        <v>8012.4983204012897</v>
      </c>
      <c r="L4370" s="38" t="s">
        <v>29</v>
      </c>
      <c r="M4370" s="856"/>
      <c r="N4370" s="26"/>
      <c r="O4370" s="2"/>
      <c r="P4370" s="27"/>
      <c r="Q4370" s="26"/>
      <c r="R4370" s="28"/>
    </row>
    <row r="4371" spans="1:18" ht="30" customHeight="1" x14ac:dyDescent="0.45">
      <c r="A4371" s="398" t="s">
        <v>2365</v>
      </c>
      <c r="B4371" s="994" t="s">
        <v>2366</v>
      </c>
      <c r="C4371" s="994"/>
      <c r="D4371" s="994"/>
      <c r="E4371" s="140">
        <v>18083</v>
      </c>
      <c r="F4371" s="38" t="s">
        <v>29</v>
      </c>
      <c r="G4371" s="136">
        <v>0</v>
      </c>
      <c r="H4371" s="136">
        <v>17850.6636981585</v>
      </c>
      <c r="I4371" s="136">
        <v>46787.272308578198</v>
      </c>
      <c r="J4371" s="136">
        <v>0</v>
      </c>
      <c r="K4371" s="136">
        <v>64637.936006736702</v>
      </c>
      <c r="L4371" s="38" t="s">
        <v>29</v>
      </c>
      <c r="M4371" s="856"/>
      <c r="N4371" s="26"/>
      <c r="O4371" s="2"/>
      <c r="P4371" s="27"/>
      <c r="Q4371" s="26"/>
      <c r="R4371" s="28"/>
    </row>
    <row r="4372" spans="1:18" ht="30" customHeight="1" x14ac:dyDescent="0.45">
      <c r="A4372" s="398" t="s">
        <v>2367</v>
      </c>
      <c r="B4372" s="994" t="s">
        <v>2368</v>
      </c>
      <c r="C4372" s="994"/>
      <c r="D4372" s="994"/>
      <c r="E4372" s="140">
        <v>928</v>
      </c>
      <c r="F4372" s="38" t="s">
        <v>113</v>
      </c>
      <c r="G4372" s="136">
        <v>4784.6865394687802</v>
      </c>
      <c r="H4372" s="136">
        <v>7659.9609288295997</v>
      </c>
      <c r="I4372" s="136">
        <v>4259.9668172206502</v>
      </c>
      <c r="J4372" s="136">
        <v>0</v>
      </c>
      <c r="K4372" s="136">
        <v>16704.614285519001</v>
      </c>
      <c r="L4372" s="38" t="s">
        <v>113</v>
      </c>
      <c r="M4372" s="856"/>
      <c r="N4372" s="26"/>
      <c r="O4372" s="2"/>
      <c r="P4372" s="27"/>
      <c r="Q4372" s="26"/>
      <c r="R4372" s="28"/>
    </row>
    <row r="4373" spans="1:18" ht="30" customHeight="1" x14ac:dyDescent="0.45">
      <c r="A4373" s="398" t="s">
        <v>2369</v>
      </c>
      <c r="B4373" s="994" t="s">
        <v>2370</v>
      </c>
      <c r="C4373" s="994"/>
      <c r="D4373" s="994"/>
      <c r="E4373" s="140">
        <v>2009.22</v>
      </c>
      <c r="F4373" s="38" t="s">
        <v>29</v>
      </c>
      <c r="G4373" s="136">
        <v>84173.875148129693</v>
      </c>
      <c r="H4373" s="136">
        <v>18736.8461372944</v>
      </c>
      <c r="I4373" s="136">
        <v>14589.5634008456</v>
      </c>
      <c r="J4373" s="136">
        <v>0</v>
      </c>
      <c r="K4373" s="136">
        <v>117500.28468627</v>
      </c>
      <c r="L4373" s="38" t="s">
        <v>29</v>
      </c>
      <c r="M4373" s="856"/>
      <c r="N4373" s="26"/>
      <c r="O4373" s="2"/>
      <c r="P4373" s="27"/>
      <c r="Q4373" s="26"/>
      <c r="R4373" s="28"/>
    </row>
    <row r="4374" spans="1:18" ht="30" customHeight="1" x14ac:dyDescent="0.45">
      <c r="A4374" s="398" t="s">
        <v>2371</v>
      </c>
      <c r="B4374" s="1101" t="s">
        <v>2372</v>
      </c>
      <c r="C4374" s="1102"/>
      <c r="D4374" s="1103"/>
      <c r="E4374" s="140">
        <v>1.62</v>
      </c>
      <c r="F4374" s="38" t="s">
        <v>2354</v>
      </c>
      <c r="G4374" s="136">
        <v>2851.3972473246199</v>
      </c>
      <c r="H4374" s="136">
        <v>2189.1151106301099</v>
      </c>
      <c r="I4374" s="136">
        <v>2688.6616978820698</v>
      </c>
      <c r="J4374" s="136">
        <v>0</v>
      </c>
      <c r="K4374" s="136">
        <v>7729.1740558368001</v>
      </c>
      <c r="L4374" s="38" t="s">
        <v>2354</v>
      </c>
      <c r="M4374" s="856"/>
      <c r="N4374" s="26"/>
      <c r="O4374" s="2"/>
      <c r="P4374" s="27"/>
      <c r="Q4374" s="26"/>
      <c r="R4374" s="28"/>
    </row>
    <row r="4375" spans="1:18" ht="30" customHeight="1" x14ac:dyDescent="0.45">
      <c r="A4375" s="398" t="s">
        <v>2373</v>
      </c>
      <c r="B4375" s="994" t="s">
        <v>2374</v>
      </c>
      <c r="C4375" s="994"/>
      <c r="D4375" s="994"/>
      <c r="E4375" s="398">
        <v>1.62</v>
      </c>
      <c r="F4375" s="38" t="s">
        <v>2354</v>
      </c>
      <c r="G4375" s="136">
        <v>14.139159904089</v>
      </c>
      <c r="H4375" s="136">
        <v>561.34820938132202</v>
      </c>
      <c r="I4375" s="136">
        <v>0</v>
      </c>
      <c r="J4375" s="136">
        <v>0</v>
      </c>
      <c r="K4375" s="136">
        <v>575.48736928541098</v>
      </c>
      <c r="L4375" s="38" t="s">
        <v>2354</v>
      </c>
      <c r="M4375" s="856"/>
      <c r="N4375" s="26"/>
      <c r="O4375" s="2"/>
      <c r="P4375" s="27"/>
      <c r="Q4375" s="26"/>
      <c r="R4375" s="28"/>
    </row>
    <row r="4376" spans="1:18" ht="30" customHeight="1" x14ac:dyDescent="0.45">
      <c r="A4376" s="1104" t="s">
        <v>2375</v>
      </c>
      <c r="B4376" s="1105"/>
      <c r="C4376" s="1105"/>
      <c r="D4376" s="1106"/>
      <c r="E4376" s="58"/>
      <c r="F4376" s="58"/>
      <c r="G4376" s="58"/>
      <c r="H4376" s="58"/>
      <c r="I4376" s="58"/>
      <c r="J4376" s="460"/>
      <c r="K4376" s="36">
        <f>SUM(K4364:K4375)</f>
        <v>2411238.0851498242</v>
      </c>
      <c r="L4376" s="38" t="s">
        <v>188</v>
      </c>
      <c r="N4376" s="26"/>
      <c r="O4376" s="2"/>
      <c r="P4376" s="27"/>
      <c r="Q4376" s="26"/>
      <c r="R4376" s="28"/>
    </row>
    <row r="4377" spans="1:18" ht="30" customHeight="1" thickBot="1" x14ac:dyDescent="0.5">
      <c r="A4377" s="1107"/>
      <c r="B4377" s="1108"/>
      <c r="C4377" s="1108"/>
      <c r="D4377" s="1109"/>
      <c r="E4377" s="1098" t="s">
        <v>2376</v>
      </c>
      <c r="F4377" s="1099"/>
      <c r="G4377" s="1100"/>
      <c r="H4377" s="58"/>
      <c r="I4377" s="58"/>
      <c r="J4377" s="228" t="s">
        <v>39</v>
      </c>
      <c r="K4377" s="145">
        <f>+K4376/H4362</f>
        <v>2411238.0851498242</v>
      </c>
      <c r="L4377" s="38" t="s">
        <v>88</v>
      </c>
      <c r="M4377" s="41"/>
      <c r="N4377" s="26"/>
      <c r="O4377" s="2"/>
      <c r="P4377" s="27"/>
      <c r="Q4377" s="26"/>
      <c r="R4377" s="28"/>
    </row>
    <row r="4378" spans="1:18" ht="30" customHeight="1" thickBot="1" x14ac:dyDescent="0.5">
      <c r="A4378" s="69"/>
      <c r="B4378" s="70"/>
      <c r="C4378" s="70"/>
      <c r="D4378" s="70"/>
      <c r="E4378" s="70"/>
      <c r="F4378" s="70"/>
      <c r="G4378" s="70"/>
      <c r="H4378" s="70"/>
      <c r="I4378" s="70"/>
      <c r="J4378" s="70"/>
      <c r="K4378" s="70"/>
      <c r="L4378" s="71"/>
      <c r="M4378" s="41"/>
      <c r="O4378" s="2"/>
      <c r="P4378" s="27"/>
      <c r="Q4378" s="26"/>
      <c r="R4378" s="28"/>
    </row>
    <row r="4379" spans="1:18" ht="30" customHeight="1" x14ac:dyDescent="0.45">
      <c r="A4379" s="9" t="s">
        <v>4</v>
      </c>
      <c r="B4379" s="10">
        <v>8714</v>
      </c>
      <c r="C4379" s="983" t="s">
        <v>2377</v>
      </c>
      <c r="D4379" s="984"/>
      <c r="E4379" s="13" t="s">
        <v>7</v>
      </c>
      <c r="F4379" s="14" t="s">
        <v>113</v>
      </c>
      <c r="G4379" s="11" t="s">
        <v>6</v>
      </c>
      <c r="H4379" s="713">
        <v>3115.5788450704199</v>
      </c>
      <c r="I4379" s="13" t="s">
        <v>9</v>
      </c>
      <c r="J4379" s="985" t="s">
        <v>276</v>
      </c>
      <c r="K4379" s="985"/>
      <c r="L4379" s="986"/>
      <c r="N4379" s="26"/>
      <c r="O4379" s="2"/>
      <c r="P4379" s="27"/>
      <c r="Q4379" s="26"/>
      <c r="R4379" s="28"/>
    </row>
    <row r="4380" spans="1:18" ht="30" customHeight="1" x14ac:dyDescent="0.45">
      <c r="A4380" s="85" t="s">
        <v>277</v>
      </c>
      <c r="B4380" s="987" t="s">
        <v>293</v>
      </c>
      <c r="C4380" s="988"/>
      <c r="D4380" s="989"/>
      <c r="E4380" s="220" t="s">
        <v>13</v>
      </c>
      <c r="F4380" s="220" t="s">
        <v>14</v>
      </c>
      <c r="G4380" s="990" t="s">
        <v>15</v>
      </c>
      <c r="H4380" s="991"/>
      <c r="I4380" s="19" t="s">
        <v>278</v>
      </c>
      <c r="J4380" s="19"/>
      <c r="K4380" s="992" t="s">
        <v>17</v>
      </c>
      <c r="L4380" s="993"/>
      <c r="O4380" s="2"/>
      <c r="P4380" s="27"/>
      <c r="Q4380" s="26"/>
      <c r="R4380" s="28"/>
    </row>
    <row r="4381" spans="1:18" ht="30" customHeight="1" x14ac:dyDescent="0.45">
      <c r="A4381" s="47" t="s">
        <v>486</v>
      </c>
      <c r="B4381" s="1018" t="s">
        <v>2378</v>
      </c>
      <c r="C4381" s="1019"/>
      <c r="D4381" s="1020"/>
      <c r="E4381" s="378">
        <f>+(5.52+7.75)/2</f>
        <v>6.6349999999999998</v>
      </c>
      <c r="F4381" s="56" t="s">
        <v>29</v>
      </c>
      <c r="G4381" s="348">
        <v>7.33</v>
      </c>
      <c r="H4381" s="349" t="s">
        <v>2379</v>
      </c>
      <c r="I4381" s="47">
        <v>1.28</v>
      </c>
      <c r="J4381" s="56"/>
      <c r="K4381" s="216">
        <f t="shared" ref="K4381:K4386" si="65">+E4381*G4381*I4381</f>
        <v>62.252223999999998</v>
      </c>
      <c r="L4381" s="56" t="s">
        <v>113</v>
      </c>
      <c r="N4381" s="26"/>
      <c r="O4381" s="2"/>
      <c r="P4381" s="27"/>
      <c r="Q4381" s="26"/>
      <c r="R4381" s="28"/>
    </row>
    <row r="4382" spans="1:18" ht="30" customHeight="1" x14ac:dyDescent="0.45">
      <c r="A4382" s="47" t="s">
        <v>486</v>
      </c>
      <c r="B4382" s="1018" t="s">
        <v>2380</v>
      </c>
      <c r="C4382" s="1019"/>
      <c r="D4382" s="1020"/>
      <c r="E4382" s="378">
        <v>19.5</v>
      </c>
      <c r="F4382" s="56" t="s">
        <v>29</v>
      </c>
      <c r="G4382" s="857">
        <v>7.33</v>
      </c>
      <c r="H4382" s="349" t="s">
        <v>2379</v>
      </c>
      <c r="I4382" s="47">
        <v>1.28</v>
      </c>
      <c r="J4382" s="56"/>
      <c r="K4382" s="216">
        <f t="shared" si="65"/>
        <v>182.95680000000002</v>
      </c>
      <c r="L4382" s="56" t="s">
        <v>113</v>
      </c>
      <c r="O4382" s="2"/>
      <c r="P4382" s="27"/>
      <c r="Q4382" s="26"/>
      <c r="R4382" s="28"/>
    </row>
    <row r="4383" spans="1:18" ht="30" customHeight="1" x14ac:dyDescent="0.45">
      <c r="A4383" s="47" t="s">
        <v>486</v>
      </c>
      <c r="B4383" s="1008" t="s">
        <v>2381</v>
      </c>
      <c r="C4383" s="1009"/>
      <c r="D4383" s="1010"/>
      <c r="E4383" s="221">
        <f>+(11.25+19.25)/2</f>
        <v>15.25</v>
      </c>
      <c r="F4383" s="56" t="s">
        <v>8</v>
      </c>
      <c r="G4383" s="222">
        <v>1.67</v>
      </c>
      <c r="H4383" s="223" t="s">
        <v>579</v>
      </c>
      <c r="I4383" s="47">
        <v>1.28</v>
      </c>
      <c r="J4383" s="56"/>
      <c r="K4383" s="216">
        <f t="shared" si="65"/>
        <v>32.598399999999998</v>
      </c>
      <c r="L4383" s="47" t="s">
        <v>113</v>
      </c>
      <c r="N4383" s="26"/>
      <c r="O4383" s="2"/>
      <c r="P4383" s="27"/>
      <c r="Q4383" s="26"/>
      <c r="R4383" s="28"/>
    </row>
    <row r="4384" spans="1:18" ht="30" customHeight="1" x14ac:dyDescent="0.45">
      <c r="A4384" s="47" t="s">
        <v>486</v>
      </c>
      <c r="B4384" s="1008" t="s">
        <v>2382</v>
      </c>
      <c r="C4384" s="1009"/>
      <c r="D4384" s="1010"/>
      <c r="E4384" s="221">
        <f>+(89.5+126)/2</f>
        <v>107.75</v>
      </c>
      <c r="F4384" s="56" t="s">
        <v>8</v>
      </c>
      <c r="G4384" s="222">
        <v>1.67</v>
      </c>
      <c r="H4384" s="223" t="s">
        <v>579</v>
      </c>
      <c r="I4384" s="47">
        <v>1.28</v>
      </c>
      <c r="J4384" s="56"/>
      <c r="K4384" s="216">
        <f t="shared" si="65"/>
        <v>230.32640000000001</v>
      </c>
      <c r="L4384" s="56" t="s">
        <v>113</v>
      </c>
      <c r="O4384" s="2"/>
      <c r="P4384" s="27"/>
      <c r="Q4384" s="26"/>
      <c r="R4384" s="28"/>
    </row>
    <row r="4385" spans="1:18" ht="30" customHeight="1" x14ac:dyDescent="0.45">
      <c r="A4385" s="47" t="s">
        <v>486</v>
      </c>
      <c r="B4385" s="1008" t="s">
        <v>2383</v>
      </c>
      <c r="C4385" s="1009"/>
      <c r="D4385" s="1010"/>
      <c r="E4385" s="221">
        <f>+(92+279)/2</f>
        <v>185.5</v>
      </c>
      <c r="F4385" s="56" t="s">
        <v>8</v>
      </c>
      <c r="G4385" s="222">
        <v>1.67</v>
      </c>
      <c r="H4385" s="223" t="s">
        <v>579</v>
      </c>
      <c r="I4385" s="47">
        <v>1.28</v>
      </c>
      <c r="J4385" s="56"/>
      <c r="K4385" s="216">
        <f t="shared" si="65"/>
        <v>396.52479999999997</v>
      </c>
      <c r="L4385" s="56" t="s">
        <v>113</v>
      </c>
      <c r="N4385" s="26"/>
      <c r="O4385" s="2"/>
      <c r="P4385" s="27"/>
      <c r="Q4385" s="26"/>
      <c r="R4385" s="28"/>
    </row>
    <row r="4386" spans="1:18" ht="30" customHeight="1" x14ac:dyDescent="0.45">
      <c r="A4386" s="47" t="s">
        <v>1022</v>
      </c>
      <c r="B4386" s="1008" t="s">
        <v>2384</v>
      </c>
      <c r="C4386" s="1009"/>
      <c r="D4386" s="1010"/>
      <c r="E4386" s="221">
        <v>0.21</v>
      </c>
      <c r="F4386" s="56" t="s">
        <v>35</v>
      </c>
      <c r="G4386" s="222">
        <v>25</v>
      </c>
      <c r="H4386" s="223" t="s">
        <v>2346</v>
      </c>
      <c r="I4386" s="47">
        <v>1.1100000000000001</v>
      </c>
      <c r="J4386" s="56"/>
      <c r="K4386" s="216">
        <f t="shared" si="65"/>
        <v>5.8275000000000006</v>
      </c>
      <c r="L4386" s="56" t="s">
        <v>113</v>
      </c>
      <c r="N4386" s="26"/>
      <c r="O4386" s="2"/>
      <c r="P4386" s="27"/>
      <c r="Q4386" s="26"/>
      <c r="R4386" s="28"/>
    </row>
    <row r="4387" spans="1:18" ht="30" customHeight="1" x14ac:dyDescent="0.45">
      <c r="A4387" s="426"/>
      <c r="B4387" s="1018" t="s">
        <v>2385</v>
      </c>
      <c r="C4387" s="1019"/>
      <c r="D4387" s="1020"/>
      <c r="E4387" s="221"/>
      <c r="F4387" s="47"/>
      <c r="G4387" s="47"/>
      <c r="H4387" s="47"/>
      <c r="I4387" s="47"/>
      <c r="J4387" s="47" t="s">
        <v>38</v>
      </c>
      <c r="K4387" s="221">
        <f>SUM(K4381:K4386)</f>
        <v>910.4861239999999</v>
      </c>
      <c r="L4387" s="56" t="s">
        <v>113</v>
      </c>
      <c r="N4387" s="26"/>
      <c r="O4387" s="2"/>
      <c r="P4387" s="27"/>
      <c r="Q4387" s="26"/>
      <c r="R4387" s="28"/>
    </row>
    <row r="4388" spans="1:18" ht="30" customHeight="1" x14ac:dyDescent="0.45">
      <c r="A4388" s="47"/>
      <c r="B4388" s="224" t="s">
        <v>2386</v>
      </c>
      <c r="C4388" s="224"/>
      <c r="D4388" s="224"/>
      <c r="E4388" s="221"/>
      <c r="F4388" s="1011" t="s">
        <v>285</v>
      </c>
      <c r="G4388" s="1013" t="s">
        <v>286</v>
      </c>
      <c r="H4388" s="1013"/>
      <c r="I4388" s="1013"/>
      <c r="J4388" s="1013"/>
      <c r="K4388" s="278">
        <v>1.06</v>
      </c>
      <c r="L4388" s="47"/>
      <c r="N4388" s="26"/>
      <c r="O4388" s="2"/>
      <c r="P4388" s="27"/>
      <c r="Q4388" s="26"/>
      <c r="R4388" s="28"/>
    </row>
    <row r="4389" spans="1:18" ht="30" customHeight="1" x14ac:dyDescent="0.45">
      <c r="A4389" s="47"/>
      <c r="B4389" s="224"/>
      <c r="C4389" s="224"/>
      <c r="D4389" s="224"/>
      <c r="E4389" s="221"/>
      <c r="F4389" s="1012"/>
      <c r="G4389" s="1014" t="s">
        <v>287</v>
      </c>
      <c r="H4389" s="1014"/>
      <c r="I4389" s="1014"/>
      <c r="J4389" s="1014"/>
      <c r="K4389" s="278">
        <v>1.05</v>
      </c>
      <c r="L4389" s="47"/>
      <c r="N4389" s="26"/>
      <c r="O4389" s="2"/>
      <c r="P4389" s="27"/>
      <c r="Q4389" s="26"/>
      <c r="R4389" s="28"/>
    </row>
    <row r="4390" spans="1:18" ht="30" customHeight="1" x14ac:dyDescent="0.45">
      <c r="A4390" s="47"/>
      <c r="B4390" s="47"/>
      <c r="C4390" s="58"/>
      <c r="D4390" s="58"/>
      <c r="E4390" s="58"/>
      <c r="F4390" s="58"/>
      <c r="G4390" s="47"/>
      <c r="H4390" s="58"/>
      <c r="I4390" s="58"/>
      <c r="J4390" s="47" t="s">
        <v>39</v>
      </c>
      <c r="K4390" s="216">
        <f>+K4387*K4388/K4389</f>
        <v>919.15742041904753</v>
      </c>
      <c r="L4390" s="47" t="s">
        <v>113</v>
      </c>
      <c r="N4390" s="26"/>
      <c r="O4390" s="2"/>
      <c r="P4390" s="27"/>
      <c r="Q4390" s="26"/>
      <c r="R4390" s="28"/>
    </row>
    <row r="4391" spans="1:18" ht="30" customHeight="1" thickBot="1" x14ac:dyDescent="0.5">
      <c r="A4391" s="47"/>
      <c r="B4391" s="47"/>
      <c r="C4391" s="58"/>
      <c r="D4391" s="58"/>
      <c r="E4391" s="58"/>
      <c r="F4391" s="58"/>
      <c r="G4391" s="1032" t="s">
        <v>288</v>
      </c>
      <c r="H4391" s="1033"/>
      <c r="I4391" s="1034"/>
      <c r="J4391" s="213">
        <f>VLOOKUP(B4379,'[1]Mil Cost Premiums for PUCs'!$A$4:$R$278,18,FALSE)</f>
        <v>1.0209999999999999</v>
      </c>
      <c r="K4391" s="216">
        <f>+K4390*J4391</f>
        <v>938.45972624784747</v>
      </c>
      <c r="L4391" s="47" t="s">
        <v>113</v>
      </c>
      <c r="M4391" s="25"/>
      <c r="N4391" s="26"/>
      <c r="O4391" s="2"/>
      <c r="P4391" s="27"/>
      <c r="Q4391" s="26"/>
      <c r="R4391" s="28"/>
    </row>
    <row r="4392" spans="1:18" ht="30" customHeight="1" thickBot="1" x14ac:dyDescent="0.5">
      <c r="A4392" s="999"/>
      <c r="B4392" s="1000"/>
      <c r="C4392" s="1000"/>
      <c r="D4392" s="1000"/>
      <c r="E4392" s="1000"/>
      <c r="F4392" s="1000"/>
      <c r="G4392" s="1000"/>
      <c r="H4392" s="1000"/>
      <c r="I4392" s="1000"/>
      <c r="J4392" s="1000"/>
      <c r="K4392" s="1000"/>
      <c r="L4392" s="1001"/>
      <c r="N4392" s="26"/>
      <c r="O4392" s="2"/>
      <c r="P4392" s="27"/>
      <c r="Q4392" s="26"/>
      <c r="R4392" s="28"/>
    </row>
    <row r="4393" spans="1:18" ht="30" customHeight="1" x14ac:dyDescent="0.45">
      <c r="A4393" s="9" t="s">
        <v>4</v>
      </c>
      <c r="B4393" s="10">
        <v>8715</v>
      </c>
      <c r="C4393" s="983" t="s">
        <v>2387</v>
      </c>
      <c r="D4393" s="984"/>
      <c r="E4393" s="13" t="s">
        <v>7</v>
      </c>
      <c r="F4393" s="14" t="s">
        <v>163</v>
      </c>
      <c r="G4393" s="11" t="s">
        <v>6</v>
      </c>
      <c r="H4393" s="858">
        <f>3.4*1000000</f>
        <v>3400000</v>
      </c>
      <c r="I4393" s="13" t="s">
        <v>9</v>
      </c>
      <c r="J4393" s="985" t="s">
        <v>10</v>
      </c>
      <c r="K4393" s="985"/>
      <c r="L4393" s="986"/>
      <c r="M4393" s="41"/>
      <c r="N4393" s="26"/>
      <c r="O4393" s="2"/>
      <c r="P4393" s="27"/>
      <c r="Q4393" s="26"/>
      <c r="R4393" s="28"/>
    </row>
    <row r="4394" spans="1:18" ht="30" customHeight="1" x14ac:dyDescent="0.45">
      <c r="A4394" s="19" t="s">
        <v>11</v>
      </c>
      <c r="B4394" s="987" t="s">
        <v>293</v>
      </c>
      <c r="C4394" s="988"/>
      <c r="D4394" s="989"/>
      <c r="E4394" s="220" t="s">
        <v>13</v>
      </c>
      <c r="F4394" s="220" t="s">
        <v>14</v>
      </c>
      <c r="G4394" s="990" t="s">
        <v>15</v>
      </c>
      <c r="H4394" s="991"/>
      <c r="I4394" s="1068" t="s">
        <v>16</v>
      </c>
      <c r="J4394" s="1069"/>
      <c r="K4394" s="992" t="s">
        <v>17</v>
      </c>
      <c r="L4394" s="993"/>
      <c r="M4394" s="41"/>
      <c r="N4394" s="26"/>
      <c r="O4394" s="2"/>
      <c r="P4394" s="27"/>
      <c r="Q4394" s="26"/>
      <c r="R4394" s="28"/>
    </row>
    <row r="4395" spans="1:18" ht="30" customHeight="1" x14ac:dyDescent="0.45">
      <c r="A4395" s="676">
        <v>83210</v>
      </c>
      <c r="B4395" s="1018" t="s">
        <v>2388</v>
      </c>
      <c r="C4395" s="1019"/>
      <c r="D4395" s="1020"/>
      <c r="E4395" s="378">
        <v>62916.09</v>
      </c>
      <c r="F4395" s="56" t="s">
        <v>88</v>
      </c>
      <c r="G4395" s="811">
        <f>+(1/8)*5*$B$4400</f>
        <v>203657.14374999999</v>
      </c>
      <c r="H4395" s="349" t="s">
        <v>1400</v>
      </c>
      <c r="I4395" s="1090">
        <f>+'[1]2023 MILCON Inflation Table'!F22</f>
        <v>0.93771935922451721</v>
      </c>
      <c r="J4395" s="1091"/>
      <c r="K4395" s="376">
        <f>+E4395/G4395*I4395</f>
        <v>0.28969097038960145</v>
      </c>
      <c r="L4395" s="56" t="s">
        <v>163</v>
      </c>
      <c r="N4395" s="26"/>
      <c r="O4395" s="2"/>
      <c r="P4395" s="27"/>
      <c r="Q4395" s="26"/>
      <c r="R4395" s="28"/>
    </row>
    <row r="4396" spans="1:18" ht="30" customHeight="1" x14ac:dyDescent="0.45">
      <c r="A4396" s="676">
        <v>83210</v>
      </c>
      <c r="B4396" s="1018" t="s">
        <v>2389</v>
      </c>
      <c r="C4396" s="1019"/>
      <c r="D4396" s="1020"/>
      <c r="E4396" s="378">
        <v>125090.73</v>
      </c>
      <c r="F4396" s="56" t="s">
        <v>88</v>
      </c>
      <c r="G4396" s="811">
        <f>(1/4)*5*$B$4400</f>
        <v>407314.28749999998</v>
      </c>
      <c r="H4396" s="349" t="s">
        <v>1400</v>
      </c>
      <c r="I4396" s="1090">
        <f>+I4395</f>
        <v>0.93771935922451721</v>
      </c>
      <c r="J4396" s="1091"/>
      <c r="K4396" s="376">
        <f>+E4396/G4396*I4396</f>
        <v>0.28798400345955721</v>
      </c>
      <c r="L4396" s="56" t="s">
        <v>163</v>
      </c>
      <c r="N4396" s="26"/>
      <c r="O4396" s="2"/>
      <c r="P4396" s="27"/>
      <c r="Q4396" s="26"/>
      <c r="R4396" s="28"/>
    </row>
    <row r="4397" spans="1:18" ht="30" customHeight="1" x14ac:dyDescent="0.45">
      <c r="A4397" s="676">
        <v>83210</v>
      </c>
      <c r="B4397" s="1018" t="s">
        <v>2390</v>
      </c>
      <c r="C4397" s="1019"/>
      <c r="D4397" s="1020"/>
      <c r="E4397" s="378">
        <v>188009.69</v>
      </c>
      <c r="F4397" s="56" t="s">
        <v>88</v>
      </c>
      <c r="G4397" s="811">
        <f>(3/8)*5*$B$4400</f>
        <v>610971.43125000002</v>
      </c>
      <c r="H4397" s="349" t="s">
        <v>1400</v>
      </c>
      <c r="I4397" s="1090">
        <f>+I4395</f>
        <v>0.93771935922451721</v>
      </c>
      <c r="J4397" s="1091"/>
      <c r="K4397" s="376">
        <f>+E4397/G4397*I4397</f>
        <v>0.28855739731414837</v>
      </c>
      <c r="L4397" s="56" t="s">
        <v>163</v>
      </c>
      <c r="N4397" s="26"/>
      <c r="O4397" s="2"/>
      <c r="P4397" s="27"/>
      <c r="Q4397" s="26"/>
      <c r="R4397" s="28"/>
    </row>
    <row r="4398" spans="1:18" ht="30" customHeight="1" x14ac:dyDescent="0.45">
      <c r="A4398" s="676">
        <v>83210</v>
      </c>
      <c r="B4398" s="1018" t="s">
        <v>2391</v>
      </c>
      <c r="C4398" s="1019"/>
      <c r="D4398" s="1020"/>
      <c r="E4398" s="378">
        <v>250938.41</v>
      </c>
      <c r="F4398" s="56" t="s">
        <v>88</v>
      </c>
      <c r="G4398" s="811">
        <f>(1/2)*5*$B$4400</f>
        <v>814628.57499999995</v>
      </c>
      <c r="H4398" s="349" t="s">
        <v>1400</v>
      </c>
      <c r="I4398" s="1090">
        <f>+I4395</f>
        <v>0.93771935922451721</v>
      </c>
      <c r="J4398" s="1091"/>
      <c r="K4398" s="376">
        <f>+E4398/G4398*I4398</f>
        <v>0.28885532898231464</v>
      </c>
      <c r="L4398" s="56" t="s">
        <v>163</v>
      </c>
      <c r="N4398" s="26"/>
      <c r="O4398" s="2"/>
      <c r="P4398" s="27"/>
      <c r="Q4398" s="26"/>
      <c r="R4398" s="28"/>
    </row>
    <row r="4399" spans="1:18" ht="30" customHeight="1" x14ac:dyDescent="0.45">
      <c r="A4399" s="58"/>
      <c r="B4399" s="1092"/>
      <c r="C4399" s="1092"/>
      <c r="D4399" s="1092"/>
      <c r="E4399" s="221"/>
      <c r="F4399" s="47"/>
      <c r="G4399" s="47"/>
      <c r="H4399" s="47"/>
      <c r="I4399" s="47"/>
      <c r="J4399" s="47" t="s">
        <v>56</v>
      </c>
      <c r="K4399" s="334">
        <f>AVERAGE(K4395:K4398)</f>
        <v>0.28877192503640542</v>
      </c>
      <c r="L4399" s="56" t="s">
        <v>163</v>
      </c>
      <c r="M4399" s="25"/>
      <c r="N4399" s="26"/>
      <c r="O4399" s="2"/>
      <c r="P4399" s="27"/>
      <c r="Q4399" s="26"/>
      <c r="R4399" s="28"/>
    </row>
    <row r="4400" spans="1:18" ht="30" customHeight="1" thickBot="1" x14ac:dyDescent="0.5">
      <c r="A4400" s="58"/>
      <c r="B4400" s="1096">
        <v>325851.43</v>
      </c>
      <c r="C4400" s="1097"/>
      <c r="D4400" s="58" t="s">
        <v>2392</v>
      </c>
      <c r="E4400" s="58"/>
      <c r="F4400" s="58"/>
      <c r="G4400" s="58"/>
      <c r="H4400" s="58" t="s">
        <v>2393</v>
      </c>
      <c r="I4400" s="58"/>
      <c r="J4400" s="85" t="s">
        <v>39</v>
      </c>
      <c r="K4400" s="311">
        <f>+K4399</f>
        <v>0.28877192503640542</v>
      </c>
      <c r="L4400" s="56" t="s">
        <v>163</v>
      </c>
      <c r="N4400" s="26"/>
      <c r="O4400" s="2"/>
      <c r="P4400" s="27"/>
      <c r="Q4400" s="26"/>
      <c r="R4400" s="28"/>
    </row>
    <row r="4401" spans="1:18" ht="30" customHeight="1" thickBot="1" x14ac:dyDescent="0.5">
      <c r="A4401" s="999"/>
      <c r="B4401" s="1000"/>
      <c r="C4401" s="1000"/>
      <c r="D4401" s="1000"/>
      <c r="E4401" s="1000"/>
      <c r="F4401" s="1000"/>
      <c r="G4401" s="1000"/>
      <c r="H4401" s="1000"/>
      <c r="I4401" s="1000"/>
      <c r="J4401" s="1000"/>
      <c r="K4401" s="1000"/>
      <c r="L4401" s="1001"/>
      <c r="M4401" s="41"/>
      <c r="N4401" s="26"/>
      <c r="O4401" s="2"/>
      <c r="P4401" s="27"/>
      <c r="Q4401" s="26"/>
      <c r="R4401" s="28"/>
    </row>
    <row r="4402" spans="1:18" ht="30" customHeight="1" x14ac:dyDescent="0.45">
      <c r="A4402" s="9" t="s">
        <v>4</v>
      </c>
      <c r="B4402" s="10">
        <v>8716</v>
      </c>
      <c r="C4402" s="983" t="s">
        <v>2394</v>
      </c>
      <c r="D4402" s="984"/>
      <c r="E4402" s="13" t="s">
        <v>7</v>
      </c>
      <c r="F4402" s="14" t="s">
        <v>8</v>
      </c>
      <c r="G4402" s="11" t="s">
        <v>148</v>
      </c>
      <c r="H4402" s="859">
        <v>894.63176470588201</v>
      </c>
      <c r="I4402" s="13" t="s">
        <v>9</v>
      </c>
      <c r="J4402" s="985" t="s">
        <v>10</v>
      </c>
      <c r="K4402" s="985"/>
      <c r="L4402" s="986"/>
      <c r="M4402" s="41"/>
      <c r="N4402" s="26"/>
      <c r="O4402" s="2"/>
      <c r="P4402" s="27"/>
      <c r="Q4402" s="26"/>
      <c r="R4402" s="28"/>
    </row>
    <row r="4403" spans="1:18" ht="30" customHeight="1" x14ac:dyDescent="0.45">
      <c r="A4403" s="19" t="s">
        <v>11</v>
      </c>
      <c r="B4403" s="987" t="s">
        <v>293</v>
      </c>
      <c r="C4403" s="988"/>
      <c r="D4403" s="989"/>
      <c r="E4403" s="220" t="s">
        <v>13</v>
      </c>
      <c r="F4403" s="220" t="s">
        <v>14</v>
      </c>
      <c r="G4403" s="990" t="s">
        <v>15</v>
      </c>
      <c r="H4403" s="991"/>
      <c r="I4403" s="1068" t="s">
        <v>16</v>
      </c>
      <c r="J4403" s="1069"/>
      <c r="K4403" s="992" t="s">
        <v>17</v>
      </c>
      <c r="L4403" s="993"/>
      <c r="M4403" s="41"/>
      <c r="N4403" s="26"/>
      <c r="O4403" s="2"/>
      <c r="P4403" s="27"/>
      <c r="Q4403" s="26"/>
      <c r="R4403" s="28"/>
    </row>
    <row r="4404" spans="1:18" ht="30" customHeight="1" x14ac:dyDescent="0.45">
      <c r="A4404" s="676">
        <v>93220</v>
      </c>
      <c r="B4404" s="1018" t="s">
        <v>2395</v>
      </c>
      <c r="C4404" s="1019"/>
      <c r="D4404" s="1020"/>
      <c r="E4404" s="378">
        <v>20.2</v>
      </c>
      <c r="F4404" s="56" t="s">
        <v>8</v>
      </c>
      <c r="G4404" s="811"/>
      <c r="H4404" s="349"/>
      <c r="I4404" s="1090">
        <f>+'[1]2023 MILCON Inflation Table'!F22</f>
        <v>0.93771935922451721</v>
      </c>
      <c r="J4404" s="1091"/>
      <c r="K4404" s="376">
        <f>+E4404*I4404</f>
        <v>18.941931056335246</v>
      </c>
      <c r="L4404" s="56" t="s">
        <v>8</v>
      </c>
      <c r="N4404" s="26"/>
      <c r="O4404" s="2"/>
      <c r="P4404" s="27"/>
      <c r="Q4404" s="26"/>
      <c r="R4404" s="28"/>
    </row>
    <row r="4405" spans="1:18" ht="30" customHeight="1" x14ac:dyDescent="0.45">
      <c r="A4405" s="676">
        <v>85110</v>
      </c>
      <c r="B4405" s="1018" t="s">
        <v>2396</v>
      </c>
      <c r="C4405" s="1019"/>
      <c r="D4405" s="1020"/>
      <c r="E4405" s="378">
        <v>30.21</v>
      </c>
      <c r="F4405" s="56" t="s">
        <v>8</v>
      </c>
      <c r="G4405" s="811"/>
      <c r="H4405" s="349"/>
      <c r="I4405" s="1090">
        <f>+'[1]2023 MILCON Inflation Table'!F22</f>
        <v>0.93771935922451721</v>
      </c>
      <c r="J4405" s="1091"/>
      <c r="K4405" s="376">
        <f>+E4405*I4405</f>
        <v>28.328501842172667</v>
      </c>
      <c r="L4405" s="56" t="s">
        <v>8</v>
      </c>
      <c r="N4405" s="26"/>
      <c r="O4405" s="2"/>
      <c r="P4405" s="27"/>
      <c r="Q4405" s="26"/>
      <c r="R4405" s="28"/>
    </row>
    <row r="4406" spans="1:18" ht="30" customHeight="1" x14ac:dyDescent="0.45">
      <c r="A4406" s="105">
        <v>85110</v>
      </c>
      <c r="B4406" s="1018" t="s">
        <v>2397</v>
      </c>
      <c r="C4406" s="1019"/>
      <c r="D4406" s="1020"/>
      <c r="E4406" s="378">
        <v>63.42</v>
      </c>
      <c r="F4406" s="56" t="s">
        <v>8</v>
      </c>
      <c r="G4406" s="990"/>
      <c r="H4406" s="991"/>
      <c r="I4406" s="1090">
        <f>+I4404</f>
        <v>0.93771935922451721</v>
      </c>
      <c r="J4406" s="1091"/>
      <c r="K4406" s="376">
        <f>+E4406*I4406</f>
        <v>59.470161762018883</v>
      </c>
      <c r="L4406" s="56" t="s">
        <v>8</v>
      </c>
      <c r="N4406" s="26"/>
      <c r="O4406" s="2"/>
      <c r="P4406" s="27"/>
      <c r="Q4406" s="26"/>
      <c r="R4406" s="28"/>
    </row>
    <row r="4407" spans="1:18" ht="30" customHeight="1" x14ac:dyDescent="0.45">
      <c r="A4407" s="105">
        <v>84210</v>
      </c>
      <c r="B4407" s="1018" t="s">
        <v>2398</v>
      </c>
      <c r="C4407" s="1019"/>
      <c r="D4407" s="1020"/>
      <c r="E4407" s="378">
        <v>170.31</v>
      </c>
      <c r="F4407" s="56" t="s">
        <v>113</v>
      </c>
      <c r="G4407" s="860">
        <f>20*4/H4402</f>
        <v>8.9422266407342132E-2</v>
      </c>
      <c r="H4407" s="349" t="s">
        <v>2291</v>
      </c>
      <c r="I4407" s="1090">
        <f>+I4404</f>
        <v>0.93771935922451721</v>
      </c>
      <c r="J4407" s="1091"/>
      <c r="K4407" s="376">
        <f>+E4407*G4407*I4407</f>
        <v>14.281002787512808</v>
      </c>
      <c r="L4407" s="56" t="s">
        <v>8</v>
      </c>
      <c r="N4407" s="26"/>
      <c r="O4407" s="2"/>
      <c r="P4407" s="27"/>
      <c r="Q4407" s="26"/>
      <c r="R4407" s="28"/>
    </row>
    <row r="4408" spans="1:18" ht="30" customHeight="1" x14ac:dyDescent="0.45">
      <c r="A4408" s="676"/>
      <c r="B4408" s="1018"/>
      <c r="C4408" s="1019"/>
      <c r="D4408" s="1020"/>
      <c r="E4408" s="378"/>
      <c r="F4408" s="56"/>
      <c r="G4408" s="348"/>
      <c r="H4408" s="349"/>
      <c r="I4408" s="47"/>
      <c r="J4408" s="447" t="s">
        <v>38</v>
      </c>
      <c r="K4408" s="422">
        <f>SUM(K4404:K4407)</f>
        <v>121.0215974480396</v>
      </c>
      <c r="L4408" s="56" t="s">
        <v>8</v>
      </c>
      <c r="N4408" s="26"/>
      <c r="O4408" s="2"/>
      <c r="P4408" s="27"/>
      <c r="Q4408" s="26"/>
      <c r="R4408" s="28"/>
    </row>
    <row r="4409" spans="1:18" ht="30" customHeight="1" thickBot="1" x14ac:dyDescent="0.5">
      <c r="A4409" s="676"/>
      <c r="B4409" s="1018"/>
      <c r="C4409" s="1019"/>
      <c r="D4409" s="1020"/>
      <c r="E4409" s="378"/>
      <c r="F4409" s="56"/>
      <c r="G4409" s="348"/>
      <c r="H4409" s="349"/>
      <c r="I4409" s="47"/>
      <c r="J4409" s="310" t="s">
        <v>39</v>
      </c>
      <c r="K4409" s="422">
        <f>+K4408</f>
        <v>121.0215974480396</v>
      </c>
      <c r="L4409" s="56" t="s">
        <v>8</v>
      </c>
      <c r="N4409" s="26"/>
      <c r="O4409" s="2"/>
      <c r="P4409" s="27"/>
      <c r="Q4409" s="26"/>
      <c r="R4409" s="28"/>
    </row>
    <row r="4410" spans="1:18" ht="30" customHeight="1" thickBot="1" x14ac:dyDescent="0.5">
      <c r="A4410" s="999"/>
      <c r="B4410" s="1000"/>
      <c r="C4410" s="1000"/>
      <c r="D4410" s="1000"/>
      <c r="E4410" s="1000"/>
      <c r="F4410" s="1000"/>
      <c r="G4410" s="1000"/>
      <c r="H4410" s="1000"/>
      <c r="I4410" s="1000"/>
      <c r="J4410" s="1000"/>
      <c r="K4410" s="1000"/>
      <c r="L4410" s="1001"/>
      <c r="N4410" s="26"/>
      <c r="O4410" s="2"/>
      <c r="P4410" s="27"/>
      <c r="Q4410" s="26"/>
      <c r="R4410" s="28"/>
    </row>
    <row r="4411" spans="1:18" ht="30" customHeight="1" x14ac:dyDescent="0.45">
      <c r="A4411" s="9" t="s">
        <v>4</v>
      </c>
      <c r="B4411" s="10">
        <v>8717</v>
      </c>
      <c r="C4411" s="983" t="s">
        <v>2399</v>
      </c>
      <c r="D4411" s="984"/>
      <c r="E4411" s="13" t="s">
        <v>7</v>
      </c>
      <c r="F4411" s="14" t="s">
        <v>252</v>
      </c>
      <c r="G4411" s="11" t="s">
        <v>148</v>
      </c>
      <c r="H4411" s="859">
        <v>816.87</v>
      </c>
      <c r="I4411" s="13" t="s">
        <v>9</v>
      </c>
      <c r="J4411" s="985" t="s">
        <v>575</v>
      </c>
      <c r="K4411" s="985"/>
      <c r="L4411" s="986"/>
      <c r="N4411" s="26"/>
      <c r="O4411" s="2"/>
      <c r="P4411" s="27"/>
      <c r="Q4411" s="26"/>
      <c r="R4411" s="28"/>
    </row>
    <row r="4412" spans="1:18" ht="30" customHeight="1" x14ac:dyDescent="0.45">
      <c r="A4412" s="19" t="s">
        <v>11</v>
      </c>
      <c r="B4412" s="987" t="s">
        <v>293</v>
      </c>
      <c r="C4412" s="988"/>
      <c r="D4412" s="989"/>
      <c r="E4412" s="220" t="s">
        <v>13</v>
      </c>
      <c r="F4412" s="220" t="s">
        <v>14</v>
      </c>
      <c r="G4412" s="990" t="s">
        <v>15</v>
      </c>
      <c r="H4412" s="991"/>
      <c r="I4412" s="19" t="s">
        <v>278</v>
      </c>
      <c r="J4412" s="861"/>
      <c r="K4412" s="23" t="s">
        <v>17</v>
      </c>
      <c r="L4412" s="24"/>
      <c r="N4412" s="26"/>
      <c r="O4412" s="2"/>
      <c r="P4412" s="27"/>
      <c r="Q4412" s="26"/>
      <c r="R4412" s="28"/>
    </row>
    <row r="4413" spans="1:18" ht="30" customHeight="1" x14ac:dyDescent="0.45">
      <c r="A4413" s="676" t="s">
        <v>2400</v>
      </c>
      <c r="B4413" s="1018" t="s">
        <v>2401</v>
      </c>
      <c r="C4413" s="1019"/>
      <c r="D4413" s="1020"/>
      <c r="E4413" s="378">
        <v>2.7</v>
      </c>
      <c r="F4413" s="56" t="s">
        <v>163</v>
      </c>
      <c r="G4413" s="862">
        <f>5932/H4411</f>
        <v>7.2618654131012281</v>
      </c>
      <c r="H4413" s="349" t="s">
        <v>2402</v>
      </c>
      <c r="I4413" s="47">
        <v>1.02</v>
      </c>
      <c r="J4413" s="213"/>
      <c r="K4413" s="422">
        <f>+E4413*G4413*I4413</f>
        <v>19.999177347680785</v>
      </c>
      <c r="L4413" s="223" t="s">
        <v>252</v>
      </c>
      <c r="N4413" s="26"/>
      <c r="O4413" s="2"/>
      <c r="P4413" s="27"/>
      <c r="Q4413" s="26"/>
      <c r="R4413" s="28"/>
    </row>
    <row r="4414" spans="1:18" ht="30" customHeight="1" x14ac:dyDescent="0.45">
      <c r="A4414" s="676" t="s">
        <v>2400</v>
      </c>
      <c r="B4414" s="1018" t="s">
        <v>2403</v>
      </c>
      <c r="C4414" s="1019"/>
      <c r="D4414" s="1020"/>
      <c r="E4414" s="378">
        <v>19.25</v>
      </c>
      <c r="F4414" s="56" t="s">
        <v>113</v>
      </c>
      <c r="G4414" s="862">
        <f>20/H4411</f>
        <v>2.4483699976740485E-2</v>
      </c>
      <c r="H4414" s="349" t="s">
        <v>2404</v>
      </c>
      <c r="I4414" s="47">
        <v>1.02</v>
      </c>
      <c r="J4414" s="213"/>
      <c r="K4414" s="422">
        <f>+E4414*G4414*I4414</f>
        <v>0.4807374490432994</v>
      </c>
      <c r="L4414" s="223" t="s">
        <v>252</v>
      </c>
      <c r="N4414" s="26"/>
      <c r="O4414" s="2"/>
      <c r="P4414" s="27"/>
      <c r="Q4414" s="26"/>
      <c r="R4414" s="28"/>
    </row>
    <row r="4415" spans="1:18" ht="30" customHeight="1" x14ac:dyDescent="0.45">
      <c r="A4415" s="676"/>
      <c r="B4415" s="1018"/>
      <c r="C4415" s="1019"/>
      <c r="D4415" s="1020"/>
      <c r="E4415" s="378"/>
      <c r="F4415" s="56"/>
      <c r="G4415" s="348"/>
      <c r="H4415" s="349"/>
      <c r="I4415" s="213"/>
      <c r="J4415" s="47" t="s">
        <v>38</v>
      </c>
      <c r="K4415" s="459">
        <f>SUM(K4413:K4414)</f>
        <v>20.479914796724085</v>
      </c>
      <c r="L4415" s="223" t="s">
        <v>252</v>
      </c>
      <c r="M4415" s="25"/>
      <c r="N4415" s="26"/>
      <c r="O4415" s="2"/>
      <c r="P4415" s="27"/>
      <c r="Q4415" s="26"/>
      <c r="R4415" s="28"/>
    </row>
    <row r="4416" spans="1:18" ht="30" customHeight="1" x14ac:dyDescent="0.45">
      <c r="A4416" s="47"/>
      <c r="B4416" s="224" t="s">
        <v>2386</v>
      </c>
      <c r="C4416" s="224"/>
      <c r="D4416" s="224"/>
      <c r="E4416" s="221"/>
      <c r="F4416" s="1011" t="s">
        <v>285</v>
      </c>
      <c r="G4416" s="1013" t="s">
        <v>286</v>
      </c>
      <c r="H4416" s="1013"/>
      <c r="I4416" s="1013"/>
      <c r="J4416" s="1013"/>
      <c r="K4416" s="278">
        <v>1.07</v>
      </c>
      <c r="L4416" s="47"/>
      <c r="N4416" s="26"/>
      <c r="O4416" s="2"/>
      <c r="P4416" s="27"/>
      <c r="Q4416" s="26"/>
      <c r="R4416" s="28"/>
    </row>
    <row r="4417" spans="1:18" ht="30" customHeight="1" x14ac:dyDescent="0.45">
      <c r="A4417" s="47"/>
      <c r="B4417" s="224"/>
      <c r="C4417" s="224"/>
      <c r="D4417" s="224"/>
      <c r="E4417" s="221"/>
      <c r="F4417" s="1012"/>
      <c r="G4417" s="1014" t="s">
        <v>580</v>
      </c>
      <c r="H4417" s="1014"/>
      <c r="I4417" s="1014"/>
      <c r="J4417" s="1014"/>
      <c r="K4417" s="278">
        <v>1.08</v>
      </c>
      <c r="L4417" s="47"/>
      <c r="N4417" s="26"/>
      <c r="O4417" s="2"/>
      <c r="P4417" s="27"/>
      <c r="Q4417" s="26"/>
      <c r="R4417" s="28"/>
    </row>
    <row r="4418" spans="1:18" ht="30" customHeight="1" x14ac:dyDescent="0.45">
      <c r="A4418" s="47"/>
      <c r="B4418" s="1092" t="s">
        <v>2405</v>
      </c>
      <c r="C4418" s="1092"/>
      <c r="D4418" s="1092"/>
      <c r="E4418" s="58"/>
      <c r="F4418" s="58"/>
      <c r="G4418" s="47"/>
      <c r="H4418" s="58"/>
      <c r="I4418" s="58"/>
      <c r="J4418" s="47" t="s">
        <v>39</v>
      </c>
      <c r="K4418" s="216">
        <f>+K4415*K4416/K4417</f>
        <v>20.29028595601368</v>
      </c>
      <c r="L4418" s="223" t="s">
        <v>252</v>
      </c>
      <c r="N4418" s="26"/>
      <c r="O4418" s="2"/>
      <c r="P4418" s="27"/>
      <c r="Q4418" s="26"/>
      <c r="R4418" s="28"/>
    </row>
    <row r="4419" spans="1:18" ht="30" customHeight="1" thickBot="1" x14ac:dyDescent="0.5">
      <c r="A4419" s="47"/>
      <c r="B4419" s="1093" t="s">
        <v>2406</v>
      </c>
      <c r="C4419" s="1094"/>
      <c r="D4419" s="1094"/>
      <c r="E4419" s="1094"/>
      <c r="F4419" s="1095"/>
      <c r="G4419" s="1021" t="s">
        <v>288</v>
      </c>
      <c r="H4419" s="1022"/>
      <c r="I4419" s="1023"/>
      <c r="J4419" s="213">
        <v>1.0485669999999998</v>
      </c>
      <c r="K4419" s="216">
        <f>+K4418*J4419</f>
        <v>21.275724274039391</v>
      </c>
      <c r="L4419" s="223" t="s">
        <v>252</v>
      </c>
      <c r="N4419" s="26"/>
      <c r="O4419" s="2"/>
      <c r="P4419" s="27"/>
      <c r="Q4419" s="26"/>
      <c r="R4419" s="28"/>
    </row>
    <row r="4420" spans="1:18" ht="30" customHeight="1" x14ac:dyDescent="0.45">
      <c r="A4420" s="541"/>
      <c r="B4420" s="541"/>
      <c r="C4420" s="542"/>
      <c r="D4420" s="542"/>
      <c r="E4420" s="542"/>
      <c r="F4420" s="1024" t="s">
        <v>581</v>
      </c>
      <c r="G4420" s="1024"/>
      <c r="H4420" s="1024"/>
      <c r="I4420" s="1024"/>
      <c r="J4420" s="756">
        <v>1.0833999999999999</v>
      </c>
      <c r="K4420" s="863">
        <f>K4419*J4420</f>
        <v>23.050119678494273</v>
      </c>
      <c r="L4420" s="223" t="s">
        <v>252</v>
      </c>
      <c r="N4420" s="26"/>
      <c r="O4420" s="2"/>
      <c r="P4420" s="27"/>
      <c r="Q4420" s="26"/>
      <c r="R4420" s="28"/>
    </row>
    <row r="4421" spans="1:18" ht="30" customHeight="1" thickBot="1" x14ac:dyDescent="0.5">
      <c r="A4421" s="225"/>
      <c r="B4421" s="225"/>
      <c r="C4421" s="150"/>
      <c r="D4421" s="150"/>
      <c r="E4421" s="150"/>
      <c r="F4421" s="150"/>
      <c r="G4421" s="1025" t="s">
        <v>299</v>
      </c>
      <c r="H4421" s="1026"/>
      <c r="I4421" s="1027"/>
      <c r="J4421" s="226">
        <v>1.1214</v>
      </c>
      <c r="K4421" s="227">
        <f>+K4420*J4421</f>
        <v>25.848404207463478</v>
      </c>
      <c r="L4421" s="223" t="s">
        <v>252</v>
      </c>
      <c r="M4421" s="25"/>
    </row>
    <row r="4422" spans="1:18" ht="30" customHeight="1" thickBot="1" x14ac:dyDescent="0.5">
      <c r="A4422" s="999"/>
      <c r="B4422" s="1000"/>
      <c r="C4422" s="1000"/>
      <c r="D4422" s="1000"/>
      <c r="E4422" s="1000"/>
      <c r="F4422" s="1000"/>
      <c r="G4422" s="1000"/>
      <c r="H4422" s="1000"/>
      <c r="I4422" s="1000"/>
      <c r="J4422" s="1000"/>
      <c r="K4422" s="1000"/>
      <c r="L4422" s="1001"/>
      <c r="N4422" s="26"/>
      <c r="O4422" s="2"/>
      <c r="P4422" s="27"/>
      <c r="Q4422" s="26"/>
      <c r="R4422" s="28"/>
    </row>
    <row r="4423" spans="1:18" ht="30" customHeight="1" x14ac:dyDescent="0.45">
      <c r="A4423" s="9" t="s">
        <v>4</v>
      </c>
      <c r="B4423" s="10">
        <v>8721</v>
      </c>
      <c r="C4423" s="983" t="s">
        <v>2407</v>
      </c>
      <c r="D4423" s="984"/>
      <c r="E4423" s="13" t="s">
        <v>7</v>
      </c>
      <c r="F4423" s="14" t="s">
        <v>113</v>
      </c>
      <c r="G4423" s="11" t="s">
        <v>6</v>
      </c>
      <c r="H4423" s="163">
        <v>2735.8347739095898</v>
      </c>
      <c r="I4423" s="13" t="s">
        <v>9</v>
      </c>
      <c r="J4423" s="985" t="s">
        <v>10</v>
      </c>
      <c r="K4423" s="985"/>
      <c r="L4423" s="986"/>
      <c r="N4423" s="26"/>
      <c r="O4423" s="2"/>
      <c r="P4423" s="27"/>
      <c r="Q4423" s="26"/>
      <c r="R4423" s="28"/>
    </row>
    <row r="4424" spans="1:18" ht="30" customHeight="1" x14ac:dyDescent="0.45">
      <c r="A4424" s="19" t="s">
        <v>11</v>
      </c>
      <c r="B4424" s="987" t="s">
        <v>293</v>
      </c>
      <c r="C4424" s="988"/>
      <c r="D4424" s="989"/>
      <c r="E4424" s="864" t="s">
        <v>13</v>
      </c>
      <c r="F4424" s="220" t="s">
        <v>14</v>
      </c>
      <c r="G4424" s="990" t="s">
        <v>15</v>
      </c>
      <c r="H4424" s="991"/>
      <c r="I4424" s="1068" t="s">
        <v>16</v>
      </c>
      <c r="J4424" s="1069"/>
      <c r="K4424" s="992" t="s">
        <v>17</v>
      </c>
      <c r="L4424" s="993"/>
      <c r="M4424" s="41"/>
      <c r="N4424" s="26"/>
      <c r="O4424" s="2"/>
      <c r="P4424" s="27"/>
      <c r="Q4424" s="26"/>
      <c r="R4424" s="28"/>
    </row>
    <row r="4425" spans="1:18" ht="30" customHeight="1" x14ac:dyDescent="0.45">
      <c r="A4425" s="676">
        <v>87210</v>
      </c>
      <c r="B4425" s="1018" t="s">
        <v>2408</v>
      </c>
      <c r="C4425" s="1019"/>
      <c r="D4425" s="1020"/>
      <c r="E4425" s="378">
        <v>79.45</v>
      </c>
      <c r="F4425" s="56" t="s">
        <v>113</v>
      </c>
      <c r="G4425" s="811"/>
      <c r="H4425" s="349"/>
      <c r="I4425" s="1090">
        <f>+'[1]2023 MILCON Inflation Table'!F22</f>
        <v>0.93771935922451721</v>
      </c>
      <c r="J4425" s="1091"/>
      <c r="K4425" s="376">
        <f>+E4425*I4425</f>
        <v>74.501803090387895</v>
      </c>
      <c r="L4425" s="47" t="s">
        <v>113</v>
      </c>
      <c r="N4425" s="26"/>
      <c r="O4425" s="2"/>
      <c r="P4425" s="27"/>
      <c r="Q4425" s="26"/>
      <c r="R4425" s="28"/>
    </row>
    <row r="4426" spans="1:18" ht="30" customHeight="1" x14ac:dyDescent="0.45">
      <c r="A4426" s="676">
        <v>87210</v>
      </c>
      <c r="B4426" s="1018" t="s">
        <v>2409</v>
      </c>
      <c r="C4426" s="1019"/>
      <c r="D4426" s="1020"/>
      <c r="E4426" s="378">
        <v>105.66</v>
      </c>
      <c r="F4426" s="56" t="s">
        <v>113</v>
      </c>
      <c r="G4426" s="990"/>
      <c r="H4426" s="991"/>
      <c r="I4426" s="1090">
        <f>+I4425</f>
        <v>0.93771935922451721</v>
      </c>
      <c r="J4426" s="1091"/>
      <c r="K4426" s="376">
        <f>+E4426*I4426</f>
        <v>99.079427495662486</v>
      </c>
      <c r="L4426" s="47" t="s">
        <v>113</v>
      </c>
      <c r="N4426" s="26"/>
      <c r="O4426" s="2"/>
      <c r="P4426" s="27"/>
      <c r="Q4426" s="26"/>
      <c r="R4426" s="28"/>
    </row>
    <row r="4427" spans="1:18" ht="30" customHeight="1" x14ac:dyDescent="0.45">
      <c r="A4427" s="676">
        <v>87210</v>
      </c>
      <c r="B4427" s="1018" t="s">
        <v>2410</v>
      </c>
      <c r="C4427" s="1019"/>
      <c r="D4427" s="1020"/>
      <c r="E4427" s="378">
        <v>132.66</v>
      </c>
      <c r="F4427" s="56" t="s">
        <v>113</v>
      </c>
      <c r="G4427" s="811"/>
      <c r="H4427" s="349"/>
      <c r="I4427" s="1090">
        <f>+I4425</f>
        <v>0.93771935922451721</v>
      </c>
      <c r="J4427" s="1091"/>
      <c r="K4427" s="376">
        <f>+E4427*I4427</f>
        <v>124.39785019472446</v>
      </c>
      <c r="L4427" s="47" t="s">
        <v>113</v>
      </c>
      <c r="N4427" s="26"/>
      <c r="O4427" s="2"/>
      <c r="P4427" s="27"/>
      <c r="Q4427" s="26"/>
      <c r="R4427" s="28"/>
    </row>
    <row r="4428" spans="1:18" ht="30" customHeight="1" x14ac:dyDescent="0.45">
      <c r="A4428" s="47"/>
      <c r="B4428" s="1008"/>
      <c r="C4428" s="1009"/>
      <c r="D4428" s="1010"/>
      <c r="E4428" s="378"/>
      <c r="F4428" s="56"/>
      <c r="G4428" s="348"/>
      <c r="H4428" s="349"/>
      <c r="I4428" s="47"/>
      <c r="J4428" s="47" t="s">
        <v>328</v>
      </c>
      <c r="K4428" s="376">
        <f>AVERAGE(K4425:K4427)</f>
        <v>99.326360260258284</v>
      </c>
      <c r="L4428" s="47" t="s">
        <v>113</v>
      </c>
      <c r="N4428" s="26"/>
      <c r="O4428" s="2"/>
      <c r="P4428" s="27"/>
      <c r="Q4428" s="26"/>
      <c r="R4428" s="28"/>
    </row>
    <row r="4429" spans="1:18" ht="30" customHeight="1" x14ac:dyDescent="0.45">
      <c r="A4429" s="47">
        <v>87250</v>
      </c>
      <c r="B4429" s="1018" t="s">
        <v>2411</v>
      </c>
      <c r="C4429" s="1019"/>
      <c r="D4429" s="1020"/>
      <c r="E4429" s="378">
        <v>1567.17</v>
      </c>
      <c r="F4429" s="56" t="s">
        <v>88</v>
      </c>
      <c r="G4429" s="348">
        <v>500</v>
      </c>
      <c r="H4429" s="349" t="s">
        <v>310</v>
      </c>
      <c r="I4429" s="1090">
        <f>+I4427</f>
        <v>0.93771935922451721</v>
      </c>
      <c r="J4429" s="1091"/>
      <c r="K4429" s="376">
        <f>+E4429/G4429*I4429</f>
        <v>2.9391312963917735</v>
      </c>
      <c r="L4429" s="47" t="s">
        <v>113</v>
      </c>
      <c r="N4429" s="26"/>
      <c r="O4429" s="2"/>
      <c r="P4429" s="27"/>
      <c r="Q4429" s="26"/>
      <c r="R4429" s="28"/>
    </row>
    <row r="4430" spans="1:18" ht="30" customHeight="1" x14ac:dyDescent="0.45">
      <c r="A4430" s="47">
        <v>87250</v>
      </c>
      <c r="B4430" s="1018" t="s">
        <v>2412</v>
      </c>
      <c r="C4430" s="1019"/>
      <c r="D4430" s="1020"/>
      <c r="E4430" s="378">
        <v>4285.8</v>
      </c>
      <c r="F4430" s="56" t="s">
        <v>88</v>
      </c>
      <c r="G4430" s="348">
        <v>1000</v>
      </c>
      <c r="H4430" s="349" t="s">
        <v>310</v>
      </c>
      <c r="I4430" s="1090">
        <f>+I4425</f>
        <v>0.93771935922451721</v>
      </c>
      <c r="J4430" s="1091"/>
      <c r="K4430" s="376">
        <f>+E4430/G4430*I4430</f>
        <v>4.018877629764436</v>
      </c>
      <c r="L4430" s="47" t="s">
        <v>113</v>
      </c>
      <c r="N4430" s="26"/>
      <c r="O4430" s="2"/>
      <c r="P4430" s="27"/>
      <c r="Q4430" s="26"/>
      <c r="R4430" s="28"/>
    </row>
    <row r="4431" spans="1:18" ht="30" customHeight="1" x14ac:dyDescent="0.45">
      <c r="A4431" s="47">
        <v>87250</v>
      </c>
      <c r="B4431" s="1018" t="s">
        <v>2413</v>
      </c>
      <c r="C4431" s="1019"/>
      <c r="D4431" s="1020"/>
      <c r="E4431" s="378">
        <v>15277.46</v>
      </c>
      <c r="F4431" s="56" t="s">
        <v>88</v>
      </c>
      <c r="G4431" s="47">
        <v>2000</v>
      </c>
      <c r="H4431" s="349" t="s">
        <v>310</v>
      </c>
      <c r="I4431" s="1090">
        <f>+I4425</f>
        <v>0.93771935922451721</v>
      </c>
      <c r="J4431" s="1091"/>
      <c r="K4431" s="376">
        <f>+E4431/G4431*I4431</f>
        <v>7.1629850008890958</v>
      </c>
      <c r="L4431" s="47" t="s">
        <v>113</v>
      </c>
      <c r="N4431" s="26"/>
      <c r="O4431" s="2"/>
      <c r="P4431" s="27"/>
      <c r="Q4431" s="26"/>
      <c r="R4431" s="28"/>
    </row>
    <row r="4432" spans="1:18" ht="30" customHeight="1" x14ac:dyDescent="0.45">
      <c r="A4432" s="47">
        <v>87250</v>
      </c>
      <c r="B4432" s="1018" t="s">
        <v>2414</v>
      </c>
      <c r="C4432" s="1019"/>
      <c r="D4432" s="1020"/>
      <c r="E4432" s="378">
        <v>15164.49</v>
      </c>
      <c r="F4432" s="56" t="s">
        <v>88</v>
      </c>
      <c r="G4432" s="348">
        <v>2000</v>
      </c>
      <c r="H4432" s="349" t="s">
        <v>310</v>
      </c>
      <c r="I4432" s="1090">
        <f>+I4425</f>
        <v>0.93771935922451721</v>
      </c>
      <c r="J4432" s="1091"/>
      <c r="K4432" s="376">
        <f>+E4432/G4432*I4432</f>
        <v>7.1100179228832987</v>
      </c>
      <c r="L4432" s="47" t="s">
        <v>113</v>
      </c>
      <c r="N4432" s="26"/>
      <c r="O4432" s="2"/>
      <c r="P4432" s="27"/>
      <c r="Q4432" s="26"/>
      <c r="R4432" s="28"/>
    </row>
    <row r="4433" spans="1:18" ht="30" customHeight="1" x14ac:dyDescent="0.45">
      <c r="A4433" s="47"/>
      <c r="B4433" s="197"/>
      <c r="C4433" s="198"/>
      <c r="D4433" s="199"/>
      <c r="E4433" s="378"/>
      <c r="F4433" s="56"/>
      <c r="G4433" s="348"/>
      <c r="H4433" s="1086" t="s">
        <v>38</v>
      </c>
      <c r="I4433" s="1086"/>
      <c r="J4433" s="1087"/>
      <c r="K4433" s="376">
        <f>+K4428+K4429+K4430+K4431+K4432</f>
        <v>120.55737211018689</v>
      </c>
      <c r="L4433" s="47" t="s">
        <v>113</v>
      </c>
      <c r="N4433" s="26"/>
      <c r="O4433" s="2"/>
      <c r="P4433" s="27"/>
      <c r="Q4433" s="26"/>
      <c r="R4433" s="28"/>
    </row>
    <row r="4434" spans="1:18" ht="30" customHeight="1" thickBot="1" x14ac:dyDescent="0.5">
      <c r="A4434" s="58"/>
      <c r="B4434" s="47"/>
      <c r="C4434" s="58"/>
      <c r="D4434" s="58"/>
      <c r="E4434" s="58"/>
      <c r="F4434" s="58"/>
      <c r="G4434" s="58"/>
      <c r="H4434" s="58"/>
      <c r="I4434" s="58"/>
      <c r="J4434" s="85" t="s">
        <v>39</v>
      </c>
      <c r="K4434" s="376">
        <f>+K4433</f>
        <v>120.55737211018689</v>
      </c>
      <c r="L4434" s="47" t="s">
        <v>113</v>
      </c>
      <c r="N4434" s="26"/>
      <c r="O4434" s="2"/>
      <c r="P4434" s="27"/>
      <c r="Q4434" s="26"/>
      <c r="R4434" s="28"/>
    </row>
    <row r="4435" spans="1:18" ht="30" customHeight="1" thickBot="1" x14ac:dyDescent="0.5">
      <c r="A4435" s="999"/>
      <c r="B4435" s="1000"/>
      <c r="C4435" s="1000"/>
      <c r="D4435" s="1000"/>
      <c r="E4435" s="1000"/>
      <c r="F4435" s="1000"/>
      <c r="G4435" s="1000"/>
      <c r="H4435" s="1000"/>
      <c r="I4435" s="1000"/>
      <c r="J4435" s="1000"/>
      <c r="K4435" s="1000"/>
      <c r="L4435" s="1001"/>
      <c r="M4435" s="41"/>
      <c r="N4435" s="26"/>
      <c r="O4435" s="2"/>
      <c r="P4435" s="27"/>
      <c r="Q4435" s="26"/>
      <c r="R4435" s="28"/>
    </row>
    <row r="4436" spans="1:18" ht="30" customHeight="1" x14ac:dyDescent="0.45">
      <c r="A4436" s="9" t="s">
        <v>4</v>
      </c>
      <c r="B4436" s="10">
        <v>8722</v>
      </c>
      <c r="C4436" s="1028" t="s">
        <v>2415</v>
      </c>
      <c r="D4436" s="1029"/>
      <c r="E4436" s="13" t="s">
        <v>7</v>
      </c>
      <c r="F4436" s="14" t="s">
        <v>113</v>
      </c>
      <c r="G4436" s="11" t="s">
        <v>6</v>
      </c>
      <c r="H4436" s="163">
        <v>4865.2842097329803</v>
      </c>
      <c r="I4436" s="13" t="s">
        <v>9</v>
      </c>
      <c r="J4436" s="985" t="s">
        <v>10</v>
      </c>
      <c r="K4436" s="985"/>
      <c r="L4436" s="986"/>
      <c r="N4436" s="26"/>
      <c r="O4436" s="2"/>
      <c r="P4436" s="27"/>
      <c r="Q4436" s="26"/>
      <c r="R4436" s="28"/>
    </row>
    <row r="4437" spans="1:18" ht="30" customHeight="1" x14ac:dyDescent="0.45">
      <c r="A4437" s="19" t="s">
        <v>11</v>
      </c>
      <c r="B4437" s="987" t="s">
        <v>293</v>
      </c>
      <c r="C4437" s="988"/>
      <c r="D4437" s="989"/>
      <c r="E4437" s="864" t="s">
        <v>13</v>
      </c>
      <c r="F4437" s="220" t="s">
        <v>14</v>
      </c>
      <c r="G4437" s="990" t="s">
        <v>15</v>
      </c>
      <c r="H4437" s="991"/>
      <c r="I4437" s="1068" t="s">
        <v>16</v>
      </c>
      <c r="J4437" s="1069"/>
      <c r="K4437" s="992" t="s">
        <v>17</v>
      </c>
      <c r="L4437" s="993"/>
      <c r="M4437" s="41"/>
      <c r="N4437" s="26"/>
      <c r="O4437" s="2"/>
      <c r="P4437" s="27"/>
      <c r="Q4437" s="26"/>
      <c r="R4437" s="28"/>
    </row>
    <row r="4438" spans="1:18" ht="30" customHeight="1" x14ac:dyDescent="0.45">
      <c r="A4438" s="676">
        <v>87210</v>
      </c>
      <c r="B4438" s="1018" t="s">
        <v>2409</v>
      </c>
      <c r="C4438" s="1019"/>
      <c r="D4438" s="1020"/>
      <c r="E4438" s="378">
        <v>105.66</v>
      </c>
      <c r="F4438" s="56" t="s">
        <v>113</v>
      </c>
      <c r="G4438" s="990"/>
      <c r="H4438" s="991"/>
      <c r="I4438" s="1090">
        <f>+'[1]2023 MILCON Inflation Table'!F22</f>
        <v>0.93771935922451721</v>
      </c>
      <c r="J4438" s="1091"/>
      <c r="K4438" s="376">
        <f>+E4438*I4438</f>
        <v>99.079427495662486</v>
      </c>
      <c r="L4438" s="47" t="s">
        <v>113</v>
      </c>
      <c r="N4438" s="26"/>
      <c r="O4438" s="2"/>
      <c r="P4438" s="27"/>
      <c r="Q4438" s="26"/>
      <c r="R4438" s="28"/>
    </row>
    <row r="4439" spans="1:18" ht="30" customHeight="1" x14ac:dyDescent="0.45">
      <c r="A4439" s="676">
        <v>87210</v>
      </c>
      <c r="B4439" s="1018" t="s">
        <v>2410</v>
      </c>
      <c r="C4439" s="1019"/>
      <c r="D4439" s="1020"/>
      <c r="E4439" s="378">
        <v>132.66</v>
      </c>
      <c r="F4439" s="56" t="s">
        <v>113</v>
      </c>
      <c r="G4439" s="811"/>
      <c r="H4439" s="349"/>
      <c r="I4439" s="1090">
        <f>+I4438</f>
        <v>0.93771935922451721</v>
      </c>
      <c r="J4439" s="1091"/>
      <c r="K4439" s="376">
        <f>+E4439*I4439</f>
        <v>124.39785019472446</v>
      </c>
      <c r="L4439" s="47" t="s">
        <v>113</v>
      </c>
      <c r="N4439" s="26"/>
      <c r="O4439" s="2"/>
      <c r="P4439" s="27"/>
      <c r="Q4439" s="26"/>
      <c r="R4439" s="28"/>
    </row>
    <row r="4440" spans="1:18" ht="30" customHeight="1" x14ac:dyDescent="0.45">
      <c r="A4440" s="47"/>
      <c r="B4440" s="1008"/>
      <c r="C4440" s="1009"/>
      <c r="D4440" s="1010"/>
      <c r="E4440" s="378"/>
      <c r="F4440" s="56"/>
      <c r="G4440" s="348"/>
      <c r="H4440" s="349"/>
      <c r="I4440" s="47"/>
      <c r="J4440" s="47" t="s">
        <v>328</v>
      </c>
      <c r="K4440" s="376">
        <f>AVERAGE(K4438:K4439)</f>
        <v>111.73863884519346</v>
      </c>
      <c r="L4440" s="47" t="s">
        <v>113</v>
      </c>
      <c r="N4440" s="26"/>
      <c r="O4440" s="2"/>
      <c r="P4440" s="27"/>
      <c r="Q4440" s="26"/>
      <c r="R4440" s="28"/>
    </row>
    <row r="4441" spans="1:18" ht="30" customHeight="1" x14ac:dyDescent="0.45">
      <c r="A4441" s="676">
        <v>87210</v>
      </c>
      <c r="B4441" s="1018" t="s">
        <v>2416</v>
      </c>
      <c r="C4441" s="1019"/>
      <c r="D4441" s="1020"/>
      <c r="E4441" s="378">
        <v>454.83</v>
      </c>
      <c r="F4441" s="56" t="s">
        <v>2417</v>
      </c>
      <c r="G4441" s="811">
        <v>100</v>
      </c>
      <c r="H4441" s="349" t="s">
        <v>2418</v>
      </c>
      <c r="I4441" s="1090">
        <f>+I4438</f>
        <v>0.93771935922451721</v>
      </c>
      <c r="J4441" s="1091"/>
      <c r="K4441" s="376">
        <f>+E4441/G4441*I4441</f>
        <v>4.2650289615608719</v>
      </c>
      <c r="L4441" s="47" t="s">
        <v>113</v>
      </c>
      <c r="N4441" s="26"/>
      <c r="O4441" s="2"/>
      <c r="P4441" s="27"/>
      <c r="Q4441" s="26"/>
      <c r="R4441" s="28"/>
    </row>
    <row r="4442" spans="1:18" ht="30" customHeight="1" x14ac:dyDescent="0.45">
      <c r="A4442" s="47">
        <v>87250</v>
      </c>
      <c r="B4442" s="1018" t="s">
        <v>2411</v>
      </c>
      <c r="C4442" s="1019"/>
      <c r="D4442" s="1020"/>
      <c r="E4442" s="378">
        <v>1567.17</v>
      </c>
      <c r="F4442" s="56" t="s">
        <v>88</v>
      </c>
      <c r="G4442" s="348">
        <v>500</v>
      </c>
      <c r="H4442" s="349" t="s">
        <v>310</v>
      </c>
      <c r="I4442" s="1090">
        <f>+I4438</f>
        <v>0.93771935922451721</v>
      </c>
      <c r="J4442" s="1091"/>
      <c r="K4442" s="376">
        <f>+E4442/G4442*I4442</f>
        <v>2.9391312963917735</v>
      </c>
      <c r="L4442" s="47" t="s">
        <v>113</v>
      </c>
      <c r="N4442" s="26"/>
      <c r="O4442" s="2"/>
      <c r="P4442" s="27"/>
      <c r="Q4442" s="26"/>
      <c r="R4442" s="28"/>
    </row>
    <row r="4443" spans="1:18" ht="30" customHeight="1" x14ac:dyDescent="0.45">
      <c r="A4443" s="47">
        <v>87250</v>
      </c>
      <c r="B4443" s="1018" t="s">
        <v>2412</v>
      </c>
      <c r="C4443" s="1019"/>
      <c r="D4443" s="1020"/>
      <c r="E4443" s="378">
        <v>4285.8</v>
      </c>
      <c r="F4443" s="56" t="s">
        <v>88</v>
      </c>
      <c r="G4443" s="348">
        <v>1000</v>
      </c>
      <c r="H4443" s="349" t="s">
        <v>310</v>
      </c>
      <c r="I4443" s="1090">
        <f>+I4438</f>
        <v>0.93771935922451721</v>
      </c>
      <c r="J4443" s="1091"/>
      <c r="K4443" s="376">
        <f>+E4443/G4443*I4443</f>
        <v>4.018877629764436</v>
      </c>
      <c r="L4443" s="47" t="s">
        <v>113</v>
      </c>
      <c r="N4443" s="26"/>
      <c r="O4443" s="2"/>
      <c r="P4443" s="27"/>
      <c r="Q4443" s="26"/>
      <c r="R4443" s="28"/>
    </row>
    <row r="4444" spans="1:18" ht="30" customHeight="1" x14ac:dyDescent="0.45">
      <c r="A4444" s="47">
        <v>87250</v>
      </c>
      <c r="B4444" s="1018" t="s">
        <v>2413</v>
      </c>
      <c r="C4444" s="1019"/>
      <c r="D4444" s="1020"/>
      <c r="E4444" s="378">
        <v>15277.46</v>
      </c>
      <c r="F4444" s="56" t="s">
        <v>88</v>
      </c>
      <c r="G4444" s="47">
        <v>2000</v>
      </c>
      <c r="H4444" s="349" t="s">
        <v>310</v>
      </c>
      <c r="I4444" s="1090">
        <f>+I4438</f>
        <v>0.93771935922451721</v>
      </c>
      <c r="J4444" s="1091"/>
      <c r="K4444" s="376">
        <f>+E4444/G4444*I4444</f>
        <v>7.1629850008890958</v>
      </c>
      <c r="L4444" s="47" t="s">
        <v>113</v>
      </c>
      <c r="N4444" s="26"/>
      <c r="O4444" s="2"/>
      <c r="P4444" s="27"/>
      <c r="Q4444" s="26"/>
      <c r="R4444" s="28"/>
    </row>
    <row r="4445" spans="1:18" ht="30" customHeight="1" x14ac:dyDescent="0.45">
      <c r="A4445" s="47">
        <v>87250</v>
      </c>
      <c r="B4445" s="1018" t="s">
        <v>2414</v>
      </c>
      <c r="C4445" s="1019"/>
      <c r="D4445" s="1020"/>
      <c r="E4445" s="378">
        <v>15164.49</v>
      </c>
      <c r="F4445" s="56" t="s">
        <v>88</v>
      </c>
      <c r="G4445" s="348">
        <v>2000</v>
      </c>
      <c r="H4445" s="349" t="s">
        <v>310</v>
      </c>
      <c r="I4445" s="1090">
        <f>+I4438</f>
        <v>0.93771935922451721</v>
      </c>
      <c r="J4445" s="1091"/>
      <c r="K4445" s="376">
        <f>+E4445/G4445*I4445</f>
        <v>7.1100179228832987</v>
      </c>
      <c r="L4445" s="47" t="s">
        <v>113</v>
      </c>
      <c r="N4445" s="26"/>
      <c r="O4445" s="2"/>
      <c r="P4445" s="27"/>
      <c r="Q4445" s="26"/>
      <c r="R4445" s="28"/>
    </row>
    <row r="4446" spans="1:18" ht="30" customHeight="1" x14ac:dyDescent="0.45">
      <c r="A4446" s="47"/>
      <c r="B4446" s="197"/>
      <c r="C4446" s="198"/>
      <c r="D4446" s="199"/>
      <c r="E4446" s="378"/>
      <c r="F4446" s="56"/>
      <c r="G4446" s="348"/>
      <c r="H4446" s="1086" t="s">
        <v>38</v>
      </c>
      <c r="I4446" s="1086"/>
      <c r="J4446" s="1087"/>
      <c r="K4446" s="376">
        <f>+K4440+K4441+K4442+K4443+K4444+K4445</f>
        <v>137.23467965668294</v>
      </c>
      <c r="L4446" s="47" t="s">
        <v>113</v>
      </c>
      <c r="N4446" s="26"/>
      <c r="O4446" s="2"/>
      <c r="P4446" s="27"/>
      <c r="Q4446" s="26"/>
      <c r="R4446" s="28"/>
    </row>
    <row r="4447" spans="1:18" ht="30" customHeight="1" thickBot="1" x14ac:dyDescent="0.5">
      <c r="A4447" s="58"/>
      <c r="B4447" s="47"/>
      <c r="C4447" s="58"/>
      <c r="D4447" s="58"/>
      <c r="E4447" s="58"/>
      <c r="F4447" s="58"/>
      <c r="G4447" s="58"/>
      <c r="H4447" s="58"/>
      <c r="I4447" s="58"/>
      <c r="J4447" s="85" t="s">
        <v>39</v>
      </c>
      <c r="K4447" s="383">
        <f>+K4446</f>
        <v>137.23467965668294</v>
      </c>
      <c r="L4447" s="47" t="s">
        <v>113</v>
      </c>
      <c r="M4447" s="41"/>
      <c r="N4447" s="26"/>
      <c r="O4447" s="2"/>
      <c r="P4447" s="27"/>
      <c r="Q4447" s="26"/>
      <c r="R4447" s="28"/>
    </row>
    <row r="4448" spans="1:18" ht="30" customHeight="1" thickBot="1" x14ac:dyDescent="0.5">
      <c r="A4448" s="999"/>
      <c r="B4448" s="1000"/>
      <c r="C4448" s="1000"/>
      <c r="D4448" s="1000"/>
      <c r="E4448" s="1000"/>
      <c r="F4448" s="1000"/>
      <c r="G4448" s="1000"/>
      <c r="H4448" s="1000"/>
      <c r="I4448" s="1000"/>
      <c r="J4448" s="1000"/>
      <c r="K4448" s="1000"/>
      <c r="L4448" s="1001"/>
      <c r="M4448" s="41"/>
      <c r="N4448" s="26"/>
      <c r="O4448" s="2"/>
      <c r="P4448" s="27"/>
      <c r="Q4448" s="26"/>
      <c r="R4448" s="28"/>
    </row>
    <row r="4449" spans="1:19" ht="30" customHeight="1" x14ac:dyDescent="0.45">
      <c r="A4449" s="9" t="s">
        <v>4</v>
      </c>
      <c r="B4449" s="10">
        <v>8811</v>
      </c>
      <c r="C4449" s="983" t="s">
        <v>2419</v>
      </c>
      <c r="D4449" s="984"/>
      <c r="E4449" s="13" t="s">
        <v>7</v>
      </c>
      <c r="F4449" s="14" t="s">
        <v>88</v>
      </c>
      <c r="G4449" s="11" t="s">
        <v>6</v>
      </c>
      <c r="H4449" s="163">
        <v>1</v>
      </c>
      <c r="I4449" s="13" t="s">
        <v>9</v>
      </c>
      <c r="J4449" s="1088" t="s">
        <v>2420</v>
      </c>
      <c r="K4449" s="1088"/>
      <c r="L4449" s="1089"/>
      <c r="M4449" s="41"/>
      <c r="N4449" s="26"/>
      <c r="O4449" s="2"/>
      <c r="P4449" s="27"/>
      <c r="Q4449" s="26"/>
      <c r="R4449" s="28"/>
    </row>
    <row r="4450" spans="1:19" ht="30" customHeight="1" x14ac:dyDescent="0.45">
      <c r="A4450" s="19"/>
      <c r="B4450" s="1005" t="s">
        <v>12</v>
      </c>
      <c r="C4450" s="1005"/>
      <c r="D4450" s="1005"/>
      <c r="E4450" s="19" t="s">
        <v>13</v>
      </c>
      <c r="F4450" s="19" t="s">
        <v>14</v>
      </c>
      <c r="G4450" s="990" t="s">
        <v>15</v>
      </c>
      <c r="H4450" s="991"/>
      <c r="I4450" s="19" t="s">
        <v>59</v>
      </c>
      <c r="J4450" s="19" t="s">
        <v>60</v>
      </c>
      <c r="K4450" s="992" t="s">
        <v>39</v>
      </c>
      <c r="L4450" s="993"/>
      <c r="N4450" s="26"/>
      <c r="O4450" s="2"/>
      <c r="P4450" s="27"/>
      <c r="Q4450" s="26"/>
      <c r="R4450" s="28"/>
    </row>
    <row r="4451" spans="1:19" ht="30" customHeight="1" thickBot="1" x14ac:dyDescent="0.5">
      <c r="A4451" s="38"/>
      <c r="B4451" s="1083" t="s">
        <v>2419</v>
      </c>
      <c r="C4451" s="1083"/>
      <c r="D4451" s="1083"/>
      <c r="E4451" s="104">
        <v>99814354.270495996</v>
      </c>
      <c r="F4451" s="105" t="s">
        <v>88</v>
      </c>
      <c r="G4451" s="1084"/>
      <c r="H4451" s="1085"/>
      <c r="I4451" s="105"/>
      <c r="J4451" s="543">
        <f>+'[1]2023 MILCON Inflation Table'!F18</f>
        <v>1.1214155171577724</v>
      </c>
      <c r="K4451" s="108">
        <f>E4451*J4451</f>
        <v>111933365.71401738</v>
      </c>
      <c r="L4451" s="105" t="s">
        <v>88</v>
      </c>
      <c r="M4451" s="25"/>
      <c r="N4451" s="26"/>
      <c r="O4451" s="2"/>
      <c r="P4451" s="27"/>
      <c r="Q4451" s="26"/>
      <c r="R4451" s="28"/>
    </row>
    <row r="4452" spans="1:19" ht="30" customHeight="1" thickBot="1" x14ac:dyDescent="0.5">
      <c r="A4452" s="999"/>
      <c r="B4452" s="1000"/>
      <c r="C4452" s="1000"/>
      <c r="D4452" s="1000"/>
      <c r="E4452" s="1000"/>
      <c r="F4452" s="1000"/>
      <c r="G4452" s="1000"/>
      <c r="H4452" s="1000"/>
      <c r="I4452" s="1000"/>
      <c r="J4452" s="1000"/>
      <c r="K4452" s="1000"/>
      <c r="L4452" s="1001"/>
      <c r="M4452" s="25"/>
      <c r="R4452" s="41"/>
      <c r="S4452" s="41"/>
    </row>
    <row r="4453" spans="1:19" ht="30" customHeight="1" x14ac:dyDescent="0.45">
      <c r="A4453" s="9" t="s">
        <v>4</v>
      </c>
      <c r="B4453" s="10">
        <v>8812</v>
      </c>
      <c r="C4453" s="983" t="s">
        <v>2421</v>
      </c>
      <c r="D4453" s="984"/>
      <c r="E4453" s="13" t="s">
        <v>7</v>
      </c>
      <c r="F4453" s="14" t="s">
        <v>88</v>
      </c>
      <c r="G4453" s="11" t="s">
        <v>6</v>
      </c>
      <c r="H4453" s="163" t="s">
        <v>2422</v>
      </c>
      <c r="I4453" s="13" t="s">
        <v>9</v>
      </c>
      <c r="J4453" s="985" t="s">
        <v>2423</v>
      </c>
      <c r="K4453" s="985"/>
      <c r="L4453" s="986"/>
      <c r="R4453" s="41"/>
      <c r="S4453" s="41"/>
    </row>
    <row r="4454" spans="1:19" ht="30" customHeight="1" x14ac:dyDescent="0.45">
      <c r="A4454" s="19"/>
      <c r="B4454" s="1005" t="s">
        <v>12</v>
      </c>
      <c r="C4454" s="1005"/>
      <c r="D4454" s="1005"/>
      <c r="E4454" s="19" t="s">
        <v>13</v>
      </c>
      <c r="F4454" s="19" t="s">
        <v>14</v>
      </c>
      <c r="G4454" s="990" t="s">
        <v>15</v>
      </c>
      <c r="H4454" s="991"/>
      <c r="I4454" s="19" t="s">
        <v>59</v>
      </c>
      <c r="J4454" s="19" t="s">
        <v>60</v>
      </c>
      <c r="K4454" s="992" t="s">
        <v>39</v>
      </c>
      <c r="L4454" s="993"/>
      <c r="M4454" s="865"/>
      <c r="N4454" s="26"/>
      <c r="O4454" s="26"/>
      <c r="P4454" s="27"/>
      <c r="Q4454" s="26"/>
      <c r="R4454" s="28"/>
    </row>
    <row r="4455" spans="1:19" ht="30" customHeight="1" thickBot="1" x14ac:dyDescent="0.5">
      <c r="A4455" s="38"/>
      <c r="B4455" s="1083" t="s">
        <v>2419</v>
      </c>
      <c r="C4455" s="1083"/>
      <c r="D4455" s="1083"/>
      <c r="E4455" s="104">
        <f>K4451</f>
        <v>111933365.71401738</v>
      </c>
      <c r="F4455" s="105" t="s">
        <v>88</v>
      </c>
      <c r="G4455" s="1084"/>
      <c r="H4455" s="1085"/>
      <c r="I4455" s="105"/>
      <c r="J4455" s="543"/>
      <c r="K4455" s="108">
        <f>E4455</f>
        <v>111933365.71401738</v>
      </c>
      <c r="L4455" s="105" t="s">
        <v>88</v>
      </c>
      <c r="M4455" s="25"/>
      <c r="N4455" s="26"/>
      <c r="O4455" s="2"/>
      <c r="P4455" s="27"/>
      <c r="Q4455" s="26"/>
      <c r="R4455" s="28"/>
    </row>
    <row r="4456" spans="1:19" ht="30" customHeight="1" thickBot="1" x14ac:dyDescent="0.5">
      <c r="A4456" s="999"/>
      <c r="B4456" s="1000"/>
      <c r="C4456" s="1000"/>
      <c r="D4456" s="1000"/>
      <c r="E4456" s="1000"/>
      <c r="F4456" s="1000"/>
      <c r="G4456" s="1000"/>
      <c r="H4456" s="1000"/>
      <c r="I4456" s="1000"/>
      <c r="J4456" s="1000"/>
      <c r="K4456" s="1000"/>
      <c r="L4456" s="1001"/>
      <c r="M4456" s="25"/>
      <c r="R4456" s="41"/>
      <c r="S4456" s="41"/>
    </row>
    <row r="4457" spans="1:19" ht="30" customHeight="1" x14ac:dyDescent="0.45">
      <c r="A4457" s="9" t="s">
        <v>4</v>
      </c>
      <c r="B4457" s="10">
        <v>8813</v>
      </c>
      <c r="C4457" s="983" t="s">
        <v>2424</v>
      </c>
      <c r="D4457" s="984"/>
      <c r="E4457" s="13" t="s">
        <v>7</v>
      </c>
      <c r="F4457" s="14" t="s">
        <v>113</v>
      </c>
      <c r="G4457" s="11" t="s">
        <v>6</v>
      </c>
      <c r="H4457" s="163" t="s">
        <v>2422</v>
      </c>
      <c r="I4457" s="13" t="s">
        <v>9</v>
      </c>
      <c r="J4457" s="985" t="s">
        <v>575</v>
      </c>
      <c r="K4457" s="985"/>
      <c r="L4457" s="986"/>
      <c r="M4457" s="865"/>
      <c r="R4457" s="41"/>
      <c r="S4457" s="41"/>
    </row>
    <row r="4458" spans="1:19" ht="30" customHeight="1" x14ac:dyDescent="0.45">
      <c r="A4458" s="85" t="s">
        <v>277</v>
      </c>
      <c r="B4458" s="987" t="s">
        <v>293</v>
      </c>
      <c r="C4458" s="988"/>
      <c r="D4458" s="989"/>
      <c r="E4458" s="220" t="s">
        <v>13</v>
      </c>
      <c r="F4458" s="220" t="s">
        <v>14</v>
      </c>
      <c r="G4458" s="990" t="s">
        <v>15</v>
      </c>
      <c r="H4458" s="991"/>
      <c r="I4458" s="19" t="s">
        <v>278</v>
      </c>
      <c r="J4458" s="19"/>
      <c r="K4458" s="992" t="s">
        <v>17</v>
      </c>
      <c r="L4458" s="993"/>
      <c r="M4458" s="25"/>
      <c r="N4458" s="26"/>
      <c r="O4458" s="2"/>
      <c r="P4458" s="27"/>
      <c r="Q4458" s="26"/>
      <c r="R4458" s="28"/>
    </row>
    <row r="4459" spans="1:19" ht="30" customHeight="1" x14ac:dyDescent="0.45">
      <c r="A4459" s="47" t="s">
        <v>486</v>
      </c>
      <c r="B4459" s="1008" t="s">
        <v>2425</v>
      </c>
      <c r="C4459" s="1009"/>
      <c r="D4459" s="1010"/>
      <c r="E4459" s="375">
        <f>+(5.71+11.1)/2</f>
        <v>8.4049999999999994</v>
      </c>
      <c r="F4459" s="56" t="s">
        <v>8</v>
      </c>
      <c r="G4459" s="348">
        <v>1</v>
      </c>
      <c r="H4459" s="349" t="s">
        <v>579</v>
      </c>
      <c r="I4459" s="47">
        <v>1.03</v>
      </c>
      <c r="J4459" s="47"/>
      <c r="K4459" s="422">
        <f>+E4459*I4459</f>
        <v>8.6571499999999997</v>
      </c>
      <c r="L4459" s="56" t="s">
        <v>113</v>
      </c>
      <c r="N4459" s="26"/>
      <c r="O4459" s="2"/>
    </row>
    <row r="4460" spans="1:19" ht="30" customHeight="1" x14ac:dyDescent="0.45">
      <c r="A4460" s="47" t="s">
        <v>486</v>
      </c>
      <c r="B4460" s="1008" t="s">
        <v>501</v>
      </c>
      <c r="C4460" s="1009"/>
      <c r="D4460" s="1010"/>
      <c r="E4460" s="378">
        <f>(86.5+261)/2</f>
        <v>173.75</v>
      </c>
      <c r="F4460" s="56" t="s">
        <v>8</v>
      </c>
      <c r="G4460" s="348">
        <v>1</v>
      </c>
      <c r="H4460" s="349" t="s">
        <v>579</v>
      </c>
      <c r="I4460" s="47">
        <v>1.03</v>
      </c>
      <c r="J4460" s="47"/>
      <c r="K4460" s="422">
        <f>+E4460*I4460</f>
        <v>178.96250000000001</v>
      </c>
      <c r="L4460" s="56" t="s">
        <v>113</v>
      </c>
      <c r="N4460" s="26"/>
      <c r="O4460" s="2"/>
      <c r="P4460" s="27"/>
      <c r="Q4460" s="26"/>
      <c r="R4460" s="28"/>
    </row>
    <row r="4461" spans="1:19" ht="30" customHeight="1" x14ac:dyDescent="0.45">
      <c r="A4461" s="47" t="s">
        <v>486</v>
      </c>
      <c r="B4461" s="1008" t="s">
        <v>2426</v>
      </c>
      <c r="C4461" s="1009"/>
      <c r="D4461" s="1010"/>
      <c r="E4461" s="378">
        <f>(83.5+118)/2</f>
        <v>100.75</v>
      </c>
      <c r="F4461" s="56" t="s">
        <v>8</v>
      </c>
      <c r="G4461" s="348">
        <v>1</v>
      </c>
      <c r="H4461" s="349" t="s">
        <v>579</v>
      </c>
      <c r="I4461" s="47">
        <v>1.03</v>
      </c>
      <c r="J4461" s="47"/>
      <c r="K4461" s="422">
        <f>+E4461*I4461</f>
        <v>103.77250000000001</v>
      </c>
      <c r="L4461" s="56" t="s">
        <v>113</v>
      </c>
      <c r="N4461" s="26"/>
      <c r="O4461" s="2"/>
      <c r="P4461" s="27"/>
      <c r="Q4461" s="26"/>
      <c r="R4461" s="28"/>
    </row>
    <row r="4462" spans="1:19" ht="30" customHeight="1" x14ac:dyDescent="0.45">
      <c r="A4462" s="47" t="s">
        <v>486</v>
      </c>
      <c r="B4462" s="1008" t="s">
        <v>503</v>
      </c>
      <c r="C4462" s="1009"/>
      <c r="D4462" s="1010"/>
      <c r="E4462" s="378">
        <f>(0.65+4.8)/2</f>
        <v>2.7250000000000001</v>
      </c>
      <c r="F4462" s="56" t="s">
        <v>8</v>
      </c>
      <c r="G4462" s="348">
        <v>1</v>
      </c>
      <c r="H4462" s="349" t="s">
        <v>579</v>
      </c>
      <c r="I4462" s="47">
        <v>1.03</v>
      </c>
      <c r="J4462" s="47"/>
      <c r="K4462" s="422">
        <f>+E4462/G4462*I4462</f>
        <v>2.8067500000000001</v>
      </c>
      <c r="L4462" s="56" t="s">
        <v>113</v>
      </c>
      <c r="M4462" s="41"/>
      <c r="N4462" s="26"/>
      <c r="O4462" s="2"/>
      <c r="P4462" s="27"/>
      <c r="Q4462" s="26"/>
      <c r="R4462" s="28"/>
    </row>
    <row r="4463" spans="1:19" ht="30" customHeight="1" x14ac:dyDescent="0.45">
      <c r="A4463" s="47" t="s">
        <v>486</v>
      </c>
      <c r="B4463" s="1008" t="s">
        <v>2381</v>
      </c>
      <c r="C4463" s="1009"/>
      <c r="D4463" s="1010"/>
      <c r="E4463" s="378">
        <f>(10.5+18)/2</f>
        <v>14.25</v>
      </c>
      <c r="F4463" s="56" t="s">
        <v>8</v>
      </c>
      <c r="G4463" s="348">
        <v>1</v>
      </c>
      <c r="H4463" s="349" t="s">
        <v>579</v>
      </c>
      <c r="I4463" s="47">
        <v>1.03</v>
      </c>
      <c r="J4463" s="47"/>
      <c r="K4463" s="422">
        <f>+E4463/G4463*I4463</f>
        <v>14.6775</v>
      </c>
      <c r="L4463" s="56" t="s">
        <v>113</v>
      </c>
      <c r="M4463" s="41"/>
      <c r="N4463" s="26"/>
      <c r="O4463" s="2"/>
      <c r="P4463" s="27"/>
      <c r="Q4463" s="26"/>
      <c r="R4463" s="28"/>
    </row>
    <row r="4464" spans="1:19" ht="30" customHeight="1" x14ac:dyDescent="0.45">
      <c r="A4464" s="58"/>
      <c r="B4464" s="58" t="s">
        <v>2427</v>
      </c>
      <c r="C4464" s="224"/>
      <c r="D4464" s="224"/>
      <c r="E4464" s="221"/>
      <c r="F4464" s="47"/>
      <c r="G4464" s="47"/>
      <c r="H4464" s="47"/>
      <c r="I4464" s="47"/>
      <c r="J4464" s="47" t="s">
        <v>56</v>
      </c>
      <c r="K4464" s="459">
        <f>AVERAGE(K4459:K4463)</f>
        <v>61.775280000000009</v>
      </c>
      <c r="L4464" s="47" t="s">
        <v>113</v>
      </c>
      <c r="N4464" s="26"/>
      <c r="O4464" s="2"/>
      <c r="P4464" s="27"/>
      <c r="Q4464" s="26"/>
      <c r="R4464" s="28"/>
    </row>
    <row r="4465" spans="1:18" ht="30" customHeight="1" x14ac:dyDescent="0.45">
      <c r="A4465" s="47"/>
      <c r="B4465" s="224"/>
      <c r="C4465" s="224"/>
      <c r="D4465" s="224"/>
      <c r="E4465" s="221"/>
      <c r="F4465" s="1011" t="s">
        <v>285</v>
      </c>
      <c r="G4465" s="1013" t="s">
        <v>286</v>
      </c>
      <c r="H4465" s="1013"/>
      <c r="I4465" s="1013"/>
      <c r="J4465" s="1013"/>
      <c r="K4465" s="278">
        <v>1.07</v>
      </c>
      <c r="L4465" s="47"/>
      <c r="N4465" s="26"/>
      <c r="O4465" s="2"/>
      <c r="P4465" s="27"/>
      <c r="Q4465" s="26"/>
      <c r="R4465" s="28"/>
    </row>
    <row r="4466" spans="1:18" ht="30" customHeight="1" x14ac:dyDescent="0.45">
      <c r="A4466" s="47"/>
      <c r="B4466" s="224"/>
      <c r="C4466" s="224"/>
      <c r="D4466" s="224"/>
      <c r="E4466" s="221"/>
      <c r="F4466" s="1012"/>
      <c r="G4466" s="1014" t="s">
        <v>580</v>
      </c>
      <c r="H4466" s="1014"/>
      <c r="I4466" s="1014"/>
      <c r="J4466" s="1014"/>
      <c r="K4466" s="278">
        <v>1.08</v>
      </c>
      <c r="L4466" s="47"/>
      <c r="N4466" s="3"/>
      <c r="O4466" s="2"/>
      <c r="P4466" s="27"/>
      <c r="Q4466" s="26"/>
      <c r="R4466" s="28"/>
    </row>
    <row r="4467" spans="1:18" ht="30" customHeight="1" x14ac:dyDescent="0.45">
      <c r="A4467" s="58"/>
      <c r="B4467" s="47"/>
      <c r="C4467" s="58"/>
      <c r="D4467" s="58"/>
      <c r="E4467" s="58"/>
      <c r="F4467" s="58"/>
      <c r="G4467" s="58"/>
      <c r="H4467" s="58"/>
      <c r="I4467" s="58"/>
      <c r="J4467" s="47" t="s">
        <v>39</v>
      </c>
      <c r="K4467" s="216">
        <f>+K4464*K4465/K4466</f>
        <v>61.203286666666678</v>
      </c>
      <c r="L4467" s="47" t="s">
        <v>113</v>
      </c>
      <c r="M4467" s="25"/>
      <c r="N4467" s="3"/>
      <c r="O4467" s="2"/>
      <c r="P4467" s="27"/>
      <c r="Q4467" s="26"/>
      <c r="R4467" s="28"/>
    </row>
    <row r="4468" spans="1:18" ht="30" customHeight="1" x14ac:dyDescent="0.45">
      <c r="A4468" s="47"/>
      <c r="B4468" s="47"/>
      <c r="C4468" s="58"/>
      <c r="D4468" s="58"/>
      <c r="E4468" s="58"/>
      <c r="F4468" s="58"/>
      <c r="G4468" s="1021" t="s">
        <v>288</v>
      </c>
      <c r="H4468" s="1022"/>
      <c r="I4468" s="1023"/>
      <c r="J4468" s="213">
        <f>VLOOKUP(B4457,'[1]Mil Cost Premiums for PUCs'!$A$4:$R$278,18,FALSE)</f>
        <v>1.0905505199999999</v>
      </c>
      <c r="K4468" s="216">
        <f>+K4467*J4468</f>
        <v>66.745276100042403</v>
      </c>
      <c r="L4468" s="47" t="s">
        <v>113</v>
      </c>
      <c r="N4468" s="27"/>
      <c r="O4468" s="2"/>
      <c r="P4468" s="27"/>
      <c r="Q4468" s="26"/>
      <c r="R4468" s="28"/>
    </row>
    <row r="4469" spans="1:18" ht="30" customHeight="1" x14ac:dyDescent="0.45">
      <c r="A4469" s="541"/>
      <c r="B4469" s="541"/>
      <c r="C4469" s="542"/>
      <c r="D4469" s="542"/>
      <c r="E4469" s="542"/>
      <c r="F4469" s="1024" t="s">
        <v>581</v>
      </c>
      <c r="G4469" s="1024"/>
      <c r="H4469" s="1024"/>
      <c r="I4469" s="1024"/>
      <c r="J4469" s="756">
        <v>1.0833999999999999</v>
      </c>
      <c r="K4469" s="863">
        <f>K4468*J4469</f>
        <v>72.31183212678593</v>
      </c>
      <c r="L4469" s="47" t="s">
        <v>113</v>
      </c>
      <c r="M4469" s="156"/>
      <c r="N4469" s="186"/>
      <c r="O4469" s="2"/>
      <c r="P4469" s="27"/>
      <c r="Q4469" s="26"/>
      <c r="R4469" s="28"/>
    </row>
    <row r="4470" spans="1:18" ht="30" customHeight="1" thickBot="1" x14ac:dyDescent="0.5">
      <c r="A4470" s="225"/>
      <c r="B4470" s="225"/>
      <c r="C4470" s="150"/>
      <c r="D4470" s="150"/>
      <c r="E4470" s="150"/>
      <c r="F4470" s="150"/>
      <c r="G4470" s="1025" t="s">
        <v>299</v>
      </c>
      <c r="H4470" s="1026"/>
      <c r="I4470" s="1027"/>
      <c r="J4470" s="226">
        <v>1.1214</v>
      </c>
      <c r="K4470" s="227">
        <f>+K4469*J4470</f>
        <v>81.090488546977738</v>
      </c>
      <c r="L4470" s="47" t="s">
        <v>113</v>
      </c>
      <c r="M4470" s="25"/>
    </row>
    <row r="4471" spans="1:18" ht="30" customHeight="1" thickBot="1" x14ac:dyDescent="0.5">
      <c r="A4471" s="999"/>
      <c r="B4471" s="1000"/>
      <c r="C4471" s="1000"/>
      <c r="D4471" s="1000"/>
      <c r="E4471" s="1000"/>
      <c r="F4471" s="1000"/>
      <c r="G4471" s="1000"/>
      <c r="H4471" s="1000"/>
      <c r="I4471" s="1000"/>
      <c r="J4471" s="1000"/>
      <c r="K4471" s="1000"/>
      <c r="L4471" s="1001"/>
      <c r="N4471" s="26"/>
      <c r="O4471" s="2"/>
      <c r="P4471" s="27"/>
      <c r="Q4471" s="26"/>
      <c r="R4471" s="28"/>
    </row>
    <row r="4472" spans="1:18" ht="30" customHeight="1" x14ac:dyDescent="0.45">
      <c r="A4472" s="9" t="s">
        <v>4</v>
      </c>
      <c r="B4472" s="10">
        <v>8814</v>
      </c>
      <c r="C4472" s="983" t="s">
        <v>2428</v>
      </c>
      <c r="D4472" s="984"/>
      <c r="E4472" s="13" t="s">
        <v>7</v>
      </c>
      <c r="F4472" s="14" t="s">
        <v>113</v>
      </c>
      <c r="G4472" s="11" t="s">
        <v>6</v>
      </c>
      <c r="H4472" s="163" t="s">
        <v>2422</v>
      </c>
      <c r="I4472" s="13" t="s">
        <v>9</v>
      </c>
      <c r="J4472" s="985" t="s">
        <v>2429</v>
      </c>
      <c r="K4472" s="985"/>
      <c r="L4472" s="986"/>
      <c r="M4472" s="156"/>
      <c r="N4472" s="26"/>
      <c r="O4472" s="2"/>
      <c r="P4472" s="27"/>
      <c r="Q4472" s="26"/>
      <c r="R4472" s="28"/>
    </row>
    <row r="4473" spans="1:18" ht="30" customHeight="1" x14ac:dyDescent="0.45">
      <c r="A4473" s="19"/>
      <c r="B4473" s="1005" t="s">
        <v>12</v>
      </c>
      <c r="C4473" s="1005"/>
      <c r="D4473" s="1005"/>
      <c r="E4473" s="19" t="s">
        <v>13</v>
      </c>
      <c r="F4473" s="19" t="s">
        <v>14</v>
      </c>
      <c r="G4473" s="990" t="s">
        <v>15</v>
      </c>
      <c r="H4473" s="991"/>
      <c r="I4473" s="19" t="s">
        <v>59</v>
      </c>
      <c r="J4473" s="19" t="s">
        <v>60</v>
      </c>
      <c r="K4473" s="992" t="s">
        <v>39</v>
      </c>
      <c r="L4473" s="993"/>
      <c r="N4473" s="26"/>
      <c r="O4473" s="2"/>
      <c r="P4473" s="27"/>
      <c r="Q4473" s="26"/>
      <c r="R4473" s="28"/>
    </row>
    <row r="4474" spans="1:18" ht="30" customHeight="1" thickBot="1" x14ac:dyDescent="0.5">
      <c r="A4474" s="65"/>
      <c r="B4474" s="1070" t="s">
        <v>2377</v>
      </c>
      <c r="C4474" s="1070"/>
      <c r="D4474" s="1070"/>
      <c r="E4474" s="866">
        <f>+K4391</f>
        <v>938.45972624784747</v>
      </c>
      <c r="F4474" s="87"/>
      <c r="G4474" s="1071"/>
      <c r="H4474" s="1072"/>
      <c r="I4474" s="87"/>
      <c r="J4474" s="100"/>
      <c r="K4474" s="89">
        <f>E4474</f>
        <v>938.45972624784747</v>
      </c>
      <c r="L4474" s="87" t="s">
        <v>113</v>
      </c>
      <c r="N4474" s="144"/>
      <c r="O4474" s="2"/>
      <c r="P4474" s="27"/>
      <c r="Q4474" s="26"/>
      <c r="R4474" s="28"/>
    </row>
    <row r="4475" spans="1:18" ht="30" customHeight="1" thickBot="1" x14ac:dyDescent="0.5">
      <c r="A4475" s="1077"/>
      <c r="B4475" s="1078"/>
      <c r="C4475" s="1078"/>
      <c r="D4475" s="1078"/>
      <c r="E4475" s="1078"/>
      <c r="F4475" s="1078"/>
      <c r="G4475" s="1078"/>
      <c r="H4475" s="1078"/>
      <c r="I4475" s="1078"/>
      <c r="J4475" s="1078"/>
      <c r="K4475" s="1078"/>
      <c r="L4475" s="1079"/>
      <c r="N4475" s="26"/>
      <c r="O4475" s="2"/>
      <c r="P4475" s="27"/>
      <c r="Q4475" s="26"/>
      <c r="R4475" s="28"/>
    </row>
    <row r="4476" spans="1:18" ht="30" customHeight="1" x14ac:dyDescent="0.45">
      <c r="A4476" s="867" t="s">
        <v>4</v>
      </c>
      <c r="B4476" s="826">
        <v>8821</v>
      </c>
      <c r="C4476" s="1081" t="s">
        <v>2430</v>
      </c>
      <c r="D4476" s="1082"/>
      <c r="E4476" s="868" t="s">
        <v>7</v>
      </c>
      <c r="F4476" s="18" t="s">
        <v>88</v>
      </c>
      <c r="G4476" s="869" t="s">
        <v>6</v>
      </c>
      <c r="H4476" s="870">
        <v>1</v>
      </c>
      <c r="I4476" s="101" t="s">
        <v>9</v>
      </c>
      <c r="J4476" s="1075" t="s">
        <v>2431</v>
      </c>
      <c r="K4476" s="1075"/>
      <c r="L4476" s="1076"/>
      <c r="N4476" s="26"/>
      <c r="O4476" s="2"/>
      <c r="P4476" s="27"/>
      <c r="Q4476" s="26"/>
      <c r="R4476" s="28"/>
    </row>
    <row r="4477" spans="1:18" ht="30" customHeight="1" x14ac:dyDescent="0.45">
      <c r="A4477" s="259"/>
      <c r="B4477" s="1005" t="s">
        <v>12</v>
      </c>
      <c r="C4477" s="1005"/>
      <c r="D4477" s="1005"/>
      <c r="E4477" s="19" t="s">
        <v>13</v>
      </c>
      <c r="F4477" s="19" t="s">
        <v>14</v>
      </c>
      <c r="G4477" s="990" t="s">
        <v>15</v>
      </c>
      <c r="H4477" s="991"/>
      <c r="I4477" s="19" t="s">
        <v>59</v>
      </c>
      <c r="J4477" s="19" t="s">
        <v>60</v>
      </c>
      <c r="K4477" s="992" t="s">
        <v>39</v>
      </c>
      <c r="L4477" s="993"/>
      <c r="N4477" s="26"/>
      <c r="O4477" s="2"/>
      <c r="P4477" s="27"/>
      <c r="Q4477" s="26"/>
      <c r="R4477" s="28"/>
    </row>
    <row r="4478" spans="1:18" ht="30" customHeight="1" thickBot="1" x14ac:dyDescent="0.5">
      <c r="A4478" s="249"/>
      <c r="B4478" s="1065" t="s">
        <v>2377</v>
      </c>
      <c r="C4478" s="1065"/>
      <c r="D4478" s="1065"/>
      <c r="E4478" s="350">
        <f>+K4391</f>
        <v>938.45972624784747</v>
      </c>
      <c r="F4478" s="105" t="s">
        <v>113</v>
      </c>
      <c r="G4478" s="1066">
        <v>500</v>
      </c>
      <c r="H4478" s="1067"/>
      <c r="I4478" s="105"/>
      <c r="J4478" s="106"/>
      <c r="K4478" s="108">
        <f>E4478*G4478</f>
        <v>469229.86312392371</v>
      </c>
      <c r="L4478" s="105" t="s">
        <v>88</v>
      </c>
      <c r="O4478" s="2"/>
      <c r="P4478" s="27"/>
      <c r="Q4478" s="26"/>
      <c r="R4478" s="28"/>
    </row>
    <row r="4479" spans="1:18" ht="30" customHeight="1" thickBot="1" x14ac:dyDescent="0.5">
      <c r="A4479" s="1077"/>
      <c r="B4479" s="1078"/>
      <c r="C4479" s="1078"/>
      <c r="D4479" s="1078"/>
      <c r="E4479" s="1078"/>
      <c r="F4479" s="1078"/>
      <c r="G4479" s="1078"/>
      <c r="H4479" s="1078"/>
      <c r="I4479" s="1078"/>
      <c r="J4479" s="1078"/>
      <c r="K4479" s="1078"/>
      <c r="L4479" s="1079"/>
      <c r="O4479" s="2"/>
      <c r="P4479" s="27"/>
      <c r="Q4479" s="26"/>
      <c r="R4479" s="28"/>
    </row>
    <row r="4480" spans="1:18" ht="30" customHeight="1" x14ac:dyDescent="0.45">
      <c r="A4480" s="849" t="s">
        <v>4</v>
      </c>
      <c r="B4480" s="849">
        <v>8822</v>
      </c>
      <c r="C4480" s="1080" t="s">
        <v>2432</v>
      </c>
      <c r="D4480" s="1080"/>
      <c r="E4480" s="672" t="s">
        <v>7</v>
      </c>
      <c r="F4480" s="871" t="s">
        <v>113</v>
      </c>
      <c r="G4480" s="869" t="s">
        <v>6</v>
      </c>
      <c r="H4480" s="870">
        <v>1761</v>
      </c>
      <c r="I4480" s="672" t="s">
        <v>9</v>
      </c>
      <c r="J4480" s="985" t="s">
        <v>2429</v>
      </c>
      <c r="K4480" s="985"/>
      <c r="L4480" s="986"/>
      <c r="O4480" s="2"/>
      <c r="P4480" s="27"/>
      <c r="Q4480" s="26"/>
      <c r="R4480" s="28"/>
    </row>
    <row r="4481" spans="1:18" ht="30" customHeight="1" x14ac:dyDescent="0.45">
      <c r="A4481" s="849"/>
      <c r="B4481" s="1005" t="s">
        <v>12</v>
      </c>
      <c r="C4481" s="1005"/>
      <c r="D4481" s="1005"/>
      <c r="E4481" s="19" t="s">
        <v>13</v>
      </c>
      <c r="F4481" s="19" t="s">
        <v>14</v>
      </c>
      <c r="G4481" s="990" t="s">
        <v>15</v>
      </c>
      <c r="H4481" s="991"/>
      <c r="I4481" s="19" t="s">
        <v>59</v>
      </c>
      <c r="J4481" s="19" t="s">
        <v>60</v>
      </c>
      <c r="K4481" s="992" t="s">
        <v>39</v>
      </c>
      <c r="L4481" s="993"/>
      <c r="O4481" s="2"/>
      <c r="P4481" s="27"/>
      <c r="Q4481" s="26"/>
      <c r="R4481" s="28"/>
    </row>
    <row r="4482" spans="1:18" ht="30" customHeight="1" thickBot="1" x14ac:dyDescent="0.5">
      <c r="A4482" s="849"/>
      <c r="B4482" s="1070" t="s">
        <v>2377</v>
      </c>
      <c r="C4482" s="1070"/>
      <c r="D4482" s="1070"/>
      <c r="E4482" s="866">
        <f>+K4391</f>
        <v>938.45972624784747</v>
      </c>
      <c r="F4482" s="87"/>
      <c r="G4482" s="1071"/>
      <c r="H4482" s="1072"/>
      <c r="I4482" s="87"/>
      <c r="J4482" s="100"/>
      <c r="K4482" s="89">
        <f>E4482</f>
        <v>938.45972624784747</v>
      </c>
      <c r="L4482" s="87" t="s">
        <v>113</v>
      </c>
      <c r="N4482" s="26"/>
      <c r="O4482" s="2"/>
      <c r="P4482" s="27"/>
      <c r="Q4482" s="26"/>
      <c r="R4482" s="28"/>
    </row>
    <row r="4483" spans="1:18" ht="30" customHeight="1" thickBot="1" x14ac:dyDescent="0.5">
      <c r="A4483" s="999"/>
      <c r="B4483" s="1000"/>
      <c r="C4483" s="1000"/>
      <c r="D4483" s="1000"/>
      <c r="E4483" s="1000"/>
      <c r="F4483" s="1000"/>
      <c r="G4483" s="1000"/>
      <c r="H4483" s="1000"/>
      <c r="I4483" s="1000"/>
      <c r="J4483" s="1000"/>
      <c r="K4483" s="1000"/>
      <c r="L4483" s="1001"/>
      <c r="N4483" s="26"/>
      <c r="O4483" s="2"/>
      <c r="P4483" s="27"/>
      <c r="Q4483" s="26"/>
      <c r="R4483" s="28"/>
    </row>
    <row r="4484" spans="1:18" ht="30" customHeight="1" x14ac:dyDescent="0.45">
      <c r="A4484" s="93" t="s">
        <v>4</v>
      </c>
      <c r="B4484" s="76">
        <v>8831</v>
      </c>
      <c r="C4484" s="1073" t="s">
        <v>2433</v>
      </c>
      <c r="D4484" s="1074"/>
      <c r="E4484" s="94" t="s">
        <v>7</v>
      </c>
      <c r="F4484" s="95" t="s">
        <v>88</v>
      </c>
      <c r="G4484" s="102" t="s">
        <v>6</v>
      </c>
      <c r="H4484" s="96" t="s">
        <v>2422</v>
      </c>
      <c r="I4484" s="94" t="s">
        <v>9</v>
      </c>
      <c r="J4484" s="1075" t="s">
        <v>2434</v>
      </c>
      <c r="K4484" s="1075"/>
      <c r="L4484" s="1076"/>
      <c r="N4484" s="26"/>
      <c r="O4484" s="2"/>
      <c r="P4484" s="27"/>
      <c r="Q4484" s="26"/>
      <c r="R4484" s="28"/>
    </row>
    <row r="4485" spans="1:18" ht="30" customHeight="1" x14ac:dyDescent="0.45">
      <c r="A4485" s="146"/>
      <c r="B4485" s="1005" t="s">
        <v>12</v>
      </c>
      <c r="C4485" s="1005"/>
      <c r="D4485" s="1005"/>
      <c r="E4485" s="19" t="s">
        <v>13</v>
      </c>
      <c r="F4485" s="19" t="s">
        <v>14</v>
      </c>
      <c r="G4485" s="990" t="s">
        <v>15</v>
      </c>
      <c r="H4485" s="991"/>
      <c r="I4485" s="19" t="s">
        <v>59</v>
      </c>
      <c r="J4485" s="19" t="s">
        <v>60</v>
      </c>
      <c r="K4485" s="992" t="s">
        <v>39</v>
      </c>
      <c r="L4485" s="993"/>
      <c r="N4485" s="26"/>
      <c r="O4485" s="2"/>
      <c r="P4485" s="27"/>
      <c r="Q4485" s="26"/>
      <c r="R4485" s="28"/>
    </row>
    <row r="4486" spans="1:18" ht="30" customHeight="1" thickBot="1" x14ac:dyDescent="0.5">
      <c r="B4486" s="1065" t="s">
        <v>2377</v>
      </c>
      <c r="C4486" s="1065"/>
      <c r="D4486" s="1065"/>
      <c r="E4486" s="350">
        <f>+K4391</f>
        <v>938.45972624784747</v>
      </c>
      <c r="F4486" s="105" t="s">
        <v>113</v>
      </c>
      <c r="G4486" s="1066">
        <v>400</v>
      </c>
      <c r="H4486" s="1067"/>
      <c r="I4486" s="105"/>
      <c r="J4486" s="106"/>
      <c r="K4486" s="108">
        <f>E4486*G4486</f>
        <v>375383.89049913897</v>
      </c>
      <c r="L4486" s="105" t="s">
        <v>88</v>
      </c>
      <c r="N4486" s="26"/>
      <c r="O4486" s="2"/>
      <c r="P4486" s="27"/>
      <c r="Q4486" s="26"/>
      <c r="R4486" s="28"/>
    </row>
    <row r="4487" spans="1:18" ht="30" customHeight="1" thickBot="1" x14ac:dyDescent="0.5">
      <c r="A4487" s="999"/>
      <c r="B4487" s="1000"/>
      <c r="C4487" s="1000"/>
      <c r="D4487" s="1000"/>
      <c r="E4487" s="1000"/>
      <c r="F4487" s="1000"/>
      <c r="G4487" s="1000"/>
      <c r="H4487" s="1000"/>
      <c r="I4487" s="1000"/>
      <c r="J4487" s="1000"/>
      <c r="K4487" s="1000"/>
      <c r="L4487" s="1001"/>
      <c r="N4487" s="26"/>
      <c r="O4487" s="2"/>
      <c r="P4487" s="27"/>
      <c r="Q4487" s="26"/>
      <c r="R4487" s="28"/>
    </row>
    <row r="4488" spans="1:18" ht="30" customHeight="1" x14ac:dyDescent="0.45">
      <c r="A4488" s="9" t="s">
        <v>4</v>
      </c>
      <c r="B4488" s="10">
        <v>8840</v>
      </c>
      <c r="C4488" s="983" t="s">
        <v>2435</v>
      </c>
      <c r="D4488" s="984"/>
      <c r="E4488" s="13" t="s">
        <v>7</v>
      </c>
      <c r="F4488" s="14" t="s">
        <v>88</v>
      </c>
      <c r="G4488" s="161" t="s">
        <v>148</v>
      </c>
      <c r="H4488" s="163">
        <v>1</v>
      </c>
      <c r="I4488" s="13" t="s">
        <v>9</v>
      </c>
      <c r="J4488" s="985" t="s">
        <v>276</v>
      </c>
      <c r="K4488" s="985"/>
      <c r="L4488" s="986"/>
      <c r="N4488" s="26"/>
      <c r="O4488" s="2"/>
      <c r="P4488" s="27"/>
      <c r="Q4488" s="26"/>
      <c r="R4488" s="28"/>
    </row>
    <row r="4489" spans="1:18" ht="30" customHeight="1" x14ac:dyDescent="0.45">
      <c r="A4489" s="695" t="s">
        <v>277</v>
      </c>
      <c r="B4489" s="1055" t="s">
        <v>293</v>
      </c>
      <c r="C4489" s="1056"/>
      <c r="D4489" s="1057"/>
      <c r="E4489" s="696" t="s">
        <v>13</v>
      </c>
      <c r="F4489" s="696" t="s">
        <v>14</v>
      </c>
      <c r="G4489" s="1058" t="s">
        <v>15</v>
      </c>
      <c r="H4489" s="1059"/>
      <c r="I4489" s="1068" t="s">
        <v>278</v>
      </c>
      <c r="J4489" s="1069"/>
      <c r="K4489" s="23" t="s">
        <v>17</v>
      </c>
      <c r="L4489" s="24"/>
      <c r="N4489" s="26"/>
      <c r="O4489" s="2"/>
      <c r="P4489" s="27"/>
      <c r="Q4489" s="26"/>
      <c r="R4489" s="28"/>
    </row>
    <row r="4490" spans="1:18" ht="30" customHeight="1" x14ac:dyDescent="0.45">
      <c r="A4490" s="47" t="s">
        <v>2181</v>
      </c>
      <c r="B4490" s="1008" t="s">
        <v>2436</v>
      </c>
      <c r="C4490" s="1009"/>
      <c r="D4490" s="1010"/>
      <c r="E4490" s="221">
        <v>41</v>
      </c>
      <c r="F4490" s="47" t="s">
        <v>1184</v>
      </c>
      <c r="G4490" s="222">
        <v>130</v>
      </c>
      <c r="H4490" s="221" t="s">
        <v>1185</v>
      </c>
      <c r="I4490" s="1063">
        <v>1.31</v>
      </c>
      <c r="J4490" s="1064"/>
      <c r="K4490" s="393">
        <f>+E4490*G4490*I4490</f>
        <v>6982.3</v>
      </c>
      <c r="L4490" s="47" t="s">
        <v>88</v>
      </c>
      <c r="N4490" s="26"/>
      <c r="O4490" s="2"/>
      <c r="P4490" s="27"/>
      <c r="Q4490" s="26"/>
      <c r="R4490" s="28"/>
    </row>
    <row r="4491" spans="1:18" ht="30" customHeight="1" x14ac:dyDescent="0.45">
      <c r="A4491" s="47"/>
      <c r="B4491" s="224"/>
      <c r="C4491" s="224"/>
      <c r="D4491" s="224"/>
      <c r="E4491" s="221"/>
      <c r="F4491" s="1011" t="s">
        <v>285</v>
      </c>
      <c r="G4491" s="1013" t="s">
        <v>286</v>
      </c>
      <c r="H4491" s="1013"/>
      <c r="I4491" s="1013"/>
      <c r="J4491" s="1013"/>
      <c r="K4491" s="278">
        <v>1.06</v>
      </c>
      <c r="L4491" s="47"/>
      <c r="N4491" s="26"/>
      <c r="O4491" s="2"/>
      <c r="P4491" s="27"/>
      <c r="Q4491" s="26"/>
      <c r="R4491" s="28"/>
    </row>
    <row r="4492" spans="1:18" ht="30" customHeight="1" x14ac:dyDescent="0.45">
      <c r="A4492" s="47"/>
      <c r="B4492" s="224"/>
      <c r="C4492" s="224"/>
      <c r="D4492" s="224"/>
      <c r="E4492" s="221"/>
      <c r="F4492" s="1012"/>
      <c r="G4492" s="1014" t="s">
        <v>287</v>
      </c>
      <c r="H4492" s="1014"/>
      <c r="I4492" s="1014"/>
      <c r="J4492" s="1014"/>
      <c r="K4492" s="278">
        <v>1.05</v>
      </c>
      <c r="L4492" s="47"/>
      <c r="N4492" s="26"/>
      <c r="O4492" s="2"/>
      <c r="P4492" s="27"/>
      <c r="Q4492" s="26"/>
      <c r="R4492" s="28"/>
    </row>
    <row r="4493" spans="1:18" ht="30" customHeight="1" x14ac:dyDescent="0.45">
      <c r="A4493" s="47"/>
      <c r="B4493" s="47"/>
      <c r="C4493" s="58"/>
      <c r="D4493" s="58"/>
      <c r="E4493" s="58"/>
      <c r="F4493" s="58"/>
      <c r="G4493" s="58"/>
      <c r="H4493" s="58"/>
      <c r="I4493" s="58"/>
      <c r="J4493" s="47" t="s">
        <v>39</v>
      </c>
      <c r="K4493" s="216">
        <f>+K4490*K4491/K4492</f>
        <v>7048.7980952380949</v>
      </c>
      <c r="L4493" s="47" t="s">
        <v>88</v>
      </c>
      <c r="N4493" s="26"/>
      <c r="O4493" s="2"/>
      <c r="P4493" s="27"/>
      <c r="Q4493" s="26"/>
      <c r="R4493" s="28"/>
    </row>
    <row r="4494" spans="1:18" ht="30" customHeight="1" thickBot="1" x14ac:dyDescent="0.5">
      <c r="A4494" s="47"/>
      <c r="B4494" s="47"/>
      <c r="C4494" s="58"/>
      <c r="D4494" s="58"/>
      <c r="E4494" s="58"/>
      <c r="F4494" s="58"/>
      <c r="G4494" s="1032" t="s">
        <v>288</v>
      </c>
      <c r="H4494" s="1033"/>
      <c r="I4494" s="1034"/>
      <c r="J4494" s="213">
        <f>VLOOKUP(B4488,'[1]Mil Cost Premiums for PUCs'!$A$4:$R$278,18,FALSE)</f>
        <v>1.0209999999999999</v>
      </c>
      <c r="K4494" s="216">
        <f>+K4493*J4494</f>
        <v>7196.8228552380942</v>
      </c>
      <c r="L4494" s="47" t="s">
        <v>88</v>
      </c>
      <c r="N4494" s="26"/>
      <c r="O4494" s="2"/>
      <c r="P4494" s="27"/>
      <c r="Q4494" s="26"/>
      <c r="R4494" s="28"/>
    </row>
    <row r="4495" spans="1:18" ht="30" customHeight="1" thickBot="1" x14ac:dyDescent="0.5">
      <c r="A4495" s="999"/>
      <c r="B4495" s="1000"/>
      <c r="C4495" s="1000"/>
      <c r="D4495" s="1000"/>
      <c r="E4495" s="1000"/>
      <c r="F4495" s="1000"/>
      <c r="G4495" s="1000"/>
      <c r="H4495" s="1000"/>
      <c r="I4495" s="1000"/>
      <c r="J4495" s="1000"/>
      <c r="K4495" s="1000"/>
      <c r="L4495" s="1001"/>
      <c r="N4495" s="26"/>
      <c r="O4495" s="2"/>
      <c r="P4495" s="27"/>
      <c r="Q4495" s="26"/>
      <c r="R4495" s="28"/>
    </row>
    <row r="4496" spans="1:18" ht="30" customHeight="1" x14ac:dyDescent="0.45">
      <c r="A4496" s="690" t="s">
        <v>4</v>
      </c>
      <c r="B4496" s="691">
        <v>8910</v>
      </c>
      <c r="C4496" s="1053" t="s">
        <v>2437</v>
      </c>
      <c r="D4496" s="1054"/>
      <c r="E4496" s="692" t="s">
        <v>7</v>
      </c>
      <c r="F4496" s="708" t="s">
        <v>35</v>
      </c>
      <c r="G4496" s="11" t="s">
        <v>6</v>
      </c>
      <c r="H4496" s="694">
        <v>2078.1996834226702</v>
      </c>
      <c r="I4496" s="692" t="s">
        <v>9</v>
      </c>
      <c r="J4496" s="985" t="s">
        <v>276</v>
      </c>
      <c r="K4496" s="985"/>
      <c r="L4496" s="986"/>
      <c r="N4496" s="26"/>
      <c r="O4496" s="2"/>
      <c r="P4496" s="27"/>
      <c r="Q4496" s="26"/>
      <c r="R4496" s="28"/>
    </row>
    <row r="4497" spans="1:18" ht="30" customHeight="1" x14ac:dyDescent="0.45">
      <c r="A4497" s="695" t="s">
        <v>277</v>
      </c>
      <c r="B4497" s="1055" t="s">
        <v>293</v>
      </c>
      <c r="C4497" s="1056"/>
      <c r="D4497" s="1057"/>
      <c r="E4497" s="696" t="s">
        <v>13</v>
      </c>
      <c r="F4497" s="696" t="s">
        <v>14</v>
      </c>
      <c r="G4497" s="1058" t="s">
        <v>15</v>
      </c>
      <c r="H4497" s="1059"/>
      <c r="I4497" s="19" t="s">
        <v>278</v>
      </c>
      <c r="J4497" s="19" t="s">
        <v>16</v>
      </c>
      <c r="K4497" s="23" t="s">
        <v>17</v>
      </c>
      <c r="L4497" s="24"/>
      <c r="N4497" s="26"/>
      <c r="O4497" s="2"/>
      <c r="P4497" s="27"/>
      <c r="Q4497" s="26"/>
      <c r="R4497" s="28"/>
    </row>
    <row r="4498" spans="1:18" ht="30" customHeight="1" x14ac:dyDescent="0.45">
      <c r="A4498" s="702" t="s">
        <v>1664</v>
      </c>
      <c r="B4498" s="1060" t="s">
        <v>2438</v>
      </c>
      <c r="C4498" s="1061"/>
      <c r="D4498" s="1062"/>
      <c r="E4498" s="725">
        <v>61.5</v>
      </c>
      <c r="F4498" s="699" t="s">
        <v>35</v>
      </c>
      <c r="G4498" s="726"/>
      <c r="H4498" s="701"/>
      <c r="I4498" s="702">
        <v>1.05</v>
      </c>
      <c r="J4498" s="681">
        <f>+'[1]2023 MILCON Inflation Table'!F14</f>
        <v>1.3545159367405897</v>
      </c>
      <c r="K4498" s="707">
        <f>+E4498*I4498*J4498</f>
        <v>87.467866615023581</v>
      </c>
      <c r="L4498" s="699" t="s">
        <v>35</v>
      </c>
      <c r="M4498" s="25"/>
      <c r="N4498" s="26"/>
      <c r="O4498" s="2"/>
      <c r="P4498" s="27"/>
      <c r="Q4498" s="26"/>
      <c r="R4498" s="28"/>
    </row>
    <row r="4499" spans="1:18" ht="30" customHeight="1" x14ac:dyDescent="0.45">
      <c r="A4499" s="873" t="s">
        <v>358</v>
      </c>
      <c r="B4499" s="1049" t="s">
        <v>2439</v>
      </c>
      <c r="C4499" s="1050"/>
      <c r="D4499" s="1051"/>
      <c r="E4499" s="874">
        <v>6.79</v>
      </c>
      <c r="F4499" s="699" t="s">
        <v>35</v>
      </c>
      <c r="G4499" s="727"/>
      <c r="H4499" s="728"/>
      <c r="I4499" s="702">
        <v>1.1200000000000001</v>
      </c>
      <c r="J4499" s="699"/>
      <c r="K4499" s="707">
        <f>+E4499*I4499</f>
        <v>7.6048000000000009</v>
      </c>
      <c r="L4499" s="699" t="s">
        <v>35</v>
      </c>
      <c r="N4499" s="26"/>
      <c r="O4499" s="2"/>
      <c r="P4499" s="27"/>
      <c r="Q4499" s="26"/>
      <c r="R4499" s="28"/>
    </row>
    <row r="4500" spans="1:18" ht="30" customHeight="1" x14ac:dyDescent="0.45">
      <c r="A4500" s="531" t="s">
        <v>358</v>
      </c>
      <c r="B4500" s="1052" t="s">
        <v>1047</v>
      </c>
      <c r="C4500" s="1052"/>
      <c r="D4500" s="1052"/>
      <c r="E4500" s="754">
        <f>0.15*E4499</f>
        <v>1.0185</v>
      </c>
      <c r="F4500" s="701" t="s">
        <v>35</v>
      </c>
      <c r="G4500" s="727"/>
      <c r="H4500" s="728"/>
      <c r="I4500" s="702">
        <v>1.1200000000000001</v>
      </c>
      <c r="J4500" s="702"/>
      <c r="K4500" s="707">
        <f>+E4500*I4500</f>
        <v>1.14072</v>
      </c>
      <c r="L4500" s="699" t="s">
        <v>35</v>
      </c>
      <c r="N4500" s="26"/>
      <c r="O4500" s="2"/>
      <c r="P4500" s="27"/>
      <c r="Q4500" s="26"/>
      <c r="R4500" s="28"/>
    </row>
    <row r="4501" spans="1:18" ht="30" customHeight="1" x14ac:dyDescent="0.45">
      <c r="A4501" s="531" t="s">
        <v>358</v>
      </c>
      <c r="B4501" s="1052" t="s">
        <v>1048</v>
      </c>
      <c r="C4501" s="1052"/>
      <c r="D4501" s="1052"/>
      <c r="E4501" s="754">
        <f xml:space="preserve"> 0.72+((1.42+2.11)/2)</f>
        <v>2.4849999999999999</v>
      </c>
      <c r="F4501" s="701" t="s">
        <v>35</v>
      </c>
      <c r="G4501" s="727"/>
      <c r="H4501" s="728"/>
      <c r="I4501" s="702">
        <v>1.1200000000000001</v>
      </c>
      <c r="J4501" s="702"/>
      <c r="K4501" s="707">
        <f>+E4501*I4501</f>
        <v>2.7832000000000003</v>
      </c>
      <c r="L4501" s="699" t="s">
        <v>35</v>
      </c>
      <c r="N4501" s="26"/>
      <c r="O4501" s="2"/>
      <c r="P4501" s="27"/>
      <c r="Q4501" s="26"/>
      <c r="R4501" s="28"/>
    </row>
    <row r="4502" spans="1:18" ht="30" customHeight="1" x14ac:dyDescent="0.45">
      <c r="A4502" s="47" t="s">
        <v>470</v>
      </c>
      <c r="B4502" s="1018" t="s">
        <v>1317</v>
      </c>
      <c r="C4502" s="1019"/>
      <c r="D4502" s="1020"/>
      <c r="E4502" s="221">
        <v>162000</v>
      </c>
      <c r="F4502" s="47" t="s">
        <v>88</v>
      </c>
      <c r="G4502" s="500">
        <f>+H4496</f>
        <v>2078.1996834226702</v>
      </c>
      <c r="H4502" s="179" t="s">
        <v>1157</v>
      </c>
      <c r="I4502" s="47">
        <v>1.26</v>
      </c>
      <c r="J4502" s="58"/>
      <c r="K4502" s="221">
        <f>+E4502/G4502*I4502</f>
        <v>98.2196280887824</v>
      </c>
      <c r="L4502" s="47" t="s">
        <v>35</v>
      </c>
      <c r="M4502" s="25"/>
      <c r="O4502" s="27"/>
      <c r="P4502" s="26"/>
      <c r="Q4502" s="28"/>
    </row>
    <row r="4503" spans="1:18" ht="30" customHeight="1" x14ac:dyDescent="0.45">
      <c r="A4503" s="47" t="s">
        <v>470</v>
      </c>
      <c r="B4503" s="1018" t="s">
        <v>2440</v>
      </c>
      <c r="C4503" s="1019"/>
      <c r="D4503" s="1020"/>
      <c r="E4503" s="221">
        <f>+(281+307)/2</f>
        <v>294</v>
      </c>
      <c r="F4503" s="222" t="s">
        <v>113</v>
      </c>
      <c r="G4503" s="213">
        <f>75/H4496</f>
        <v>3.6088928604049969E-2</v>
      </c>
      <c r="H4503" s="179" t="s">
        <v>1319</v>
      </c>
      <c r="I4503" s="47">
        <v>1.26</v>
      </c>
      <c r="J4503" s="58"/>
      <c r="K4503" s="221">
        <f>+E4503*G4503*I4503</f>
        <v>13.36878271208427</v>
      </c>
      <c r="L4503" s="47" t="s">
        <v>35</v>
      </c>
      <c r="M4503" s="25"/>
      <c r="O4503" s="27"/>
      <c r="P4503" s="26"/>
      <c r="Q4503" s="28"/>
    </row>
    <row r="4504" spans="1:18" ht="30" customHeight="1" x14ac:dyDescent="0.45">
      <c r="A4504" s="47" t="s">
        <v>470</v>
      </c>
      <c r="B4504" s="1018" t="s">
        <v>472</v>
      </c>
      <c r="C4504" s="1019"/>
      <c r="D4504" s="1020"/>
      <c r="E4504" s="221">
        <f>+(27.25+55)/2</f>
        <v>41.125</v>
      </c>
      <c r="F4504" s="222" t="s">
        <v>113</v>
      </c>
      <c r="G4504" s="213">
        <f>150/H4496</f>
        <v>7.2177857208099938E-2</v>
      </c>
      <c r="H4504" s="179" t="s">
        <v>1319</v>
      </c>
      <c r="I4504" s="47">
        <v>1.26</v>
      </c>
      <c r="J4504" s="58"/>
      <c r="K4504" s="221">
        <f>+E4504*G4504*I4504</f>
        <v>3.7400761158807185</v>
      </c>
      <c r="L4504" s="47" t="s">
        <v>35</v>
      </c>
      <c r="M4504" s="25"/>
      <c r="O4504" s="27"/>
      <c r="P4504" s="26"/>
      <c r="Q4504" s="28"/>
    </row>
    <row r="4505" spans="1:18" ht="30" customHeight="1" x14ac:dyDescent="0.45">
      <c r="A4505" s="47" t="s">
        <v>1050</v>
      </c>
      <c r="B4505" s="1018" t="s">
        <v>2441</v>
      </c>
      <c r="C4505" s="1019"/>
      <c r="D4505" s="1020"/>
      <c r="E4505" s="221">
        <f>(24+37.25)/2</f>
        <v>30.625</v>
      </c>
      <c r="F4505" s="222" t="s">
        <v>35</v>
      </c>
      <c r="G4505" s="42">
        <v>120</v>
      </c>
      <c r="H4505" s="206" t="s">
        <v>479</v>
      </c>
      <c r="I4505" s="47">
        <v>1.22</v>
      </c>
      <c r="J4505" s="58"/>
      <c r="K4505" s="378">
        <f>+E4505*G4505/H4496*I4505</f>
        <v>2.1573961519501075</v>
      </c>
      <c r="L4505" s="47" t="s">
        <v>35</v>
      </c>
      <c r="O4505" s="27"/>
      <c r="P4505" s="26"/>
      <c r="Q4505" s="28"/>
    </row>
    <row r="4506" spans="1:18" ht="30" customHeight="1" x14ac:dyDescent="0.45">
      <c r="A4506" s="47" t="s">
        <v>1050</v>
      </c>
      <c r="B4506" s="1018" t="s">
        <v>2442</v>
      </c>
      <c r="C4506" s="1019"/>
      <c r="D4506" s="1020"/>
      <c r="E4506" s="221">
        <f>(2020+2850)/2</f>
        <v>2435</v>
      </c>
      <c r="F4506" s="222" t="s">
        <v>88</v>
      </c>
      <c r="G4506" s="42"/>
      <c r="H4506" s="206"/>
      <c r="I4506" s="47">
        <v>1.22</v>
      </c>
      <c r="J4506" s="47"/>
      <c r="K4506" s="378">
        <f>+E4506/H4496*I4506</f>
        <v>1.4294584027206831</v>
      </c>
      <c r="L4506" s="47" t="s">
        <v>35</v>
      </c>
      <c r="M4506" s="25"/>
      <c r="N4506" s="26"/>
      <c r="O4506" s="2"/>
      <c r="P4506" s="27"/>
      <c r="Q4506" s="26"/>
      <c r="R4506" s="28"/>
    </row>
    <row r="4507" spans="1:18" ht="30" customHeight="1" x14ac:dyDescent="0.45">
      <c r="A4507" s="47" t="s">
        <v>1055</v>
      </c>
      <c r="B4507" s="1018" t="s">
        <v>1203</v>
      </c>
      <c r="C4507" s="1019"/>
      <c r="D4507" s="1020"/>
      <c r="E4507" s="221">
        <v>72.38</v>
      </c>
      <c r="F4507" s="222" t="s">
        <v>113</v>
      </c>
      <c r="G4507" s="42">
        <f>10</f>
        <v>10</v>
      </c>
      <c r="H4507" s="206" t="s">
        <v>1204</v>
      </c>
      <c r="I4507" s="47">
        <v>1.1200000000000001</v>
      </c>
      <c r="J4507" s="47"/>
      <c r="K4507" s="378">
        <f>+E4507*G4507/H4496*I4507</f>
        <v>0.39007608675259647</v>
      </c>
      <c r="L4507" s="47" t="s">
        <v>35</v>
      </c>
      <c r="M4507" s="25"/>
      <c r="O4507" s="27"/>
      <c r="P4507" s="26"/>
      <c r="Q4507" s="28"/>
    </row>
    <row r="4508" spans="1:18" ht="30" customHeight="1" x14ac:dyDescent="0.45">
      <c r="A4508" s="531"/>
      <c r="B4508" s="538"/>
      <c r="C4508" s="538"/>
      <c r="D4508" s="538"/>
      <c r="E4508" s="538"/>
      <c r="F4508" s="728"/>
      <c r="G4508" s="702"/>
      <c r="H4508" s="702"/>
      <c r="I4508" s="702"/>
      <c r="J4508" s="702" t="s">
        <v>38</v>
      </c>
      <c r="K4508" s="698">
        <f>SUM(K4498:K4507)</f>
        <v>218.30200417319438</v>
      </c>
      <c r="L4508" s="702" t="s">
        <v>35</v>
      </c>
      <c r="N4508" s="26"/>
      <c r="O4508" s="2"/>
      <c r="P4508" s="27"/>
      <c r="Q4508" s="26"/>
      <c r="R4508" s="28"/>
    </row>
    <row r="4509" spans="1:18" ht="30" customHeight="1" x14ac:dyDescent="0.45">
      <c r="A4509" s="531"/>
      <c r="B4509" s="538"/>
      <c r="C4509" s="538"/>
      <c r="D4509" s="538"/>
      <c r="E4509" s="538"/>
      <c r="F4509" s="1047" t="s">
        <v>285</v>
      </c>
      <c r="G4509" s="1013" t="s">
        <v>286</v>
      </c>
      <c r="H4509" s="1013"/>
      <c r="I4509" s="1013"/>
      <c r="J4509" s="1013"/>
      <c r="K4509" s="278">
        <v>1.06</v>
      </c>
      <c r="L4509" s="47"/>
      <c r="N4509" s="26"/>
      <c r="O4509" s="2"/>
      <c r="P4509" s="27"/>
      <c r="Q4509" s="26"/>
      <c r="R4509" s="28"/>
    </row>
    <row r="4510" spans="1:18" ht="30" customHeight="1" x14ac:dyDescent="0.45">
      <c r="A4510" s="531"/>
      <c r="B4510" s="547"/>
      <c r="C4510" s="547"/>
      <c r="D4510" s="547"/>
      <c r="E4510" s="753"/>
      <c r="F4510" s="1048"/>
      <c r="G4510" s="1014" t="s">
        <v>287</v>
      </c>
      <c r="H4510" s="1014"/>
      <c r="I4510" s="1014"/>
      <c r="J4510" s="1014"/>
      <c r="K4510" s="278">
        <v>1.05</v>
      </c>
      <c r="L4510" s="47"/>
      <c r="N4510" s="26"/>
      <c r="O4510" s="2"/>
      <c r="P4510" s="27"/>
      <c r="Q4510" s="26"/>
      <c r="R4510" s="28"/>
    </row>
    <row r="4511" spans="1:18" ht="30" customHeight="1" x14ac:dyDescent="0.45">
      <c r="A4511" s="699"/>
      <c r="B4511" s="699"/>
      <c r="C4511" s="875"/>
      <c r="D4511" s="875"/>
      <c r="E4511" s="875"/>
      <c r="F4511" s="706"/>
      <c r="G4511" s="706"/>
      <c r="H4511" s="706"/>
      <c r="I4511" s="706"/>
      <c r="J4511" s="702" t="s">
        <v>39</v>
      </c>
      <c r="K4511" s="707">
        <f>+K4508*K4509/K4510</f>
        <v>220.38107087960574</v>
      </c>
      <c r="L4511" s="702" t="s">
        <v>35</v>
      </c>
      <c r="N4511" s="26"/>
      <c r="O4511" s="2"/>
      <c r="P4511" s="27"/>
      <c r="Q4511" s="26"/>
      <c r="R4511" s="28"/>
    </row>
    <row r="4512" spans="1:18" ht="30" customHeight="1" thickBot="1" x14ac:dyDescent="0.5">
      <c r="A4512" s="702"/>
      <c r="B4512" s="702"/>
      <c r="C4512" s="706"/>
      <c r="D4512" s="706"/>
      <c r="E4512" s="706"/>
      <c r="F4512" s="706"/>
      <c r="G4512" s="1044" t="s">
        <v>288</v>
      </c>
      <c r="H4512" s="1045"/>
      <c r="I4512" s="1046"/>
      <c r="J4512" s="213">
        <f>VLOOKUP(B4496,'[1]Mil Cost Premiums for PUCs'!$A$4:$R$278,18,FALSE)</f>
        <v>1.1323590634842093</v>
      </c>
      <c r="K4512" s="707">
        <f>+K4511*J4512</f>
        <v>249.55050303087751</v>
      </c>
      <c r="L4512" s="702" t="s">
        <v>35</v>
      </c>
      <c r="M4512" s="41"/>
      <c r="N4512" s="26"/>
      <c r="O4512" s="2"/>
      <c r="P4512" s="27"/>
      <c r="Q4512" s="26"/>
      <c r="R4512" s="28"/>
    </row>
    <row r="4513" spans="1:25" ht="30" customHeight="1" thickBot="1" x14ac:dyDescent="0.5">
      <c r="A4513" s="999"/>
      <c r="B4513" s="1000"/>
      <c r="C4513" s="1000"/>
      <c r="D4513" s="1000"/>
      <c r="E4513" s="1000"/>
      <c r="F4513" s="1000"/>
      <c r="G4513" s="1000"/>
      <c r="H4513" s="1000"/>
      <c r="I4513" s="1000"/>
      <c r="J4513" s="1000"/>
      <c r="K4513" s="1000"/>
      <c r="L4513" s="1001"/>
      <c r="N4513" s="26"/>
      <c r="X4513" s="3"/>
    </row>
    <row r="4514" spans="1:25" ht="30" customHeight="1" x14ac:dyDescent="0.45">
      <c r="A4514" s="9" t="s">
        <v>4</v>
      </c>
      <c r="B4514" s="10">
        <v>8921</v>
      </c>
      <c r="C4514" s="983" t="s">
        <v>2443</v>
      </c>
      <c r="D4514" s="984"/>
      <c r="E4514" s="13" t="s">
        <v>7</v>
      </c>
      <c r="F4514" s="14" t="s">
        <v>88</v>
      </c>
      <c r="G4514" s="161" t="s">
        <v>148</v>
      </c>
      <c r="H4514" s="163">
        <v>1</v>
      </c>
      <c r="I4514" s="13" t="s">
        <v>9</v>
      </c>
      <c r="J4514" s="985" t="s">
        <v>575</v>
      </c>
      <c r="K4514" s="985"/>
      <c r="L4514" s="986"/>
      <c r="N4514" s="26"/>
      <c r="X4514" s="3"/>
      <c r="Y4514" s="3"/>
    </row>
    <row r="4515" spans="1:25" ht="30" customHeight="1" x14ac:dyDescent="0.45">
      <c r="A4515" s="85" t="s">
        <v>277</v>
      </c>
      <c r="B4515" s="987" t="s">
        <v>293</v>
      </c>
      <c r="C4515" s="988"/>
      <c r="D4515" s="989"/>
      <c r="E4515" s="220" t="s">
        <v>13</v>
      </c>
      <c r="F4515" s="220" t="s">
        <v>14</v>
      </c>
      <c r="G4515" s="990" t="s">
        <v>15</v>
      </c>
      <c r="H4515" s="991"/>
      <c r="I4515" s="19" t="s">
        <v>278</v>
      </c>
      <c r="J4515" s="19"/>
      <c r="K4515" s="992" t="s">
        <v>17</v>
      </c>
      <c r="L4515" s="993"/>
      <c r="N4515" s="26"/>
      <c r="X4515" s="3"/>
      <c r="Y4515" s="3"/>
    </row>
    <row r="4516" spans="1:25" ht="30" customHeight="1" x14ac:dyDescent="0.45">
      <c r="A4516" s="47" t="s">
        <v>294</v>
      </c>
      <c r="B4516" s="1018" t="s">
        <v>2444</v>
      </c>
      <c r="C4516" s="1019"/>
      <c r="D4516" s="1020"/>
      <c r="E4516" s="378">
        <v>95</v>
      </c>
      <c r="F4516" s="56" t="s">
        <v>35</v>
      </c>
      <c r="G4516" s="457">
        <v>1105</v>
      </c>
      <c r="H4516" s="349" t="s">
        <v>296</v>
      </c>
      <c r="I4516" s="47">
        <v>1.05</v>
      </c>
      <c r="J4516" s="47"/>
      <c r="K4516" s="378">
        <f>+E4516*G4516*I4516</f>
        <v>110223.75</v>
      </c>
      <c r="L4516" s="56" t="s">
        <v>88</v>
      </c>
      <c r="Y4516" s="3"/>
    </row>
    <row r="4517" spans="1:25" s="3" customFormat="1" ht="30" customHeight="1" x14ac:dyDescent="0.45">
      <c r="A4517" s="642" t="s">
        <v>1121</v>
      </c>
      <c r="B4517" s="1018" t="s">
        <v>2445</v>
      </c>
      <c r="C4517" s="1019"/>
      <c r="D4517" s="1020"/>
      <c r="E4517" s="378">
        <v>23.55</v>
      </c>
      <c r="F4517" s="56" t="s">
        <v>35</v>
      </c>
      <c r="G4517" s="457">
        <v>1105</v>
      </c>
      <c r="H4517" s="349" t="s">
        <v>296</v>
      </c>
      <c r="I4517" s="47">
        <v>1.05</v>
      </c>
      <c r="J4517" s="47"/>
      <c r="K4517" s="375">
        <f>+E4517*G4517*I4517</f>
        <v>27323.887500000001</v>
      </c>
      <c r="L4517" s="56" t="s">
        <v>88</v>
      </c>
      <c r="M4517" s="1"/>
      <c r="N4517" s="2"/>
      <c r="P4517" s="2"/>
      <c r="Q4517" s="2"/>
      <c r="R4517" s="2"/>
      <c r="S4517" s="2"/>
      <c r="T4517" s="2"/>
      <c r="U4517" s="2"/>
      <c r="V4517" s="2"/>
      <c r="W4517" s="2"/>
      <c r="X4517" s="2"/>
      <c r="Y4517" s="2"/>
    </row>
    <row r="4518" spans="1:25" s="3" customFormat="1" ht="30" customHeight="1" x14ac:dyDescent="0.45">
      <c r="A4518" s="642" t="s">
        <v>1543</v>
      </c>
      <c r="B4518" s="1018" t="s">
        <v>2446</v>
      </c>
      <c r="C4518" s="1019"/>
      <c r="D4518" s="1020"/>
      <c r="E4518" s="378">
        <f>+(10000+11900)/2</f>
        <v>10950</v>
      </c>
      <c r="F4518" s="56" t="s">
        <v>88</v>
      </c>
      <c r="G4518" s="660"/>
      <c r="H4518" s="349"/>
      <c r="I4518" s="365">
        <v>1.06</v>
      </c>
      <c r="J4518" s="47"/>
      <c r="K4518" s="375">
        <f>+E4518*I4518</f>
        <v>11607</v>
      </c>
      <c r="L4518" s="56" t="s">
        <v>88</v>
      </c>
      <c r="M4518" s="1"/>
      <c r="N4518" s="2"/>
      <c r="P4518" s="2"/>
      <c r="Q4518" s="2"/>
      <c r="R4518" s="2"/>
      <c r="S4518" s="2"/>
      <c r="T4518" s="2"/>
      <c r="U4518" s="2"/>
      <c r="V4518" s="2"/>
      <c r="W4518" s="2"/>
      <c r="X4518" s="2"/>
      <c r="Y4518" s="2"/>
    </row>
    <row r="4519" spans="1:25" s="3" customFormat="1" ht="30" customHeight="1" x14ac:dyDescent="0.45">
      <c r="A4519" s="642" t="s">
        <v>350</v>
      </c>
      <c r="B4519" s="1018" t="s">
        <v>2447</v>
      </c>
      <c r="C4519" s="1019"/>
      <c r="D4519" s="1020"/>
      <c r="E4519" s="378">
        <v>125000</v>
      </c>
      <c r="F4519" s="56" t="s">
        <v>88</v>
      </c>
      <c r="G4519" s="660"/>
      <c r="H4519" s="349"/>
      <c r="I4519" s="365">
        <v>1</v>
      </c>
      <c r="J4519" s="47"/>
      <c r="K4519" s="375">
        <f>+E4519*I4519</f>
        <v>125000</v>
      </c>
      <c r="L4519" s="56" t="s">
        <v>88</v>
      </c>
      <c r="M4519" s="1"/>
      <c r="N4519" s="2"/>
      <c r="P4519" s="2"/>
      <c r="Q4519" s="2"/>
      <c r="R4519" s="2"/>
      <c r="S4519" s="2"/>
      <c r="T4519" s="2"/>
      <c r="U4519" s="2"/>
      <c r="V4519" s="2"/>
      <c r="W4519" s="2"/>
      <c r="X4519" s="2"/>
      <c r="Y4519" s="2"/>
    </row>
    <row r="4520" spans="1:25" ht="30" customHeight="1" x14ac:dyDescent="0.45">
      <c r="A4520" s="426"/>
      <c r="B4520" s="1008" t="s">
        <v>2448</v>
      </c>
      <c r="C4520" s="1009"/>
      <c r="D4520" s="1010"/>
      <c r="E4520" s="221"/>
      <c r="F4520" s="47"/>
      <c r="G4520" s="47"/>
      <c r="H4520" s="47"/>
      <c r="I4520" s="47"/>
      <c r="J4520" s="47" t="s">
        <v>360</v>
      </c>
      <c r="K4520" s="221">
        <f>SUM(K4516:K4519)</f>
        <v>274154.63750000001</v>
      </c>
      <c r="L4520" s="47" t="s">
        <v>88</v>
      </c>
    </row>
    <row r="4521" spans="1:25" ht="30" customHeight="1" x14ac:dyDescent="0.45">
      <c r="A4521" s="47"/>
      <c r="B4521" s="224"/>
      <c r="C4521" s="224"/>
      <c r="D4521" s="224"/>
      <c r="E4521" s="221"/>
      <c r="F4521" s="1011" t="s">
        <v>285</v>
      </c>
      <c r="G4521" s="1013" t="s">
        <v>286</v>
      </c>
      <c r="H4521" s="1013"/>
      <c r="I4521" s="1013"/>
      <c r="J4521" s="1013"/>
      <c r="K4521" s="278">
        <v>1.07</v>
      </c>
      <c r="L4521" s="47"/>
    </row>
    <row r="4522" spans="1:25" ht="30" customHeight="1" x14ac:dyDescent="0.45">
      <c r="A4522" s="47"/>
      <c r="B4522" s="224"/>
      <c r="C4522" s="224"/>
      <c r="D4522" s="224"/>
      <c r="E4522" s="221"/>
      <c r="F4522" s="1012"/>
      <c r="G4522" s="1014" t="s">
        <v>580</v>
      </c>
      <c r="H4522" s="1014"/>
      <c r="I4522" s="1014"/>
      <c r="J4522" s="1014"/>
      <c r="K4522" s="278">
        <v>1.08</v>
      </c>
      <c r="L4522" s="47"/>
    </row>
    <row r="4523" spans="1:25" ht="30" customHeight="1" x14ac:dyDescent="0.45">
      <c r="A4523" s="47"/>
      <c r="B4523" s="47"/>
      <c r="C4523" s="58"/>
      <c r="D4523" s="58"/>
      <c r="E4523" s="58"/>
      <c r="F4523" s="58"/>
      <c r="G4523" s="58"/>
      <c r="H4523" s="58"/>
      <c r="I4523" s="58"/>
      <c r="J4523" s="47" t="s">
        <v>39</v>
      </c>
      <c r="K4523" s="216">
        <f>+K4520*K4521/K4522</f>
        <v>271616.16863425926</v>
      </c>
      <c r="L4523" s="47" t="s">
        <v>88</v>
      </c>
    </row>
    <row r="4524" spans="1:25" ht="30" customHeight="1" x14ac:dyDescent="0.45">
      <c r="A4524" s="47"/>
      <c r="B4524" s="47"/>
      <c r="C4524" s="58"/>
      <c r="D4524" s="58"/>
      <c r="E4524" s="58"/>
      <c r="F4524" s="58"/>
      <c r="G4524" s="1021" t="s">
        <v>288</v>
      </c>
      <c r="H4524" s="1022"/>
      <c r="I4524" s="1023"/>
      <c r="J4524" s="213">
        <f>VLOOKUP(B4514,'[1]Mil Cost Premiums for PUCs'!$A$4:$R$278,18,FALSE)</f>
        <v>1.1199953840399997</v>
      </c>
      <c r="K4524" s="216">
        <f>+K4523*J4524</f>
        <v>304208.85510100052</v>
      </c>
      <c r="L4524" s="47" t="s">
        <v>88</v>
      </c>
    </row>
    <row r="4525" spans="1:25" ht="30" customHeight="1" x14ac:dyDescent="0.45">
      <c r="A4525" s="541"/>
      <c r="B4525" s="541"/>
      <c r="C4525" s="542"/>
      <c r="D4525" s="542"/>
      <c r="E4525" s="542"/>
      <c r="F4525" s="1024" t="s">
        <v>581</v>
      </c>
      <c r="G4525" s="1024"/>
      <c r="H4525" s="1024"/>
      <c r="I4525" s="1024"/>
      <c r="J4525" s="756">
        <v>1.0833999999999999</v>
      </c>
      <c r="K4525" s="863">
        <f>K4524*J4525</f>
        <v>329579.87361642392</v>
      </c>
      <c r="L4525" s="47" t="s">
        <v>88</v>
      </c>
    </row>
    <row r="4526" spans="1:25" ht="30" customHeight="1" thickBot="1" x14ac:dyDescent="0.5">
      <c r="A4526" s="225"/>
      <c r="B4526" s="225"/>
      <c r="C4526" s="150"/>
      <c r="D4526" s="150"/>
      <c r="E4526" s="150"/>
      <c r="F4526" s="150"/>
      <c r="G4526" s="1025" t="s">
        <v>299</v>
      </c>
      <c r="H4526" s="1026"/>
      <c r="I4526" s="1027"/>
      <c r="J4526" s="226">
        <v>1.1214</v>
      </c>
      <c r="K4526" s="227">
        <f>+K4525*J4526</f>
        <v>369590.87027345778</v>
      </c>
      <c r="L4526" s="47" t="s">
        <v>88</v>
      </c>
      <c r="M4526" s="25"/>
    </row>
    <row r="4527" spans="1:25" ht="30" customHeight="1" thickBot="1" x14ac:dyDescent="0.5">
      <c r="A4527" s="999"/>
      <c r="B4527" s="1000"/>
      <c r="C4527" s="1000"/>
      <c r="D4527" s="1000"/>
      <c r="E4527" s="1000"/>
      <c r="F4527" s="1000"/>
      <c r="G4527" s="1000"/>
      <c r="H4527" s="1000"/>
      <c r="I4527" s="1000"/>
      <c r="J4527" s="1000"/>
      <c r="K4527" s="1000"/>
      <c r="L4527" s="1001"/>
    </row>
    <row r="4528" spans="1:25" ht="30" customHeight="1" x14ac:dyDescent="0.45">
      <c r="A4528" s="9" t="s">
        <v>4</v>
      </c>
      <c r="B4528" s="10">
        <v>8922</v>
      </c>
      <c r="C4528" s="983" t="s">
        <v>2449</v>
      </c>
      <c r="D4528" s="984"/>
      <c r="E4528" s="13" t="s">
        <v>7</v>
      </c>
      <c r="F4528" s="14" t="s">
        <v>88</v>
      </c>
      <c r="G4528" s="161" t="s">
        <v>148</v>
      </c>
      <c r="H4528" s="163">
        <v>1</v>
      </c>
      <c r="I4528" s="13" t="s">
        <v>9</v>
      </c>
      <c r="J4528" s="985" t="s">
        <v>292</v>
      </c>
      <c r="K4528" s="985"/>
      <c r="L4528" s="986"/>
      <c r="N4528" s="26"/>
      <c r="O4528" s="2"/>
      <c r="P4528" s="27"/>
      <c r="Q4528" s="26"/>
      <c r="R4528" s="28"/>
    </row>
    <row r="4529" spans="1:13" ht="30" customHeight="1" x14ac:dyDescent="0.45">
      <c r="A4529" s="85" t="s">
        <v>277</v>
      </c>
      <c r="B4529" s="987" t="s">
        <v>293</v>
      </c>
      <c r="C4529" s="988"/>
      <c r="D4529" s="989"/>
      <c r="E4529" s="220" t="s">
        <v>13</v>
      </c>
      <c r="F4529" s="220" t="s">
        <v>14</v>
      </c>
      <c r="G4529" s="990" t="s">
        <v>15</v>
      </c>
      <c r="H4529" s="991"/>
      <c r="I4529" s="19" t="s">
        <v>278</v>
      </c>
      <c r="J4529" s="19"/>
      <c r="K4529" s="992" t="s">
        <v>17</v>
      </c>
      <c r="L4529" s="993"/>
    </row>
    <row r="4530" spans="1:13" ht="30" customHeight="1" x14ac:dyDescent="0.45">
      <c r="A4530" s="47" t="s">
        <v>350</v>
      </c>
      <c r="B4530" s="1018" t="s">
        <v>2450</v>
      </c>
      <c r="C4530" s="1019"/>
      <c r="D4530" s="1020"/>
      <c r="E4530" s="378">
        <v>85750</v>
      </c>
      <c r="F4530" s="56"/>
      <c r="G4530" s="813"/>
      <c r="H4530" s="349"/>
      <c r="I4530" s="365">
        <v>1.19</v>
      </c>
      <c r="J4530" s="56"/>
      <c r="K4530" s="216">
        <f>+E4530*I4530</f>
        <v>102042.5</v>
      </c>
      <c r="L4530" s="56" t="s">
        <v>88</v>
      </c>
    </row>
    <row r="4531" spans="1:13" ht="30" customHeight="1" x14ac:dyDescent="0.45">
      <c r="A4531" s="47"/>
      <c r="B4531" s="224"/>
      <c r="C4531" s="224"/>
      <c r="D4531" s="224"/>
      <c r="E4531" s="221"/>
      <c r="F4531" s="1011" t="s">
        <v>285</v>
      </c>
      <c r="G4531" s="1013" t="s">
        <v>286</v>
      </c>
      <c r="H4531" s="1013"/>
      <c r="I4531" s="1013"/>
      <c r="J4531" s="1013"/>
      <c r="K4531" s="278">
        <v>1.06</v>
      </c>
      <c r="L4531" s="47"/>
    </row>
    <row r="4532" spans="1:13" ht="30" customHeight="1" x14ac:dyDescent="0.45">
      <c r="A4532" s="47"/>
      <c r="B4532" s="224"/>
      <c r="C4532" s="224"/>
      <c r="D4532" s="224"/>
      <c r="E4532" s="221"/>
      <c r="F4532" s="1012"/>
      <c r="G4532" s="1014" t="s">
        <v>298</v>
      </c>
      <c r="H4532" s="1014"/>
      <c r="I4532" s="1014"/>
      <c r="J4532" s="1014"/>
      <c r="K4532" s="278">
        <v>1.06</v>
      </c>
      <c r="L4532" s="47"/>
    </row>
    <row r="4533" spans="1:13" ht="30" customHeight="1" x14ac:dyDescent="0.45">
      <c r="A4533" s="426"/>
      <c r="B4533" s="42"/>
      <c r="C4533" s="515"/>
      <c r="D4533" s="524"/>
      <c r="E4533" s="221"/>
      <c r="F4533" s="56"/>
      <c r="G4533" s="222"/>
      <c r="H4533" s="223"/>
      <c r="I4533" s="47"/>
      <c r="J4533" s="47" t="s">
        <v>39</v>
      </c>
      <c r="K4533" s="216">
        <f>+K4530*K4531/K4532</f>
        <v>102042.5</v>
      </c>
      <c r="L4533" s="47" t="s">
        <v>88</v>
      </c>
    </row>
    <row r="4534" spans="1:13" ht="30" customHeight="1" x14ac:dyDescent="0.45">
      <c r="A4534" s="47"/>
      <c r="B4534" s="47"/>
      <c r="C4534" s="58"/>
      <c r="D4534" s="58"/>
      <c r="E4534" s="58"/>
      <c r="F4534" s="58"/>
      <c r="G4534" s="1021" t="s">
        <v>288</v>
      </c>
      <c r="H4534" s="1022"/>
      <c r="I4534" s="1023"/>
      <c r="J4534" s="213">
        <f>VLOOKUP(B4528,'[1]Mil Cost Premiums for PUCs'!$A$4:$R$278,18,FALSE)</f>
        <v>1.0209999999999999</v>
      </c>
      <c r="K4534" s="216">
        <f>+K4533*J4534</f>
        <v>104185.39249999999</v>
      </c>
      <c r="L4534" s="47" t="s">
        <v>88</v>
      </c>
    </row>
    <row r="4535" spans="1:13" ht="30" customHeight="1" thickBot="1" x14ac:dyDescent="0.5">
      <c r="A4535" s="225"/>
      <c r="B4535" s="225"/>
      <c r="C4535" s="150"/>
      <c r="D4535" s="150"/>
      <c r="E4535" s="150"/>
      <c r="F4535" s="150"/>
      <c r="G4535" s="1025" t="s">
        <v>299</v>
      </c>
      <c r="H4535" s="1026"/>
      <c r="I4535" s="1027"/>
      <c r="J4535" s="226">
        <v>1.1214</v>
      </c>
      <c r="K4535" s="227">
        <f>+K4534*J4535</f>
        <v>116833.49914949998</v>
      </c>
      <c r="L4535" s="47" t="s">
        <v>88</v>
      </c>
      <c r="M4535" s="25"/>
    </row>
    <row r="4536" spans="1:13" ht="30" customHeight="1" thickBot="1" x14ac:dyDescent="0.5">
      <c r="A4536" s="999"/>
      <c r="B4536" s="1000"/>
      <c r="C4536" s="1000"/>
      <c r="D4536" s="1000"/>
      <c r="E4536" s="1000"/>
      <c r="F4536" s="1000"/>
      <c r="G4536" s="1000"/>
      <c r="H4536" s="1000"/>
      <c r="I4536" s="1000"/>
      <c r="J4536" s="1000"/>
      <c r="K4536" s="1000"/>
      <c r="L4536" s="1001"/>
    </row>
    <row r="4537" spans="1:13" ht="30" customHeight="1" x14ac:dyDescent="0.45">
      <c r="A4537" s="9" t="s">
        <v>4</v>
      </c>
      <c r="B4537" s="10">
        <v>8923</v>
      </c>
      <c r="C4537" s="983" t="s">
        <v>2451</v>
      </c>
      <c r="D4537" s="984"/>
      <c r="E4537" s="13" t="s">
        <v>7</v>
      </c>
      <c r="F4537" s="14" t="s">
        <v>88</v>
      </c>
      <c r="G4537" s="161" t="s">
        <v>148</v>
      </c>
      <c r="H4537" s="163">
        <v>1</v>
      </c>
      <c r="I4537" s="13" t="s">
        <v>9</v>
      </c>
      <c r="J4537" s="985" t="s">
        <v>292</v>
      </c>
      <c r="K4537" s="985"/>
      <c r="L4537" s="986"/>
    </row>
    <row r="4538" spans="1:13" ht="30" customHeight="1" x14ac:dyDescent="0.45">
      <c r="A4538" s="85" t="s">
        <v>277</v>
      </c>
      <c r="B4538" s="987" t="s">
        <v>293</v>
      </c>
      <c r="C4538" s="988"/>
      <c r="D4538" s="989"/>
      <c r="E4538" s="220" t="s">
        <v>13</v>
      </c>
      <c r="F4538" s="220" t="s">
        <v>14</v>
      </c>
      <c r="G4538" s="990" t="s">
        <v>15</v>
      </c>
      <c r="H4538" s="991"/>
      <c r="I4538" s="19" t="s">
        <v>278</v>
      </c>
      <c r="J4538" s="19"/>
      <c r="K4538" s="992" t="s">
        <v>17</v>
      </c>
      <c r="L4538" s="993"/>
    </row>
    <row r="4539" spans="1:13" ht="30" customHeight="1" x14ac:dyDescent="0.45">
      <c r="A4539" s="47" t="s">
        <v>2337</v>
      </c>
      <c r="B4539" s="1018" t="s">
        <v>2452</v>
      </c>
      <c r="C4539" s="1019"/>
      <c r="D4539" s="1020"/>
      <c r="E4539" s="378">
        <v>60000</v>
      </c>
      <c r="F4539" s="56" t="s">
        <v>88</v>
      </c>
      <c r="G4539" s="813"/>
      <c r="H4539" s="349"/>
      <c r="I4539" s="47">
        <v>1.17</v>
      </c>
      <c r="J4539" s="56"/>
      <c r="K4539" s="216">
        <f>+E4539*I4539</f>
        <v>70200</v>
      </c>
      <c r="L4539" s="56" t="s">
        <v>88</v>
      </c>
    </row>
    <row r="4540" spans="1:13" ht="30" customHeight="1" x14ac:dyDescent="0.45">
      <c r="A4540" s="47"/>
      <c r="B4540" s="224"/>
      <c r="C4540" s="224"/>
      <c r="D4540" s="224"/>
      <c r="E4540" s="221"/>
      <c r="F4540" s="1011" t="s">
        <v>285</v>
      </c>
      <c r="G4540" s="1013" t="s">
        <v>286</v>
      </c>
      <c r="H4540" s="1013"/>
      <c r="I4540" s="1013"/>
      <c r="J4540" s="1013"/>
      <c r="K4540" s="278">
        <v>1.06</v>
      </c>
      <c r="L4540" s="47"/>
    </row>
    <row r="4541" spans="1:13" ht="30" customHeight="1" x14ac:dyDescent="0.45">
      <c r="A4541" s="47"/>
      <c r="B4541" s="224"/>
      <c r="C4541" s="224"/>
      <c r="D4541" s="224"/>
      <c r="E4541" s="221"/>
      <c r="F4541" s="1012"/>
      <c r="G4541" s="1014" t="s">
        <v>298</v>
      </c>
      <c r="H4541" s="1014"/>
      <c r="I4541" s="1014"/>
      <c r="J4541" s="1014"/>
      <c r="K4541" s="278">
        <v>1.06</v>
      </c>
      <c r="L4541" s="47"/>
    </row>
    <row r="4542" spans="1:13" ht="30" customHeight="1" x14ac:dyDescent="0.45">
      <c r="A4542" s="426"/>
      <c r="B4542" s="42"/>
      <c r="C4542" s="515"/>
      <c r="D4542" s="524"/>
      <c r="E4542" s="221"/>
      <c r="F4542" s="56"/>
      <c r="G4542" s="222"/>
      <c r="H4542" s="223"/>
      <c r="I4542" s="47"/>
      <c r="J4542" s="47" t="s">
        <v>39</v>
      </c>
      <c r="K4542" s="216">
        <f>+K4539*K4540/K4541</f>
        <v>70200</v>
      </c>
      <c r="L4542" s="47" t="s">
        <v>88</v>
      </c>
    </row>
    <row r="4543" spans="1:13" ht="30" customHeight="1" x14ac:dyDescent="0.45">
      <c r="A4543" s="47"/>
      <c r="B4543" s="47"/>
      <c r="C4543" s="58"/>
      <c r="D4543" s="58"/>
      <c r="E4543" s="58"/>
      <c r="F4543" s="58"/>
      <c r="G4543" s="1021" t="s">
        <v>288</v>
      </c>
      <c r="H4543" s="1022"/>
      <c r="I4543" s="1023"/>
      <c r="J4543" s="213">
        <f>VLOOKUP(B4537,'[1]Mil Cost Premiums for PUCs'!$A$4:$R$278,18,FALSE)</f>
        <v>1.0240629999999997</v>
      </c>
      <c r="K4543" s="216">
        <f>+K4542*J4543</f>
        <v>71889.222599999979</v>
      </c>
      <c r="L4543" s="47" t="s">
        <v>88</v>
      </c>
    </row>
    <row r="4544" spans="1:13" ht="30" customHeight="1" thickBot="1" x14ac:dyDescent="0.5">
      <c r="A4544" s="225"/>
      <c r="B4544" s="225"/>
      <c r="C4544" s="150"/>
      <c r="D4544" s="150"/>
      <c r="E4544" s="150"/>
      <c r="F4544" s="150"/>
      <c r="G4544" s="1025" t="s">
        <v>299</v>
      </c>
      <c r="H4544" s="1026"/>
      <c r="I4544" s="1027"/>
      <c r="J4544" s="226">
        <v>1.1214</v>
      </c>
      <c r="K4544" s="227">
        <f>+K4543*J4544</f>
        <v>80616.574223639967</v>
      </c>
      <c r="L4544" s="47" t="s">
        <v>88</v>
      </c>
      <c r="M4544" s="25"/>
    </row>
    <row r="4545" spans="1:18" ht="30" customHeight="1" thickBot="1" x14ac:dyDescent="0.5">
      <c r="A4545" s="999"/>
      <c r="B4545" s="1000"/>
      <c r="C4545" s="1000"/>
      <c r="D4545" s="1000"/>
      <c r="E4545" s="1000"/>
      <c r="F4545" s="1000"/>
      <c r="G4545" s="1000"/>
      <c r="H4545" s="1000"/>
      <c r="I4545" s="1000"/>
      <c r="J4545" s="1000"/>
      <c r="K4545" s="1000"/>
      <c r="L4545" s="1001"/>
    </row>
    <row r="4546" spans="1:18" ht="30" customHeight="1" x14ac:dyDescent="0.45">
      <c r="A4546" s="9" t="s">
        <v>4</v>
      </c>
      <c r="B4546" s="10">
        <v>8924</v>
      </c>
      <c r="C4546" s="91" t="s">
        <v>2453</v>
      </c>
      <c r="D4546" s="155"/>
      <c r="E4546" s="13" t="s">
        <v>7</v>
      </c>
      <c r="F4546" s="14" t="s">
        <v>88</v>
      </c>
      <c r="G4546" s="161" t="s">
        <v>148</v>
      </c>
      <c r="H4546" s="163">
        <v>1</v>
      </c>
      <c r="I4546" s="13" t="s">
        <v>9</v>
      </c>
      <c r="J4546" s="985" t="s">
        <v>10</v>
      </c>
      <c r="K4546" s="985"/>
      <c r="L4546" s="986"/>
    </row>
    <row r="4547" spans="1:18" ht="30" customHeight="1" x14ac:dyDescent="0.45">
      <c r="A4547" s="485" t="s">
        <v>11</v>
      </c>
      <c r="B4547" s="1005" t="s">
        <v>12</v>
      </c>
      <c r="C4547" s="1005"/>
      <c r="D4547" s="1005"/>
      <c r="E4547" s="19" t="s">
        <v>13</v>
      </c>
      <c r="F4547" s="220" t="s">
        <v>14</v>
      </c>
      <c r="G4547" s="1006" t="s">
        <v>15</v>
      </c>
      <c r="H4547" s="1006"/>
      <c r="I4547" s="1007" t="s">
        <v>16</v>
      </c>
      <c r="J4547" s="1007"/>
      <c r="K4547" s="1006" t="s">
        <v>17</v>
      </c>
      <c r="L4547" s="1043"/>
      <c r="M4547" s="25"/>
      <c r="N4547" s="26"/>
      <c r="O4547" s="2"/>
      <c r="P4547" s="27"/>
      <c r="Q4547" s="26"/>
      <c r="R4547" s="28"/>
    </row>
    <row r="4548" spans="1:18" ht="30" customHeight="1" x14ac:dyDescent="0.45">
      <c r="A4548" s="46">
        <v>83150</v>
      </c>
      <c r="B4548" s="994" t="s">
        <v>2454</v>
      </c>
      <c r="C4548" s="994"/>
      <c r="D4548" s="994"/>
      <c r="E4548" s="221">
        <v>11706.94</v>
      </c>
      <c r="F4548" s="876" t="s">
        <v>88</v>
      </c>
      <c r="G4548" s="601"/>
      <c r="H4548" s="177"/>
      <c r="I4548" s="995">
        <f>+'[1]2023 MILCON Inflation Table'!F22</f>
        <v>0.93771935922451721</v>
      </c>
      <c r="J4548" s="995"/>
      <c r="K4548" s="36">
        <f>E4548*I4548</f>
        <v>10977.824275279871</v>
      </c>
      <c r="L4548" s="627" t="s">
        <v>35</v>
      </c>
      <c r="M4548" s="25"/>
      <c r="N4548" s="5"/>
      <c r="O4548" s="2"/>
      <c r="P4548" s="27"/>
      <c r="Q4548" s="26"/>
      <c r="R4548" s="28"/>
    </row>
    <row r="4549" spans="1:18" ht="30" customHeight="1" x14ac:dyDescent="0.45">
      <c r="A4549" s="47">
        <v>83210</v>
      </c>
      <c r="B4549" s="1018" t="s">
        <v>2455</v>
      </c>
      <c r="C4549" s="1019"/>
      <c r="D4549" s="1020"/>
      <c r="E4549" s="221">
        <v>16278.11</v>
      </c>
      <c r="F4549" s="47" t="s">
        <v>88</v>
      </c>
      <c r="G4549" s="222"/>
      <c r="H4549" s="524"/>
      <c r="I4549" s="995">
        <f>+I4548</f>
        <v>0.93771935922451721</v>
      </c>
      <c r="J4549" s="995"/>
      <c r="K4549" s="36">
        <f>E4549*I4549</f>
        <v>15264.298878586207</v>
      </c>
      <c r="L4549" s="47" t="s">
        <v>88</v>
      </c>
    </row>
    <row r="4550" spans="1:18" ht="30" customHeight="1" x14ac:dyDescent="0.45">
      <c r="A4550" s="47"/>
      <c r="B4550" s="47"/>
      <c r="C4550" s="58"/>
      <c r="D4550" s="58"/>
      <c r="E4550" s="58"/>
      <c r="F4550" s="58"/>
      <c r="G4550" s="58"/>
      <c r="H4550" s="58"/>
      <c r="I4550" s="58"/>
      <c r="J4550" s="47" t="s">
        <v>38</v>
      </c>
      <c r="K4550" s="216">
        <f>SUM(K4549:K4549)</f>
        <v>15264.298878586207</v>
      </c>
      <c r="L4550" s="47" t="s">
        <v>88</v>
      </c>
    </row>
    <row r="4551" spans="1:18" ht="30" customHeight="1" thickBot="1" x14ac:dyDescent="0.5">
      <c r="A4551" s="47"/>
      <c r="B4551" s="47"/>
      <c r="C4551" s="58"/>
      <c r="D4551" s="58"/>
      <c r="E4551" s="58"/>
      <c r="F4551" s="58"/>
      <c r="G4551" s="58"/>
      <c r="H4551" s="58"/>
      <c r="I4551" s="58"/>
      <c r="J4551" s="85" t="s">
        <v>39</v>
      </c>
      <c r="K4551" s="216">
        <f>+K4550</f>
        <v>15264.298878586207</v>
      </c>
      <c r="L4551" s="47" t="s">
        <v>88</v>
      </c>
    </row>
    <row r="4552" spans="1:18" ht="30" customHeight="1" thickBot="1" x14ac:dyDescent="0.5">
      <c r="A4552" s="1039"/>
      <c r="B4552" s="1040"/>
      <c r="C4552" s="1040"/>
      <c r="D4552" s="1040"/>
      <c r="E4552" s="1040"/>
      <c r="F4552" s="1040"/>
      <c r="G4552" s="1040"/>
      <c r="H4552" s="1040"/>
      <c r="I4552" s="1040"/>
      <c r="J4552" s="1040"/>
      <c r="K4552" s="1040"/>
      <c r="L4552" s="1041"/>
    </row>
    <row r="4553" spans="1:18" ht="30" customHeight="1" x14ac:dyDescent="0.45">
      <c r="A4553" s="622" t="s">
        <v>4</v>
      </c>
      <c r="B4553" s="623">
        <v>8926</v>
      </c>
      <c r="C4553" s="1042" t="s">
        <v>2456</v>
      </c>
      <c r="D4553" s="1042"/>
      <c r="E4553" s="43" t="s">
        <v>7</v>
      </c>
      <c r="F4553" s="624" t="s">
        <v>88</v>
      </c>
      <c r="G4553" s="877" t="s">
        <v>148</v>
      </c>
      <c r="H4553" s="878">
        <v>1</v>
      </c>
      <c r="I4553" s="43" t="s">
        <v>9</v>
      </c>
      <c r="J4553" s="985" t="s">
        <v>10</v>
      </c>
      <c r="K4553" s="985"/>
      <c r="L4553" s="986"/>
    </row>
    <row r="4554" spans="1:18" ht="30" customHeight="1" x14ac:dyDescent="0.45">
      <c r="A4554" s="485" t="s">
        <v>11</v>
      </c>
      <c r="B4554" s="1005" t="s">
        <v>12</v>
      </c>
      <c r="C4554" s="1005"/>
      <c r="D4554" s="1005"/>
      <c r="E4554" s="19" t="s">
        <v>13</v>
      </c>
      <c r="F4554" s="19" t="s">
        <v>267</v>
      </c>
      <c r="G4554" s="1006" t="s">
        <v>15</v>
      </c>
      <c r="H4554" s="1006"/>
      <c r="I4554" s="1007" t="s">
        <v>16</v>
      </c>
      <c r="J4554" s="1007"/>
      <c r="K4554" s="1006" t="s">
        <v>17</v>
      </c>
      <c r="L4554" s="1043"/>
      <c r="M4554" s="25"/>
      <c r="N4554" s="26"/>
      <c r="O4554" s="2"/>
      <c r="P4554" s="27"/>
      <c r="Q4554" s="26"/>
      <c r="R4554" s="28"/>
    </row>
    <row r="4555" spans="1:18" ht="30" customHeight="1" x14ac:dyDescent="0.45">
      <c r="A4555" s="46">
        <v>44135</v>
      </c>
      <c r="B4555" s="994" t="s">
        <v>2457</v>
      </c>
      <c r="C4555" s="994"/>
      <c r="D4555" s="994"/>
      <c r="E4555" s="31">
        <v>617</v>
      </c>
      <c r="F4555" s="876">
        <v>447</v>
      </c>
      <c r="G4555" s="601">
        <v>4104</v>
      </c>
      <c r="H4555" s="177" t="s">
        <v>296</v>
      </c>
      <c r="I4555" s="995">
        <f>+'[1]2023 MILCON Inflation Table'!F22</f>
        <v>0.93771935922451721</v>
      </c>
      <c r="J4555" s="995"/>
      <c r="K4555" s="36">
        <f>+E4555*G4555*I4555</f>
        <v>2374462.9544088272</v>
      </c>
      <c r="L4555" s="627" t="s">
        <v>35</v>
      </c>
      <c r="M4555" s="25"/>
      <c r="N4555" s="5"/>
      <c r="O4555" s="2"/>
      <c r="P4555" s="27"/>
      <c r="Q4555" s="26"/>
      <c r="R4555" s="28"/>
    </row>
    <row r="4556" spans="1:18" ht="30" customHeight="1" thickBot="1" x14ac:dyDescent="0.5">
      <c r="A4556" s="879"/>
      <c r="B4556" s="1035" t="s">
        <v>2458</v>
      </c>
      <c r="C4556" s="1035"/>
      <c r="D4556" s="1035"/>
      <c r="E4556" s="630"/>
      <c r="F4556" s="630"/>
      <c r="G4556" s="630"/>
      <c r="H4556" s="630"/>
      <c r="I4556" s="49"/>
      <c r="J4556" s="50" t="s">
        <v>39</v>
      </c>
      <c r="K4556" s="880">
        <f>+K4555</f>
        <v>2374462.9544088272</v>
      </c>
      <c r="L4556" s="454" t="s">
        <v>88</v>
      </c>
    </row>
    <row r="4557" spans="1:18" ht="31.5" customHeight="1" thickBot="1" x14ac:dyDescent="0.5">
      <c r="A4557" s="1036"/>
      <c r="B4557" s="1037"/>
      <c r="C4557" s="1037"/>
      <c r="D4557" s="1037"/>
      <c r="E4557" s="1037"/>
      <c r="F4557" s="1037"/>
      <c r="G4557" s="1037"/>
      <c r="H4557" s="1037"/>
      <c r="I4557" s="1037"/>
      <c r="J4557" s="1037"/>
      <c r="K4557" s="1037"/>
      <c r="L4557" s="1038"/>
    </row>
    <row r="4558" spans="1:18" ht="30" customHeight="1" x14ac:dyDescent="0.45">
      <c r="A4558" s="9" t="s">
        <v>4</v>
      </c>
      <c r="B4558" s="10">
        <v>8927</v>
      </c>
      <c r="C4558" s="983" t="s">
        <v>2459</v>
      </c>
      <c r="D4558" s="984"/>
      <c r="E4558" s="13" t="s">
        <v>7</v>
      </c>
      <c r="F4558" s="14" t="s">
        <v>88</v>
      </c>
      <c r="G4558" s="161" t="s">
        <v>148</v>
      </c>
      <c r="H4558" s="163">
        <v>1</v>
      </c>
      <c r="I4558" s="13" t="s">
        <v>9</v>
      </c>
      <c r="J4558" s="985" t="s">
        <v>276</v>
      </c>
      <c r="K4558" s="985"/>
      <c r="L4558" s="986"/>
    </row>
    <row r="4559" spans="1:18" ht="30" customHeight="1" x14ac:dyDescent="0.45">
      <c r="A4559" s="85" t="s">
        <v>277</v>
      </c>
      <c r="B4559" s="987" t="s">
        <v>293</v>
      </c>
      <c r="C4559" s="988"/>
      <c r="D4559" s="989"/>
      <c r="E4559" s="220" t="s">
        <v>13</v>
      </c>
      <c r="F4559" s="220" t="s">
        <v>14</v>
      </c>
      <c r="G4559" s="990" t="s">
        <v>15</v>
      </c>
      <c r="H4559" s="991"/>
      <c r="I4559" s="19" t="s">
        <v>278</v>
      </c>
      <c r="J4559" s="19"/>
      <c r="K4559" s="992" t="s">
        <v>17</v>
      </c>
      <c r="L4559" s="993"/>
    </row>
    <row r="4560" spans="1:18" ht="30" customHeight="1" x14ac:dyDescent="0.45">
      <c r="A4560" s="47" t="s">
        <v>486</v>
      </c>
      <c r="B4560" s="1018" t="s">
        <v>2460</v>
      </c>
      <c r="C4560" s="1019"/>
      <c r="D4560" s="1020"/>
      <c r="E4560" s="375">
        <v>35.25</v>
      </c>
      <c r="F4560" s="56" t="s">
        <v>488</v>
      </c>
      <c r="G4560" s="348">
        <v>720</v>
      </c>
      <c r="H4560" s="349" t="s">
        <v>2461</v>
      </c>
      <c r="I4560" s="47">
        <v>1.28</v>
      </c>
      <c r="J4560" s="47"/>
      <c r="K4560" s="422">
        <f>+E4560*G4560*I4560</f>
        <v>32486.400000000001</v>
      </c>
      <c r="L4560" s="56" t="s">
        <v>88</v>
      </c>
    </row>
    <row r="4561" spans="1:13" ht="30" customHeight="1" x14ac:dyDescent="0.45">
      <c r="A4561" s="47"/>
      <c r="B4561" s="1008" t="s">
        <v>2462</v>
      </c>
      <c r="C4561" s="1009"/>
      <c r="D4561" s="1010"/>
      <c r="E4561" s="378"/>
      <c r="F4561" s="56"/>
      <c r="G4561" s="348"/>
      <c r="H4561" s="349"/>
      <c r="I4561" s="47"/>
      <c r="J4561" s="47"/>
      <c r="K4561" s="422"/>
      <c r="L4561" s="56"/>
    </row>
    <row r="4562" spans="1:13" ht="30" customHeight="1" x14ac:dyDescent="0.45">
      <c r="A4562" s="58"/>
      <c r="B4562" s="1030"/>
      <c r="C4562" s="1030"/>
      <c r="D4562" s="1030"/>
      <c r="E4562" s="221"/>
      <c r="F4562" s="47"/>
      <c r="G4562" s="47"/>
      <c r="H4562" s="47"/>
      <c r="I4562" s="47"/>
      <c r="J4562" s="47" t="s">
        <v>38</v>
      </c>
      <c r="K4562" s="459">
        <f>SUM(K4560:K4561)</f>
        <v>32486.400000000001</v>
      </c>
      <c r="L4562" s="47" t="s">
        <v>88</v>
      </c>
    </row>
    <row r="4563" spans="1:13" ht="30" customHeight="1" x14ac:dyDescent="0.45">
      <c r="A4563" s="47"/>
      <c r="B4563" s="224"/>
      <c r="C4563" s="224"/>
      <c r="D4563" s="224"/>
      <c r="E4563" s="221"/>
      <c r="F4563" s="1011" t="s">
        <v>285</v>
      </c>
      <c r="G4563" s="1013" t="s">
        <v>286</v>
      </c>
      <c r="H4563" s="1013"/>
      <c r="I4563" s="1013"/>
      <c r="J4563" s="1013"/>
      <c r="K4563" s="278">
        <v>1.06</v>
      </c>
      <c r="L4563" s="47"/>
    </row>
    <row r="4564" spans="1:13" ht="30" customHeight="1" x14ac:dyDescent="0.45">
      <c r="A4564" s="47"/>
      <c r="B4564" s="224"/>
      <c r="C4564" s="224"/>
      <c r="D4564" s="224"/>
      <c r="E4564" s="221"/>
      <c r="F4564" s="1012"/>
      <c r="G4564" s="1014" t="s">
        <v>287</v>
      </c>
      <c r="H4564" s="1014"/>
      <c r="I4564" s="1014"/>
      <c r="J4564" s="1014"/>
      <c r="K4564" s="278">
        <v>1.05</v>
      </c>
      <c r="L4564" s="47"/>
    </row>
    <row r="4565" spans="1:13" ht="30" customHeight="1" x14ac:dyDescent="0.45">
      <c r="A4565" s="58"/>
      <c r="B4565" s="47"/>
      <c r="C4565" s="58"/>
      <c r="D4565" s="58"/>
      <c r="E4565" s="58"/>
      <c r="F4565" s="58"/>
      <c r="G4565" s="58"/>
      <c r="H4565" s="58"/>
      <c r="I4565" s="58"/>
      <c r="J4565" s="47" t="s">
        <v>39</v>
      </c>
      <c r="K4565" s="216">
        <f>+K4562*K4563/K4564</f>
        <v>32795.794285714284</v>
      </c>
      <c r="L4565" s="47" t="s">
        <v>88</v>
      </c>
    </row>
    <row r="4566" spans="1:13" ht="30" customHeight="1" thickBot="1" x14ac:dyDescent="0.5">
      <c r="A4566" s="47"/>
      <c r="B4566" s="47"/>
      <c r="C4566" s="58"/>
      <c r="D4566" s="58"/>
      <c r="E4566" s="58"/>
      <c r="F4566" s="58"/>
      <c r="G4566" s="1032" t="s">
        <v>288</v>
      </c>
      <c r="H4566" s="1033"/>
      <c r="I4566" s="1034"/>
      <c r="J4566" s="213">
        <f>VLOOKUP(B4558,'[1]Mil Cost Premiums for PUCs'!$A$4:$R$278,18,FALSE)</f>
        <v>1.0209999999999999</v>
      </c>
      <c r="K4566" s="216">
        <f>+K4565*J4566</f>
        <v>33484.505965714285</v>
      </c>
      <c r="L4566" s="47" t="s">
        <v>88</v>
      </c>
    </row>
    <row r="4567" spans="1:13" ht="30" customHeight="1" thickBot="1" x14ac:dyDescent="0.5">
      <c r="A4567" s="999"/>
      <c r="B4567" s="1000"/>
      <c r="C4567" s="1000"/>
      <c r="D4567" s="1000"/>
      <c r="E4567" s="1000"/>
      <c r="F4567" s="1000"/>
      <c r="G4567" s="1000"/>
      <c r="H4567" s="1000"/>
      <c r="I4567" s="1000"/>
      <c r="J4567" s="1000"/>
      <c r="K4567" s="1000"/>
      <c r="L4567" s="1001"/>
    </row>
    <row r="4568" spans="1:13" ht="30" customHeight="1" x14ac:dyDescent="0.45">
      <c r="A4568" s="9" t="s">
        <v>4</v>
      </c>
      <c r="B4568" s="10">
        <v>8928</v>
      </c>
      <c r="C4568" s="983" t="s">
        <v>2463</v>
      </c>
      <c r="D4568" s="984"/>
      <c r="E4568" s="13" t="s">
        <v>7</v>
      </c>
      <c r="F4568" s="14" t="s">
        <v>88</v>
      </c>
      <c r="G4568" s="161" t="s">
        <v>148</v>
      </c>
      <c r="H4568" s="163">
        <v>1</v>
      </c>
      <c r="I4568" s="13" t="s">
        <v>9</v>
      </c>
      <c r="J4568" s="985" t="s">
        <v>292</v>
      </c>
      <c r="K4568" s="985"/>
      <c r="L4568" s="986"/>
    </row>
    <row r="4569" spans="1:13" ht="30" customHeight="1" x14ac:dyDescent="0.45">
      <c r="A4569" s="85" t="s">
        <v>277</v>
      </c>
      <c r="B4569" s="987" t="s">
        <v>293</v>
      </c>
      <c r="C4569" s="988"/>
      <c r="D4569" s="989"/>
      <c r="E4569" s="220" t="s">
        <v>13</v>
      </c>
      <c r="F4569" s="220" t="s">
        <v>14</v>
      </c>
      <c r="G4569" s="990" t="s">
        <v>15</v>
      </c>
      <c r="H4569" s="991"/>
      <c r="I4569" s="19" t="s">
        <v>278</v>
      </c>
      <c r="J4569" s="19"/>
      <c r="K4569" s="992" t="s">
        <v>17</v>
      </c>
      <c r="L4569" s="993"/>
    </row>
    <row r="4570" spans="1:13" ht="30" customHeight="1" x14ac:dyDescent="0.45">
      <c r="A4570" s="47" t="s">
        <v>1121</v>
      </c>
      <c r="B4570" s="1018" t="s">
        <v>2464</v>
      </c>
      <c r="C4570" s="1019"/>
      <c r="D4570" s="1020"/>
      <c r="E4570" s="375">
        <f>+(43.75+64)/2</f>
        <v>53.875</v>
      </c>
      <c r="F4570" s="56" t="s">
        <v>35</v>
      </c>
      <c r="G4570" s="348">
        <v>360</v>
      </c>
      <c r="H4570" s="349" t="s">
        <v>296</v>
      </c>
      <c r="I4570" s="47">
        <v>1.22</v>
      </c>
      <c r="J4570" s="47"/>
      <c r="K4570" s="422">
        <f>+E4570*G4570*I4570</f>
        <v>23661.899999999998</v>
      </c>
      <c r="L4570" s="56" t="s">
        <v>88</v>
      </c>
    </row>
    <row r="4571" spans="1:13" ht="30" customHeight="1" x14ac:dyDescent="0.45">
      <c r="A4571" s="47"/>
      <c r="B4571" s="1008" t="s">
        <v>2465</v>
      </c>
      <c r="C4571" s="1009"/>
      <c r="D4571" s="1010"/>
      <c r="E4571" s="221"/>
      <c r="F4571" s="1011" t="s">
        <v>285</v>
      </c>
      <c r="G4571" s="1013" t="s">
        <v>286</v>
      </c>
      <c r="H4571" s="1013"/>
      <c r="I4571" s="1013"/>
      <c r="J4571" s="1013"/>
      <c r="K4571" s="278">
        <v>1.06</v>
      </c>
      <c r="L4571" s="47"/>
    </row>
    <row r="4572" spans="1:13" ht="30" customHeight="1" x14ac:dyDescent="0.45">
      <c r="A4572" s="47"/>
      <c r="B4572" s="224"/>
      <c r="C4572" s="224"/>
      <c r="D4572" s="224"/>
      <c r="E4572" s="221"/>
      <c r="F4572" s="1012"/>
      <c r="G4572" s="1014" t="s">
        <v>298</v>
      </c>
      <c r="H4572" s="1014"/>
      <c r="I4572" s="1014"/>
      <c r="J4572" s="1014"/>
      <c r="K4572" s="278">
        <v>1.06</v>
      </c>
      <c r="L4572" s="47"/>
    </row>
    <row r="4573" spans="1:13" ht="30" customHeight="1" x14ac:dyDescent="0.45">
      <c r="A4573" s="58"/>
      <c r="B4573" s="1008"/>
      <c r="C4573" s="1009"/>
      <c r="D4573" s="1010"/>
      <c r="E4573" s="221"/>
      <c r="F4573" s="56"/>
      <c r="G4573" s="222"/>
      <c r="H4573" s="223"/>
      <c r="I4573" s="47"/>
      <c r="J4573" s="47" t="s">
        <v>39</v>
      </c>
      <c r="K4573" s="459">
        <f>+K4570*K4571/K4572</f>
        <v>23661.899999999998</v>
      </c>
      <c r="L4573" s="56" t="s">
        <v>88</v>
      </c>
    </row>
    <row r="4574" spans="1:13" ht="30" customHeight="1" x14ac:dyDescent="0.45">
      <c r="A4574" s="47"/>
      <c r="B4574" s="47"/>
      <c r="C4574" s="58"/>
      <c r="D4574" s="58"/>
      <c r="E4574" s="58"/>
      <c r="F4574" s="58"/>
      <c r="G4574" s="1021" t="s">
        <v>288</v>
      </c>
      <c r="H4574" s="1022"/>
      <c r="I4574" s="1023"/>
      <c r="J4574" s="213">
        <f>VLOOKUP(B4568,'[1]Mil Cost Premiums for PUCs'!$A$4:$R$278,18,FALSE)</f>
        <v>1.0209999999999999</v>
      </c>
      <c r="K4574" s="216">
        <f>+K4573*J4574</f>
        <v>24158.799899999995</v>
      </c>
      <c r="L4574" s="47" t="s">
        <v>88</v>
      </c>
    </row>
    <row r="4575" spans="1:13" ht="30" customHeight="1" thickBot="1" x14ac:dyDescent="0.5">
      <c r="A4575" s="225"/>
      <c r="B4575" s="225"/>
      <c r="C4575" s="150"/>
      <c r="D4575" s="150"/>
      <c r="E4575" s="150"/>
      <c r="F4575" s="150"/>
      <c r="G4575" s="1025" t="s">
        <v>299</v>
      </c>
      <c r="H4575" s="1026"/>
      <c r="I4575" s="1027"/>
      <c r="J4575" s="226">
        <v>1.1214</v>
      </c>
      <c r="K4575" s="227">
        <f>+K4574*J4575</f>
        <v>27091.678207859994</v>
      </c>
      <c r="L4575" s="47" t="s">
        <v>88</v>
      </c>
      <c r="M4575" s="25"/>
    </row>
    <row r="4576" spans="1:13" ht="30" customHeight="1" thickBot="1" x14ac:dyDescent="0.5">
      <c r="A4576" s="999"/>
      <c r="B4576" s="1000"/>
      <c r="C4576" s="1000"/>
      <c r="D4576" s="1000"/>
      <c r="E4576" s="1000"/>
      <c r="F4576" s="1000"/>
      <c r="G4576" s="1000"/>
      <c r="H4576" s="1000"/>
      <c r="I4576" s="1000"/>
      <c r="J4576" s="1000"/>
      <c r="K4576" s="1000"/>
      <c r="L4576" s="1001"/>
    </row>
    <row r="4577" spans="1:18" ht="30" customHeight="1" x14ac:dyDescent="0.45">
      <c r="A4577" s="80" t="s">
        <v>4</v>
      </c>
      <c r="B4577" s="80">
        <v>8930</v>
      </c>
      <c r="C4577" s="1031" t="s">
        <v>2466</v>
      </c>
      <c r="D4577" s="1031"/>
      <c r="E4577" s="81" t="s">
        <v>7</v>
      </c>
      <c r="F4577" s="82" t="s">
        <v>113</v>
      </c>
      <c r="G4577" s="83" t="s">
        <v>6</v>
      </c>
      <c r="H4577" s="110">
        <v>5679.3365476190402</v>
      </c>
      <c r="I4577" s="81" t="s">
        <v>9</v>
      </c>
      <c r="J4577" s="1004" t="s">
        <v>10</v>
      </c>
      <c r="K4577" s="1004"/>
      <c r="L4577" s="1004"/>
    </row>
    <row r="4578" spans="1:18" ht="30" customHeight="1" x14ac:dyDescent="0.45">
      <c r="A4578" s="19" t="s">
        <v>11</v>
      </c>
      <c r="B4578" s="1005" t="s">
        <v>12</v>
      </c>
      <c r="C4578" s="1005"/>
      <c r="D4578" s="1005"/>
      <c r="E4578" s="19" t="s">
        <v>13</v>
      </c>
      <c r="F4578" s="19" t="s">
        <v>14</v>
      </c>
      <c r="G4578" s="1006" t="s">
        <v>15</v>
      </c>
      <c r="H4578" s="1006"/>
      <c r="I4578" s="1007" t="s">
        <v>16</v>
      </c>
      <c r="J4578" s="1007"/>
      <c r="K4578" s="1006" t="s">
        <v>17</v>
      </c>
      <c r="L4578" s="1006"/>
      <c r="M4578" s="25"/>
      <c r="N4578" s="26"/>
      <c r="O4578" s="2"/>
      <c r="P4578" s="27"/>
      <c r="Q4578" s="26"/>
      <c r="R4578" s="28"/>
    </row>
    <row r="4579" spans="1:18" ht="30" customHeight="1" x14ac:dyDescent="0.45">
      <c r="A4579" s="29">
        <v>82410</v>
      </c>
      <c r="B4579" s="994" t="s">
        <v>2467</v>
      </c>
      <c r="C4579" s="994"/>
      <c r="D4579" s="994"/>
      <c r="E4579" s="31">
        <v>57.84</v>
      </c>
      <c r="F4579" s="876" t="s">
        <v>113</v>
      </c>
      <c r="G4579" s="85"/>
      <c r="H4579" s="85"/>
      <c r="I4579" s="995">
        <f>+I4580</f>
        <v>0.93771935922451721</v>
      </c>
      <c r="J4579" s="995"/>
      <c r="K4579" s="36">
        <f>+E4579*I4579</f>
        <v>54.237687737546082</v>
      </c>
      <c r="L4579" s="85"/>
      <c r="M4579" s="25"/>
      <c r="N4579" s="26"/>
      <c r="O4579" s="2"/>
      <c r="P4579" s="27"/>
      <c r="Q4579" s="26"/>
      <c r="R4579" s="28"/>
    </row>
    <row r="4580" spans="1:18" ht="30" customHeight="1" x14ac:dyDescent="0.45">
      <c r="A4580" s="29">
        <v>82410</v>
      </c>
      <c r="B4580" s="994" t="s">
        <v>2468</v>
      </c>
      <c r="C4580" s="994"/>
      <c r="D4580" s="994"/>
      <c r="E4580" s="31">
        <v>80.11</v>
      </c>
      <c r="F4580" s="876" t="s">
        <v>113</v>
      </c>
      <c r="G4580" s="601"/>
      <c r="H4580" s="177"/>
      <c r="I4580" s="995">
        <f>+'[1]2023 MILCON Inflation Table'!F22</f>
        <v>0.93771935922451721</v>
      </c>
      <c r="J4580" s="995"/>
      <c r="K4580" s="36">
        <f>+E4580*I4580</f>
        <v>75.120697867476068</v>
      </c>
      <c r="L4580" s="47" t="s">
        <v>113</v>
      </c>
      <c r="M4580" s="25"/>
      <c r="N4580" s="5"/>
      <c r="O4580" s="2"/>
      <c r="P4580" s="27"/>
      <c r="Q4580" s="26"/>
      <c r="R4580" s="28"/>
    </row>
    <row r="4581" spans="1:18" ht="30" customHeight="1" x14ac:dyDescent="0.45">
      <c r="A4581" s="58"/>
      <c r="B4581" s="47"/>
      <c r="C4581" s="58"/>
      <c r="D4581" s="58"/>
      <c r="E4581" s="58"/>
      <c r="F4581" s="58"/>
      <c r="G4581" s="58"/>
      <c r="H4581" s="58"/>
      <c r="I4581" s="58"/>
      <c r="J4581" s="47" t="s">
        <v>56</v>
      </c>
      <c r="K4581" s="185">
        <f>AVERAGE(K4580:K4580)</f>
        <v>75.120697867476068</v>
      </c>
      <c r="L4581" s="47" t="s">
        <v>113</v>
      </c>
    </row>
    <row r="4582" spans="1:18" ht="30" customHeight="1" thickBot="1" x14ac:dyDescent="0.5">
      <c r="A4582" s="225"/>
      <c r="B4582" s="225"/>
      <c r="C4582" s="150"/>
      <c r="D4582" s="150"/>
      <c r="E4582" s="150"/>
      <c r="F4582" s="150"/>
      <c r="G4582" s="881"/>
      <c r="H4582" s="150"/>
      <c r="I4582" s="150"/>
      <c r="J4582" s="113" t="s">
        <v>39</v>
      </c>
      <c r="K4582" s="680">
        <f>+K4581</f>
        <v>75.120697867476068</v>
      </c>
      <c r="L4582" s="225" t="s">
        <v>113</v>
      </c>
    </row>
    <row r="4583" spans="1:18" ht="30" customHeight="1" thickBot="1" x14ac:dyDescent="0.5">
      <c r="A4583" s="999"/>
      <c r="B4583" s="1000"/>
      <c r="C4583" s="1000"/>
      <c r="D4583" s="1000"/>
      <c r="E4583" s="1000"/>
      <c r="F4583" s="1000"/>
      <c r="G4583" s="1000"/>
      <c r="H4583" s="1000"/>
      <c r="I4583" s="1000"/>
      <c r="J4583" s="1000"/>
      <c r="K4583" s="1000"/>
      <c r="L4583" s="1001"/>
    </row>
    <row r="4584" spans="1:18" ht="30" customHeight="1" x14ac:dyDescent="0.45">
      <c r="A4584" s="9" t="s">
        <v>4</v>
      </c>
      <c r="B4584" s="10">
        <v>8931</v>
      </c>
      <c r="C4584" s="983" t="s">
        <v>2469</v>
      </c>
      <c r="D4584" s="984"/>
      <c r="E4584" s="13" t="s">
        <v>7</v>
      </c>
      <c r="F4584" s="14" t="s">
        <v>113</v>
      </c>
      <c r="G4584" s="11" t="s">
        <v>6</v>
      </c>
      <c r="H4584" s="163">
        <v>5362</v>
      </c>
      <c r="I4584" s="13" t="s">
        <v>9</v>
      </c>
      <c r="J4584" s="985" t="s">
        <v>575</v>
      </c>
      <c r="K4584" s="985"/>
      <c r="L4584" s="986"/>
    </row>
    <row r="4585" spans="1:18" ht="30" customHeight="1" x14ac:dyDescent="0.45">
      <c r="A4585" s="85" t="s">
        <v>277</v>
      </c>
      <c r="B4585" s="987" t="s">
        <v>293</v>
      </c>
      <c r="C4585" s="988"/>
      <c r="D4585" s="989"/>
      <c r="E4585" s="220" t="s">
        <v>13</v>
      </c>
      <c r="F4585" s="220" t="s">
        <v>14</v>
      </c>
      <c r="G4585" s="990" t="s">
        <v>15</v>
      </c>
      <c r="H4585" s="991"/>
      <c r="I4585" s="19" t="s">
        <v>278</v>
      </c>
      <c r="J4585" s="19" t="s">
        <v>2470</v>
      </c>
      <c r="K4585" s="992" t="s">
        <v>17</v>
      </c>
      <c r="L4585" s="993"/>
    </row>
    <row r="4586" spans="1:18" ht="30" customHeight="1" x14ac:dyDescent="0.45">
      <c r="A4586" s="47" t="s">
        <v>486</v>
      </c>
      <c r="B4586" s="1018" t="s">
        <v>2471</v>
      </c>
      <c r="C4586" s="1019"/>
      <c r="D4586" s="1020"/>
      <c r="E4586" s="375">
        <v>23.9</v>
      </c>
      <c r="F4586" s="56" t="s">
        <v>488</v>
      </c>
      <c r="G4586" s="348">
        <v>35</v>
      </c>
      <c r="H4586" s="349" t="s">
        <v>2472</v>
      </c>
      <c r="I4586" s="47">
        <v>1.07</v>
      </c>
      <c r="J4586" s="47"/>
      <c r="K4586" s="422">
        <f>+E4586*G4586*I4586</f>
        <v>895.05500000000006</v>
      </c>
      <c r="L4586" s="56" t="s">
        <v>113</v>
      </c>
    </row>
    <row r="4587" spans="1:18" ht="30" customHeight="1" x14ac:dyDescent="0.45">
      <c r="A4587" s="47" t="s">
        <v>486</v>
      </c>
      <c r="B4587" s="1018" t="s">
        <v>2473</v>
      </c>
      <c r="C4587" s="1019"/>
      <c r="D4587" s="1020"/>
      <c r="E4587" s="378">
        <v>23.9</v>
      </c>
      <c r="F4587" s="56" t="s">
        <v>488</v>
      </c>
      <c r="G4587" s="348">
        <v>2</v>
      </c>
      <c r="H4587" s="349" t="s">
        <v>2472</v>
      </c>
      <c r="I4587" s="47">
        <v>1.07</v>
      </c>
      <c r="J4587" s="47"/>
      <c r="K4587" s="422">
        <f>+E4587*G4587*I4587</f>
        <v>51.146000000000001</v>
      </c>
      <c r="L4587" s="56" t="s">
        <v>113</v>
      </c>
    </row>
    <row r="4588" spans="1:18" ht="30" customHeight="1" x14ac:dyDescent="0.45">
      <c r="A4588" s="58"/>
      <c r="B4588" s="1030" t="s">
        <v>2474</v>
      </c>
      <c r="C4588" s="1030"/>
      <c r="D4588" s="1030"/>
      <c r="E4588" s="221"/>
      <c r="F4588" s="47"/>
      <c r="G4588" s="47"/>
      <c r="H4588" s="47"/>
      <c r="I4588" s="47"/>
      <c r="J4588" s="47" t="s">
        <v>2475</v>
      </c>
      <c r="K4588" s="459">
        <f>+((K4586*0.12)+(K4587*0.88))/2</f>
        <v>76.207539999999995</v>
      </c>
      <c r="L4588" s="47" t="s">
        <v>113</v>
      </c>
    </row>
    <row r="4589" spans="1:18" ht="30" customHeight="1" x14ac:dyDescent="0.45">
      <c r="A4589" s="47"/>
      <c r="B4589" s="1008"/>
      <c r="C4589" s="1009"/>
      <c r="D4589" s="1010"/>
      <c r="E4589" s="221"/>
      <c r="F4589" s="1011" t="s">
        <v>285</v>
      </c>
      <c r="G4589" s="1013" t="s">
        <v>286</v>
      </c>
      <c r="H4589" s="1013"/>
      <c r="I4589" s="1013"/>
      <c r="J4589" s="1013"/>
      <c r="K4589" s="278">
        <v>1.07</v>
      </c>
      <c r="L4589" s="47"/>
    </row>
    <row r="4590" spans="1:18" ht="30" customHeight="1" x14ac:dyDescent="0.45">
      <c r="A4590" s="47"/>
      <c r="B4590" s="224"/>
      <c r="C4590" s="224"/>
      <c r="D4590" s="224"/>
      <c r="E4590" s="221"/>
      <c r="F4590" s="1012"/>
      <c r="G4590" s="1014" t="s">
        <v>580</v>
      </c>
      <c r="H4590" s="1014"/>
      <c r="I4590" s="1014"/>
      <c r="J4590" s="1014"/>
      <c r="K4590" s="278">
        <v>1.08</v>
      </c>
      <c r="L4590" s="47"/>
    </row>
    <row r="4591" spans="1:18" ht="30" customHeight="1" x14ac:dyDescent="0.45">
      <c r="A4591" s="58"/>
      <c r="B4591" s="47"/>
      <c r="C4591" s="58"/>
      <c r="D4591" s="58"/>
      <c r="E4591" s="58"/>
      <c r="F4591" s="58"/>
      <c r="G4591" s="58"/>
      <c r="H4591" s="58"/>
      <c r="I4591" s="58"/>
      <c r="J4591" s="58" t="s">
        <v>39</v>
      </c>
      <c r="K4591" s="216">
        <f>+K4588*K4589/K4590</f>
        <v>75.501914629629624</v>
      </c>
      <c r="L4591" s="47" t="s">
        <v>113</v>
      </c>
    </row>
    <row r="4592" spans="1:18" ht="30" customHeight="1" x14ac:dyDescent="0.45">
      <c r="A4592" s="47"/>
      <c r="B4592" s="47"/>
      <c r="C4592" s="58"/>
      <c r="D4592" s="58"/>
      <c r="E4592" s="58"/>
      <c r="F4592" s="58"/>
      <c r="G4592" s="1021" t="s">
        <v>288</v>
      </c>
      <c r="H4592" s="1022"/>
      <c r="I4592" s="1023"/>
      <c r="J4592" s="213">
        <f>VLOOKUP(B4584,'[1]Mil Cost Premiums for PUCs'!$A$4:$R$278,18,FALSE)</f>
        <v>1.0905505199999999</v>
      </c>
      <c r="K4592" s="216">
        <f>+K4591*J4592</f>
        <v>82.338652260338179</v>
      </c>
      <c r="L4592" s="47" t="s">
        <v>113</v>
      </c>
    </row>
    <row r="4593" spans="1:18" ht="30" customHeight="1" x14ac:dyDescent="0.45">
      <c r="A4593" s="541"/>
      <c r="B4593" s="541"/>
      <c r="C4593" s="542"/>
      <c r="D4593" s="542"/>
      <c r="E4593" s="542"/>
      <c r="F4593" s="1024" t="s">
        <v>581</v>
      </c>
      <c r="G4593" s="1024"/>
      <c r="H4593" s="1024"/>
      <c r="I4593" s="1024"/>
      <c r="J4593" s="756">
        <v>1.0833999999999999</v>
      </c>
      <c r="K4593" s="863">
        <f>K4592*J4593</f>
        <v>89.205695858850376</v>
      </c>
      <c r="L4593" s="47" t="s">
        <v>113</v>
      </c>
    </row>
    <row r="4594" spans="1:18" ht="30" customHeight="1" thickBot="1" x14ac:dyDescent="0.5">
      <c r="A4594" s="225"/>
      <c r="B4594" s="225"/>
      <c r="C4594" s="150"/>
      <c r="D4594" s="150"/>
      <c r="E4594" s="150"/>
      <c r="F4594" s="150"/>
      <c r="G4594" s="1025" t="s">
        <v>299</v>
      </c>
      <c r="H4594" s="1026"/>
      <c r="I4594" s="1027"/>
      <c r="J4594" s="226">
        <v>1.1214</v>
      </c>
      <c r="K4594" s="227">
        <f>+K4593*J4594</f>
        <v>100.03526733611481</v>
      </c>
      <c r="L4594" s="47" t="s">
        <v>113</v>
      </c>
      <c r="M4594" s="25"/>
    </row>
    <row r="4595" spans="1:18" ht="30" customHeight="1" thickBot="1" x14ac:dyDescent="0.5">
      <c r="A4595" s="999"/>
      <c r="B4595" s="1000"/>
      <c r="C4595" s="1000"/>
      <c r="D4595" s="1000"/>
      <c r="E4595" s="1000"/>
      <c r="F4595" s="1000"/>
      <c r="G4595" s="1000"/>
      <c r="H4595" s="1000"/>
      <c r="I4595" s="1000"/>
      <c r="J4595" s="1000"/>
      <c r="K4595" s="1000"/>
      <c r="L4595" s="1001"/>
    </row>
    <row r="4596" spans="1:18" ht="30" customHeight="1" x14ac:dyDescent="0.45">
      <c r="A4596" s="9" t="s">
        <v>4</v>
      </c>
      <c r="B4596" s="10">
        <v>8932</v>
      </c>
      <c r="C4596" s="1028" t="s">
        <v>2476</v>
      </c>
      <c r="D4596" s="1029"/>
      <c r="E4596" s="13" t="s">
        <v>7</v>
      </c>
      <c r="F4596" s="14" t="s">
        <v>113</v>
      </c>
      <c r="G4596" s="11" t="s">
        <v>6</v>
      </c>
      <c r="H4596" s="163">
        <v>15956</v>
      </c>
      <c r="I4596" s="13" t="s">
        <v>9</v>
      </c>
      <c r="J4596" s="985" t="s">
        <v>276</v>
      </c>
      <c r="K4596" s="985"/>
      <c r="L4596" s="986"/>
      <c r="N4596" s="26"/>
      <c r="O4596" s="2"/>
      <c r="P4596" s="27"/>
      <c r="Q4596" s="26"/>
      <c r="R4596" s="28"/>
    </row>
    <row r="4597" spans="1:18" ht="30" customHeight="1" x14ac:dyDescent="0.45">
      <c r="A4597" s="85" t="s">
        <v>277</v>
      </c>
      <c r="B4597" s="987" t="s">
        <v>293</v>
      </c>
      <c r="C4597" s="988"/>
      <c r="D4597" s="989"/>
      <c r="E4597" s="220" t="s">
        <v>13</v>
      </c>
      <c r="F4597" s="220" t="s">
        <v>14</v>
      </c>
      <c r="G4597" s="990" t="s">
        <v>15</v>
      </c>
      <c r="H4597" s="991"/>
      <c r="I4597" s="19" t="s">
        <v>278</v>
      </c>
      <c r="J4597" s="19"/>
      <c r="K4597" s="992" t="s">
        <v>17</v>
      </c>
      <c r="L4597" s="993"/>
    </row>
    <row r="4598" spans="1:18" ht="30" customHeight="1" x14ac:dyDescent="0.45">
      <c r="A4598" s="47" t="s">
        <v>486</v>
      </c>
      <c r="B4598" s="1018" t="s">
        <v>2477</v>
      </c>
      <c r="C4598" s="1019"/>
      <c r="D4598" s="1020"/>
      <c r="E4598" s="378">
        <v>25.5</v>
      </c>
      <c r="F4598" s="56" t="s">
        <v>488</v>
      </c>
      <c r="G4598" s="348">
        <v>4</v>
      </c>
      <c r="H4598" s="349" t="s">
        <v>2472</v>
      </c>
      <c r="I4598" s="47">
        <v>1.28</v>
      </c>
      <c r="J4598" s="47"/>
      <c r="K4598" s="378">
        <f>+E4598*G4598*I4598</f>
        <v>130.56</v>
      </c>
      <c r="L4598" s="56" t="s">
        <v>113</v>
      </c>
    </row>
    <row r="4599" spans="1:18" ht="30" customHeight="1" x14ac:dyDescent="0.45">
      <c r="A4599" s="47" t="s">
        <v>486</v>
      </c>
      <c r="B4599" s="1018" t="s">
        <v>2478</v>
      </c>
      <c r="C4599" s="1019"/>
      <c r="D4599" s="1020"/>
      <c r="E4599" s="882">
        <v>30.5</v>
      </c>
      <c r="F4599" s="223" t="s">
        <v>488</v>
      </c>
      <c r="G4599" s="883">
        <v>8</v>
      </c>
      <c r="H4599" s="223" t="s">
        <v>2472</v>
      </c>
      <c r="I4599" s="47">
        <v>1.28</v>
      </c>
      <c r="J4599" s="47"/>
      <c r="K4599" s="221">
        <f>+E4599*G4599*I4599</f>
        <v>312.32</v>
      </c>
      <c r="L4599" s="47" t="s">
        <v>113</v>
      </c>
    </row>
    <row r="4600" spans="1:18" ht="30" customHeight="1" x14ac:dyDescent="0.45">
      <c r="A4600" s="47" t="s">
        <v>486</v>
      </c>
      <c r="B4600" s="1018" t="s">
        <v>2479</v>
      </c>
      <c r="C4600" s="1019"/>
      <c r="D4600" s="1020"/>
      <c r="E4600" s="882">
        <v>35.25</v>
      </c>
      <c r="F4600" s="223" t="s">
        <v>488</v>
      </c>
      <c r="G4600" s="883">
        <v>16</v>
      </c>
      <c r="H4600" s="223" t="s">
        <v>2472</v>
      </c>
      <c r="I4600" s="47">
        <v>1.28</v>
      </c>
      <c r="J4600" s="47"/>
      <c r="K4600" s="221">
        <f>+E4600*G4600*I4600</f>
        <v>721.92</v>
      </c>
      <c r="L4600" s="47" t="s">
        <v>113</v>
      </c>
    </row>
    <row r="4601" spans="1:18" ht="30" customHeight="1" x14ac:dyDescent="0.45">
      <c r="A4601" s="47"/>
      <c r="B4601" s="58"/>
      <c r="C4601" s="58"/>
      <c r="D4601" s="58"/>
      <c r="E4601" s="58"/>
      <c r="F4601" s="58"/>
      <c r="G4601" s="58"/>
      <c r="H4601" s="58"/>
      <c r="I4601" s="79"/>
      <c r="J4601" s="105" t="s">
        <v>56</v>
      </c>
      <c r="K4601" s="221">
        <f>AVERAGE(K4598:K4600)</f>
        <v>388.26666666666665</v>
      </c>
      <c r="L4601" s="47" t="s">
        <v>113</v>
      </c>
    </row>
    <row r="4602" spans="1:18" ht="30" customHeight="1" x14ac:dyDescent="0.45">
      <c r="A4602" s="47"/>
      <c r="B4602" s="1008"/>
      <c r="C4602" s="1009"/>
      <c r="D4602" s="1010"/>
      <c r="E4602" s="221"/>
      <c r="F4602" s="1011" t="s">
        <v>285</v>
      </c>
      <c r="G4602" s="1013" t="s">
        <v>286</v>
      </c>
      <c r="H4602" s="1013"/>
      <c r="I4602" s="1013"/>
      <c r="J4602" s="1013"/>
      <c r="K4602" s="278">
        <v>1.06</v>
      </c>
      <c r="L4602" s="47"/>
    </row>
    <row r="4603" spans="1:18" ht="30" customHeight="1" x14ac:dyDescent="0.45">
      <c r="A4603" s="47"/>
      <c r="B4603" s="224"/>
      <c r="C4603" s="224"/>
      <c r="D4603" s="224"/>
      <c r="E4603" s="221"/>
      <c r="F4603" s="1012"/>
      <c r="G4603" s="1014" t="s">
        <v>287</v>
      </c>
      <c r="H4603" s="1014"/>
      <c r="I4603" s="1014"/>
      <c r="J4603" s="1014"/>
      <c r="K4603" s="278">
        <v>1.05</v>
      </c>
      <c r="L4603" s="47"/>
    </row>
    <row r="4604" spans="1:18" ht="30" customHeight="1" x14ac:dyDescent="0.45">
      <c r="A4604" s="47"/>
      <c r="B4604" s="47"/>
      <c r="C4604" s="58"/>
      <c r="D4604" s="58"/>
      <c r="E4604" s="58"/>
      <c r="F4604" s="58"/>
      <c r="G4604" s="58"/>
      <c r="H4604" s="58"/>
      <c r="I4604" s="58"/>
      <c r="J4604" s="47" t="s">
        <v>39</v>
      </c>
      <c r="K4604" s="216">
        <f>+K4601*K4602/K4603</f>
        <v>391.96444444444438</v>
      </c>
      <c r="L4604" s="47" t="s">
        <v>113</v>
      </c>
    </row>
    <row r="4605" spans="1:18" ht="30" customHeight="1" thickBot="1" x14ac:dyDescent="0.5">
      <c r="A4605" s="47"/>
      <c r="B4605" s="47"/>
      <c r="C4605" s="58"/>
      <c r="D4605" s="58"/>
      <c r="E4605" s="58"/>
      <c r="F4605" s="58"/>
      <c r="G4605" s="1015" t="s">
        <v>288</v>
      </c>
      <c r="H4605" s="1016"/>
      <c r="I4605" s="1017"/>
      <c r="J4605" s="213">
        <f>VLOOKUP(B4596,'[1]Mil Cost Premiums for PUCs'!$A$4:$R$278,18,FALSE)</f>
        <v>1.0905505199999999</v>
      </c>
      <c r="K4605" s="216">
        <f>+K4604*J4605</f>
        <v>427.45702871039987</v>
      </c>
      <c r="L4605" s="47" t="s">
        <v>113</v>
      </c>
    </row>
    <row r="4606" spans="1:18" ht="30" customHeight="1" thickBot="1" x14ac:dyDescent="0.5">
      <c r="A4606" s="999"/>
      <c r="B4606" s="1000"/>
      <c r="C4606" s="1000"/>
      <c r="D4606" s="1000"/>
      <c r="E4606" s="1000"/>
      <c r="F4606" s="1000"/>
      <c r="G4606" s="1000"/>
      <c r="H4606" s="1000"/>
      <c r="I4606" s="1000"/>
      <c r="J4606" s="1000"/>
      <c r="K4606" s="1000"/>
      <c r="L4606" s="1001"/>
    </row>
    <row r="4607" spans="1:18" ht="30" customHeight="1" x14ac:dyDescent="0.45">
      <c r="A4607" s="9" t="s">
        <v>4</v>
      </c>
      <c r="B4607" s="10">
        <v>8951</v>
      </c>
      <c r="C4607" s="1002" t="s">
        <v>2480</v>
      </c>
      <c r="D4607" s="1003"/>
      <c r="E4607" s="13" t="s">
        <v>7</v>
      </c>
      <c r="F4607" s="14" t="s">
        <v>163</v>
      </c>
      <c r="G4607" s="11" t="s">
        <v>6</v>
      </c>
      <c r="H4607" s="788">
        <v>227197.43</v>
      </c>
      <c r="I4607" s="13" t="s">
        <v>9</v>
      </c>
      <c r="J4607" s="1004" t="s">
        <v>10</v>
      </c>
      <c r="K4607" s="1004"/>
      <c r="L4607" s="1004"/>
    </row>
    <row r="4608" spans="1:18" ht="30" customHeight="1" x14ac:dyDescent="0.45">
      <c r="A4608" s="19" t="s">
        <v>11</v>
      </c>
      <c r="B4608" s="1005" t="s">
        <v>12</v>
      </c>
      <c r="C4608" s="1005"/>
      <c r="D4608" s="1005"/>
      <c r="E4608" s="19" t="s">
        <v>13</v>
      </c>
      <c r="F4608" s="19" t="s">
        <v>14</v>
      </c>
      <c r="G4608" s="1006" t="s">
        <v>15</v>
      </c>
      <c r="H4608" s="1006"/>
      <c r="I4608" s="1007" t="s">
        <v>16</v>
      </c>
      <c r="J4608" s="1007"/>
      <c r="K4608" s="1006" t="s">
        <v>17</v>
      </c>
      <c r="L4608" s="1006"/>
      <c r="M4608" s="25"/>
      <c r="N4608" s="26"/>
      <c r="O4608" s="2"/>
      <c r="P4608" s="27"/>
      <c r="Q4608" s="26"/>
      <c r="R4608" s="28"/>
    </row>
    <row r="4609" spans="1:20" ht="30" customHeight="1" x14ac:dyDescent="0.45">
      <c r="A4609" s="29">
        <v>83210</v>
      </c>
      <c r="B4609" s="994" t="s">
        <v>2481</v>
      </c>
      <c r="C4609" s="994"/>
      <c r="D4609" s="994"/>
      <c r="E4609" s="884">
        <v>62916.09</v>
      </c>
      <c r="F4609" s="876" t="s">
        <v>88</v>
      </c>
      <c r="G4609" s="601">
        <v>203657.14</v>
      </c>
      <c r="H4609" s="177" t="s">
        <v>1400</v>
      </c>
      <c r="I4609" s="995">
        <f>+'[1]2023 MILCON Inflation Table'!F22</f>
        <v>0.93771935922451721</v>
      </c>
      <c r="J4609" s="995"/>
      <c r="K4609" s="36">
        <f>+E4609/G4609*I4609</f>
        <v>0.28969097572376817</v>
      </c>
      <c r="L4609" s="29" t="s">
        <v>163</v>
      </c>
      <c r="M4609" s="25"/>
      <c r="N4609" s="5"/>
      <c r="O4609" s="2"/>
      <c r="P4609" s="27"/>
      <c r="Q4609" s="26"/>
      <c r="R4609" s="28"/>
    </row>
    <row r="4610" spans="1:20" ht="30" customHeight="1" x14ac:dyDescent="0.45">
      <c r="A4610" s="29">
        <v>84620</v>
      </c>
      <c r="B4610" s="994" t="s">
        <v>2482</v>
      </c>
      <c r="C4610" s="994"/>
      <c r="D4610" s="994"/>
      <c r="E4610" s="884">
        <v>161364.15</v>
      </c>
      <c r="F4610" s="876" t="s">
        <v>88</v>
      </c>
      <c r="G4610" s="601">
        <v>12000</v>
      </c>
      <c r="H4610" s="177" t="s">
        <v>1400</v>
      </c>
      <c r="I4610" s="995">
        <f>+I4609</f>
        <v>0.93771935922451721</v>
      </c>
      <c r="J4610" s="995"/>
      <c r="K4610" s="36">
        <f>+E4610/G4610*I4610</f>
        <v>12.609523944984073</v>
      </c>
      <c r="L4610" s="29" t="s">
        <v>163</v>
      </c>
      <c r="M4610" s="25"/>
      <c r="N4610" s="5"/>
      <c r="O4610" s="2"/>
      <c r="P4610" s="27"/>
      <c r="Q4610" s="26"/>
      <c r="R4610" s="28"/>
    </row>
    <row r="4611" spans="1:20" ht="30" customHeight="1" x14ac:dyDescent="0.45">
      <c r="A4611" s="47"/>
      <c r="B4611" s="996" t="s">
        <v>2483</v>
      </c>
      <c r="C4611" s="997"/>
      <c r="D4611" s="998"/>
      <c r="E4611" s="885"/>
      <c r="F4611" s="81"/>
      <c r="G4611" s="222"/>
      <c r="H4611" s="223"/>
      <c r="I4611" s="47"/>
      <c r="J4611" s="105" t="s">
        <v>27</v>
      </c>
      <c r="K4611" s="812">
        <f>+(K4609*0.85)+(K4610*0.15)</f>
        <v>2.1376659211128137</v>
      </c>
      <c r="L4611" s="56" t="s">
        <v>163</v>
      </c>
    </row>
    <row r="4612" spans="1:20" ht="30" customHeight="1" thickBot="1" x14ac:dyDescent="0.5">
      <c r="A4612" s="58"/>
      <c r="B4612" s="47"/>
      <c r="C4612" s="58"/>
      <c r="D4612" s="58"/>
      <c r="E4612" s="58"/>
      <c r="F4612" s="58"/>
      <c r="G4612" s="460"/>
      <c r="H4612" s="58"/>
      <c r="I4612" s="58"/>
      <c r="J4612" s="113" t="s">
        <v>39</v>
      </c>
      <c r="K4612" s="762">
        <f>+K4611</f>
        <v>2.1376659211128137</v>
      </c>
      <c r="L4612" s="56" t="s">
        <v>163</v>
      </c>
    </row>
    <row r="4613" spans="1:20" ht="30" customHeight="1" thickBot="1" x14ac:dyDescent="0.5">
      <c r="A4613" s="999"/>
      <c r="B4613" s="1000"/>
      <c r="C4613" s="1000"/>
      <c r="D4613" s="1000"/>
      <c r="E4613" s="1000"/>
      <c r="F4613" s="1000"/>
      <c r="G4613" s="1000"/>
      <c r="H4613" s="1000"/>
      <c r="I4613" s="1000"/>
      <c r="J4613" s="1000"/>
      <c r="K4613" s="1000"/>
      <c r="L4613" s="1001"/>
    </row>
    <row r="4614" spans="1:20" ht="30" customHeight="1" x14ac:dyDescent="0.45">
      <c r="A4614" s="9" t="s">
        <v>4</v>
      </c>
      <c r="B4614" s="10">
        <v>9110</v>
      </c>
      <c r="C4614" s="983" t="s">
        <v>2484</v>
      </c>
      <c r="D4614" s="984"/>
      <c r="E4614" s="13" t="s">
        <v>7</v>
      </c>
      <c r="F4614" s="14" t="s">
        <v>672</v>
      </c>
      <c r="G4614" s="15" t="s">
        <v>148</v>
      </c>
      <c r="H4614" s="370" t="s">
        <v>676</v>
      </c>
      <c r="I4614" s="13" t="s">
        <v>9</v>
      </c>
      <c r="J4614" s="985" t="s">
        <v>833</v>
      </c>
      <c r="K4614" s="985"/>
      <c r="L4614" s="986"/>
      <c r="M4614" s="25"/>
      <c r="O4614" s="2"/>
      <c r="P4614" s="27"/>
      <c r="Q4614" s="26"/>
      <c r="T4614" s="28"/>
    </row>
    <row r="4615" spans="1:20" ht="30" customHeight="1" x14ac:dyDescent="0.45">
      <c r="A4615" s="85" t="s">
        <v>277</v>
      </c>
      <c r="B4615" s="987" t="s">
        <v>293</v>
      </c>
      <c r="C4615" s="988"/>
      <c r="D4615" s="989"/>
      <c r="E4615" s="220" t="s">
        <v>13</v>
      </c>
      <c r="F4615" s="220" t="s">
        <v>14</v>
      </c>
      <c r="G4615" s="990" t="s">
        <v>15</v>
      </c>
      <c r="H4615" s="991"/>
      <c r="I4615" s="19" t="s">
        <v>278</v>
      </c>
      <c r="J4615" s="277" t="s">
        <v>285</v>
      </c>
      <c r="K4615" s="992" t="s">
        <v>17</v>
      </c>
      <c r="L4615" s="993"/>
      <c r="M4615" s="25"/>
      <c r="N4615" s="26"/>
      <c r="O4615" s="2"/>
      <c r="P4615" s="27"/>
      <c r="Q4615" s="26"/>
      <c r="T4615" s="28"/>
    </row>
    <row r="4616" spans="1:20" ht="30" customHeight="1" thickBot="1" x14ac:dyDescent="0.5">
      <c r="A4616" s="132"/>
      <c r="B4616" s="977"/>
      <c r="C4616" s="978"/>
      <c r="D4616" s="979"/>
      <c r="E4616" s="470"/>
      <c r="F4616" s="470"/>
      <c r="G4616" s="471"/>
      <c r="H4616" s="472"/>
      <c r="I4616" s="473"/>
      <c r="J4616" s="473"/>
      <c r="K4616" s="474" t="s">
        <v>676</v>
      </c>
      <c r="L4616" s="474" t="s">
        <v>672</v>
      </c>
      <c r="M4616" s="25"/>
      <c r="N4616" s="26"/>
      <c r="O4616" s="2"/>
      <c r="P4616" s="27"/>
      <c r="Q4616" s="26"/>
      <c r="T4616" s="28"/>
    </row>
    <row r="4617" spans="1:20" ht="30" customHeight="1" thickBot="1" x14ac:dyDescent="0.5">
      <c r="A4617" s="980"/>
      <c r="B4617" s="981"/>
      <c r="C4617" s="981"/>
      <c r="D4617" s="981"/>
      <c r="E4617" s="981"/>
      <c r="F4617" s="981"/>
      <c r="G4617" s="981"/>
      <c r="H4617" s="981"/>
      <c r="I4617" s="981"/>
      <c r="J4617" s="981"/>
      <c r="K4617" s="981"/>
      <c r="L4617" s="982"/>
      <c r="M4617" s="25"/>
      <c r="N4617" s="475"/>
      <c r="O4617" s="2"/>
      <c r="P4617" s="27"/>
      <c r="Q4617" s="26"/>
      <c r="T4617" s="28"/>
    </row>
    <row r="4618" spans="1:20" ht="30" customHeight="1" x14ac:dyDescent="0.45">
      <c r="A4618" s="9" t="s">
        <v>4</v>
      </c>
      <c r="B4618" s="10">
        <v>9900</v>
      </c>
      <c r="C4618" s="983" t="s">
        <v>2485</v>
      </c>
      <c r="D4618" s="984"/>
      <c r="E4618" s="13" t="s">
        <v>7</v>
      </c>
      <c r="F4618" s="14" t="s">
        <v>672</v>
      </c>
      <c r="G4618" s="15" t="s">
        <v>148</v>
      </c>
      <c r="H4618" s="370" t="s">
        <v>676</v>
      </c>
      <c r="I4618" s="13" t="s">
        <v>9</v>
      </c>
      <c r="J4618" s="985" t="s">
        <v>833</v>
      </c>
      <c r="K4618" s="985"/>
      <c r="L4618" s="986"/>
      <c r="M4618" s="25"/>
      <c r="O4618" s="2"/>
      <c r="P4618" s="27"/>
      <c r="Q4618" s="26"/>
      <c r="T4618" s="28"/>
    </row>
    <row r="4619" spans="1:20" ht="30" customHeight="1" x14ac:dyDescent="0.45">
      <c r="A4619" s="85" t="s">
        <v>277</v>
      </c>
      <c r="B4619" s="987" t="s">
        <v>293</v>
      </c>
      <c r="C4619" s="988"/>
      <c r="D4619" s="989"/>
      <c r="E4619" s="220" t="s">
        <v>13</v>
      </c>
      <c r="F4619" s="220" t="s">
        <v>14</v>
      </c>
      <c r="G4619" s="990" t="s">
        <v>15</v>
      </c>
      <c r="H4619" s="991"/>
      <c r="I4619" s="19" t="s">
        <v>278</v>
      </c>
      <c r="J4619" s="277" t="s">
        <v>285</v>
      </c>
      <c r="K4619" s="992" t="s">
        <v>17</v>
      </c>
      <c r="L4619" s="993"/>
      <c r="M4619" s="25"/>
      <c r="N4619" s="26"/>
      <c r="O4619" s="2"/>
      <c r="P4619" s="27"/>
      <c r="Q4619" s="26"/>
      <c r="T4619" s="28"/>
    </row>
    <row r="4620" spans="1:20" ht="30" customHeight="1" thickBot="1" x14ac:dyDescent="0.5">
      <c r="A4620" s="132"/>
      <c r="B4620" s="977"/>
      <c r="C4620" s="978"/>
      <c r="D4620" s="979"/>
      <c r="E4620" s="470"/>
      <c r="F4620" s="470"/>
      <c r="G4620" s="471"/>
      <c r="H4620" s="472"/>
      <c r="I4620" s="473"/>
      <c r="J4620" s="473"/>
      <c r="K4620" s="474" t="s">
        <v>676</v>
      </c>
      <c r="L4620" s="474" t="s">
        <v>672</v>
      </c>
      <c r="M4620" s="25"/>
      <c r="N4620" s="26"/>
      <c r="O4620" s="2"/>
      <c r="P4620" s="27"/>
      <c r="Q4620" s="26"/>
      <c r="T4620" s="28"/>
    </row>
    <row r="4621" spans="1:20" ht="30" customHeight="1" thickBot="1" x14ac:dyDescent="0.5">
      <c r="A4621" s="980"/>
      <c r="B4621" s="981"/>
      <c r="C4621" s="981"/>
      <c r="D4621" s="981"/>
      <c r="E4621" s="981"/>
      <c r="F4621" s="981"/>
      <c r="G4621" s="981"/>
      <c r="H4621" s="981"/>
      <c r="I4621" s="981"/>
      <c r="J4621" s="981"/>
      <c r="K4621" s="981"/>
      <c r="L4621" s="982"/>
      <c r="M4621" s="25"/>
      <c r="N4621" s="475"/>
      <c r="O4621" s="2"/>
      <c r="P4621" s="27"/>
      <c r="Q4621" s="26"/>
      <c r="T4621" s="28"/>
    </row>
  </sheetData>
  <mergeCells count="6543">
    <mergeCell ref="B9:D9"/>
    <mergeCell ref="I9:J9"/>
    <mergeCell ref="B10:D10"/>
    <mergeCell ref="I10:J10"/>
    <mergeCell ref="G11:H13"/>
    <mergeCell ref="B15:D15"/>
    <mergeCell ref="I15:J15"/>
    <mergeCell ref="B7:D7"/>
    <mergeCell ref="G7:H7"/>
    <mergeCell ref="I7:J7"/>
    <mergeCell ref="K7:L7"/>
    <mergeCell ref="B8:D8"/>
    <mergeCell ref="I8:J8"/>
    <mergeCell ref="A1:L1"/>
    <mergeCell ref="A2:L2"/>
    <mergeCell ref="A3:L3"/>
    <mergeCell ref="A4:L4"/>
    <mergeCell ref="A5:L5"/>
    <mergeCell ref="C6:D6"/>
    <mergeCell ref="J6:L6"/>
    <mergeCell ref="B24:D24"/>
    <mergeCell ref="G24:H24"/>
    <mergeCell ref="I24:J24"/>
    <mergeCell ref="K24:L24"/>
    <mergeCell ref="B25:D25"/>
    <mergeCell ref="I25:J25"/>
    <mergeCell ref="B19:D19"/>
    <mergeCell ref="I19:J19"/>
    <mergeCell ref="A20:D21"/>
    <mergeCell ref="A22:L22"/>
    <mergeCell ref="C23:D23"/>
    <mergeCell ref="J23:L23"/>
    <mergeCell ref="B16:D16"/>
    <mergeCell ref="I16:J16"/>
    <mergeCell ref="B17:D17"/>
    <mergeCell ref="I17:J17"/>
    <mergeCell ref="B18:D18"/>
    <mergeCell ref="I18:J18"/>
    <mergeCell ref="C37:D37"/>
    <mergeCell ref="J37:L37"/>
    <mergeCell ref="B38:D38"/>
    <mergeCell ref="G38:H38"/>
    <mergeCell ref="I38:J38"/>
    <mergeCell ref="K38:L38"/>
    <mergeCell ref="B32:D32"/>
    <mergeCell ref="I32:J32"/>
    <mergeCell ref="B33:D33"/>
    <mergeCell ref="I33:J33"/>
    <mergeCell ref="A35:D35"/>
    <mergeCell ref="A36:L36"/>
    <mergeCell ref="B26:D26"/>
    <mergeCell ref="I26:J26"/>
    <mergeCell ref="G27:H28"/>
    <mergeCell ref="B30:D30"/>
    <mergeCell ref="I30:J30"/>
    <mergeCell ref="B31:D31"/>
    <mergeCell ref="I31:J31"/>
    <mergeCell ref="C47:D47"/>
    <mergeCell ref="J47:L47"/>
    <mergeCell ref="B48:D48"/>
    <mergeCell ref="G48:H48"/>
    <mergeCell ref="I48:J48"/>
    <mergeCell ref="K48:L48"/>
    <mergeCell ref="B42:D42"/>
    <mergeCell ref="I42:J42"/>
    <mergeCell ref="B43:D43"/>
    <mergeCell ref="I43:J43"/>
    <mergeCell ref="A45:D45"/>
    <mergeCell ref="A46:L46"/>
    <mergeCell ref="B39:D39"/>
    <mergeCell ref="I39:J39"/>
    <mergeCell ref="B40:D40"/>
    <mergeCell ref="I40:J40"/>
    <mergeCell ref="B41:D41"/>
    <mergeCell ref="I41:J41"/>
    <mergeCell ref="C57:D57"/>
    <mergeCell ref="J57:L57"/>
    <mergeCell ref="B58:D58"/>
    <mergeCell ref="G58:H58"/>
    <mergeCell ref="I58:J58"/>
    <mergeCell ref="K58:L58"/>
    <mergeCell ref="B52:D52"/>
    <mergeCell ref="I52:J52"/>
    <mergeCell ref="B53:D53"/>
    <mergeCell ref="I53:J53"/>
    <mergeCell ref="A55:D55"/>
    <mergeCell ref="A56:L56"/>
    <mergeCell ref="B49:D49"/>
    <mergeCell ref="I49:J49"/>
    <mergeCell ref="B50:D50"/>
    <mergeCell ref="I50:J50"/>
    <mergeCell ref="B51:D51"/>
    <mergeCell ref="I51:J51"/>
    <mergeCell ref="A66:D66"/>
    <mergeCell ref="A67:L67"/>
    <mergeCell ref="C68:D68"/>
    <mergeCell ref="J68:L68"/>
    <mergeCell ref="B69:D69"/>
    <mergeCell ref="G69:H69"/>
    <mergeCell ref="I69:J69"/>
    <mergeCell ref="K69:L69"/>
    <mergeCell ref="B62:D62"/>
    <mergeCell ref="I62:J62"/>
    <mergeCell ref="B63:D63"/>
    <mergeCell ref="I63:J63"/>
    <mergeCell ref="B64:D64"/>
    <mergeCell ref="I64:J64"/>
    <mergeCell ref="B59:D59"/>
    <mergeCell ref="I59:J59"/>
    <mergeCell ref="B60:D60"/>
    <mergeCell ref="I60:J60"/>
    <mergeCell ref="B61:D61"/>
    <mergeCell ref="I61:J61"/>
    <mergeCell ref="A77:D78"/>
    <mergeCell ref="A79:L79"/>
    <mergeCell ref="C80:D80"/>
    <mergeCell ref="J80:L80"/>
    <mergeCell ref="B81:D81"/>
    <mergeCell ref="G81:H81"/>
    <mergeCell ref="K81:L81"/>
    <mergeCell ref="B74:D74"/>
    <mergeCell ref="I74:J74"/>
    <mergeCell ref="B75:D75"/>
    <mergeCell ref="I75:J75"/>
    <mergeCell ref="B76:D76"/>
    <mergeCell ref="I76:J76"/>
    <mergeCell ref="B70:D70"/>
    <mergeCell ref="I70:J70"/>
    <mergeCell ref="B71:D71"/>
    <mergeCell ref="I71:J71"/>
    <mergeCell ref="B73:D73"/>
    <mergeCell ref="I73:J73"/>
    <mergeCell ref="B90:D90"/>
    <mergeCell ref="I90:J90"/>
    <mergeCell ref="B91:D91"/>
    <mergeCell ref="I91:J91"/>
    <mergeCell ref="A92:D93"/>
    <mergeCell ref="A94:L94"/>
    <mergeCell ref="B86:D86"/>
    <mergeCell ref="I86:J86"/>
    <mergeCell ref="B87:D87"/>
    <mergeCell ref="I87:J87"/>
    <mergeCell ref="B89:D89"/>
    <mergeCell ref="I89:J89"/>
    <mergeCell ref="B82:D82"/>
    <mergeCell ref="G82:H82"/>
    <mergeCell ref="A83:L83"/>
    <mergeCell ref="C84:D84"/>
    <mergeCell ref="J84:L84"/>
    <mergeCell ref="B85:D85"/>
    <mergeCell ref="G85:H85"/>
    <mergeCell ref="I85:J85"/>
    <mergeCell ref="K85:L85"/>
    <mergeCell ref="B101:D101"/>
    <mergeCell ref="I101:J101"/>
    <mergeCell ref="B102:D102"/>
    <mergeCell ref="I102:J102"/>
    <mergeCell ref="B103:D103"/>
    <mergeCell ref="I103:J103"/>
    <mergeCell ref="A98:L98"/>
    <mergeCell ref="C99:D99"/>
    <mergeCell ref="J99:L99"/>
    <mergeCell ref="B100:D100"/>
    <mergeCell ref="G100:H100"/>
    <mergeCell ref="I100:J100"/>
    <mergeCell ref="K100:L100"/>
    <mergeCell ref="C95:D95"/>
    <mergeCell ref="J95:L95"/>
    <mergeCell ref="B96:D96"/>
    <mergeCell ref="G96:H96"/>
    <mergeCell ref="K96:L96"/>
    <mergeCell ref="B97:D97"/>
    <mergeCell ref="G97:H97"/>
    <mergeCell ref="A112:L112"/>
    <mergeCell ref="C113:D113"/>
    <mergeCell ref="J113:L113"/>
    <mergeCell ref="B114:D114"/>
    <mergeCell ref="G114:H114"/>
    <mergeCell ref="I114:J114"/>
    <mergeCell ref="K114:L114"/>
    <mergeCell ref="C109:D109"/>
    <mergeCell ref="J109:L109"/>
    <mergeCell ref="B110:D110"/>
    <mergeCell ref="G110:H110"/>
    <mergeCell ref="K110:L110"/>
    <mergeCell ref="B111:D111"/>
    <mergeCell ref="G111:H111"/>
    <mergeCell ref="B104:D104"/>
    <mergeCell ref="I104:J104"/>
    <mergeCell ref="B105:D105"/>
    <mergeCell ref="I105:J105"/>
    <mergeCell ref="A106:D107"/>
    <mergeCell ref="A108:L108"/>
    <mergeCell ref="B123:D123"/>
    <mergeCell ref="G123:H123"/>
    <mergeCell ref="I123:J123"/>
    <mergeCell ref="K123:L123"/>
    <mergeCell ref="B124:D124"/>
    <mergeCell ref="I124:J124"/>
    <mergeCell ref="B118:D118"/>
    <mergeCell ref="I118:J118"/>
    <mergeCell ref="A119:D120"/>
    <mergeCell ref="A121:L121"/>
    <mergeCell ref="C122:D122"/>
    <mergeCell ref="J122:L122"/>
    <mergeCell ref="B115:D115"/>
    <mergeCell ref="I115:J115"/>
    <mergeCell ref="B116:D116"/>
    <mergeCell ref="I116:J116"/>
    <mergeCell ref="B117:D117"/>
    <mergeCell ref="I117:J117"/>
    <mergeCell ref="B133:D133"/>
    <mergeCell ref="G133:H133"/>
    <mergeCell ref="A134:L134"/>
    <mergeCell ref="C135:D135"/>
    <mergeCell ref="J135:L135"/>
    <mergeCell ref="B136:D136"/>
    <mergeCell ref="A128:D129"/>
    <mergeCell ref="A130:L130"/>
    <mergeCell ref="C131:D131"/>
    <mergeCell ref="J131:L131"/>
    <mergeCell ref="B132:D132"/>
    <mergeCell ref="G132:H132"/>
    <mergeCell ref="I132:J132"/>
    <mergeCell ref="K132:L132"/>
    <mergeCell ref="B125:D125"/>
    <mergeCell ref="I125:J125"/>
    <mergeCell ref="B126:D126"/>
    <mergeCell ref="I126:J126"/>
    <mergeCell ref="B127:D127"/>
    <mergeCell ref="I127:J127"/>
    <mergeCell ref="B149:D149"/>
    <mergeCell ref="B150:D150"/>
    <mergeCell ref="B151:D151"/>
    <mergeCell ref="A152:D153"/>
    <mergeCell ref="G153:H153"/>
    <mergeCell ref="A154:L154"/>
    <mergeCell ref="B143:D143"/>
    <mergeCell ref="B144:D144"/>
    <mergeCell ref="B145:D145"/>
    <mergeCell ref="B146:D146"/>
    <mergeCell ref="B147:D147"/>
    <mergeCell ref="B148:D148"/>
    <mergeCell ref="B137:D137"/>
    <mergeCell ref="B138:D138"/>
    <mergeCell ref="B139:D139"/>
    <mergeCell ref="B140:D140"/>
    <mergeCell ref="B141:D141"/>
    <mergeCell ref="B142:D142"/>
    <mergeCell ref="B166:D166"/>
    <mergeCell ref="A167:D169"/>
    <mergeCell ref="A170:L170"/>
    <mergeCell ref="C171:D171"/>
    <mergeCell ref="J171:L171"/>
    <mergeCell ref="B172:D172"/>
    <mergeCell ref="B160:D160"/>
    <mergeCell ref="B161:D161"/>
    <mergeCell ref="B162:D162"/>
    <mergeCell ref="B163:D163"/>
    <mergeCell ref="B164:D164"/>
    <mergeCell ref="B165:D165"/>
    <mergeCell ref="C155:D155"/>
    <mergeCell ref="J155:L155"/>
    <mergeCell ref="B156:D156"/>
    <mergeCell ref="B157:D157"/>
    <mergeCell ref="B158:D158"/>
    <mergeCell ref="B159:D159"/>
    <mergeCell ref="A187:L187"/>
    <mergeCell ref="C188:D188"/>
    <mergeCell ref="J188:L188"/>
    <mergeCell ref="B189:D189"/>
    <mergeCell ref="B190:D190"/>
    <mergeCell ref="B191:D191"/>
    <mergeCell ref="B179:D179"/>
    <mergeCell ref="B180:D180"/>
    <mergeCell ref="B181:D181"/>
    <mergeCell ref="B182:D182"/>
    <mergeCell ref="B183:D183"/>
    <mergeCell ref="A184:D186"/>
    <mergeCell ref="B173:D173"/>
    <mergeCell ref="B174:D174"/>
    <mergeCell ref="B175:D175"/>
    <mergeCell ref="B176:D176"/>
    <mergeCell ref="B177:D177"/>
    <mergeCell ref="B178:D178"/>
    <mergeCell ref="B204:D204"/>
    <mergeCell ref="B205:D205"/>
    <mergeCell ref="B206:D206"/>
    <mergeCell ref="B207:D207"/>
    <mergeCell ref="A208:D209"/>
    <mergeCell ref="G209:H209"/>
    <mergeCell ref="B198:D198"/>
    <mergeCell ref="B199:D199"/>
    <mergeCell ref="B200:D200"/>
    <mergeCell ref="B201:D201"/>
    <mergeCell ref="B202:D202"/>
    <mergeCell ref="B203:D203"/>
    <mergeCell ref="B192:D192"/>
    <mergeCell ref="B193:D193"/>
    <mergeCell ref="A194:D195"/>
    <mergeCell ref="G195:H195"/>
    <mergeCell ref="A196:L196"/>
    <mergeCell ref="C197:D197"/>
    <mergeCell ref="J197:L197"/>
    <mergeCell ref="B221:D221"/>
    <mergeCell ref="B222:D222"/>
    <mergeCell ref="A223:D224"/>
    <mergeCell ref="G224:H224"/>
    <mergeCell ref="A225:L225"/>
    <mergeCell ref="C226:D226"/>
    <mergeCell ref="J226:L226"/>
    <mergeCell ref="B215:D215"/>
    <mergeCell ref="B216:D216"/>
    <mergeCell ref="B217:D217"/>
    <mergeCell ref="B218:D218"/>
    <mergeCell ref="B219:D219"/>
    <mergeCell ref="B220:D220"/>
    <mergeCell ref="A210:L210"/>
    <mergeCell ref="C211:D211"/>
    <mergeCell ref="J211:L211"/>
    <mergeCell ref="B212:D212"/>
    <mergeCell ref="B213:D213"/>
    <mergeCell ref="B214:D214"/>
    <mergeCell ref="B238:D238"/>
    <mergeCell ref="B239:D239"/>
    <mergeCell ref="B240:D240"/>
    <mergeCell ref="B241:D241"/>
    <mergeCell ref="B242:D242"/>
    <mergeCell ref="B243:D243"/>
    <mergeCell ref="B233:D233"/>
    <mergeCell ref="A234:D235"/>
    <mergeCell ref="G235:H235"/>
    <mergeCell ref="A236:L236"/>
    <mergeCell ref="C237:D237"/>
    <mergeCell ref="J237:L237"/>
    <mergeCell ref="B227:D227"/>
    <mergeCell ref="B228:D228"/>
    <mergeCell ref="B229:D229"/>
    <mergeCell ref="B230:D230"/>
    <mergeCell ref="B231:D231"/>
    <mergeCell ref="B232:D232"/>
    <mergeCell ref="B255:D255"/>
    <mergeCell ref="B256:D256"/>
    <mergeCell ref="B257:D257"/>
    <mergeCell ref="B258:D258"/>
    <mergeCell ref="B259:D259"/>
    <mergeCell ref="A260:D261"/>
    <mergeCell ref="A250:L250"/>
    <mergeCell ref="C251:D251"/>
    <mergeCell ref="J251:L251"/>
    <mergeCell ref="B252:D252"/>
    <mergeCell ref="B253:D253"/>
    <mergeCell ref="B254:D254"/>
    <mergeCell ref="B244:D244"/>
    <mergeCell ref="B245:D245"/>
    <mergeCell ref="B246:D246"/>
    <mergeCell ref="B247:D247"/>
    <mergeCell ref="A248:D249"/>
    <mergeCell ref="G249:H249"/>
    <mergeCell ref="A272:L272"/>
    <mergeCell ref="C273:D273"/>
    <mergeCell ref="J273:L273"/>
    <mergeCell ref="B274:D274"/>
    <mergeCell ref="B275:D275"/>
    <mergeCell ref="B276:D276"/>
    <mergeCell ref="B266:D266"/>
    <mergeCell ref="B267:D267"/>
    <mergeCell ref="B268:D268"/>
    <mergeCell ref="B269:D269"/>
    <mergeCell ref="A270:D271"/>
    <mergeCell ref="G271:H271"/>
    <mergeCell ref="G261:H261"/>
    <mergeCell ref="A262:L262"/>
    <mergeCell ref="C263:D263"/>
    <mergeCell ref="J263:L263"/>
    <mergeCell ref="B264:D264"/>
    <mergeCell ref="B265:D265"/>
    <mergeCell ref="B287:D287"/>
    <mergeCell ref="B288:D288"/>
    <mergeCell ref="B289:D289"/>
    <mergeCell ref="B290:D290"/>
    <mergeCell ref="B291:D291"/>
    <mergeCell ref="B292:D292"/>
    <mergeCell ref="B283:D283"/>
    <mergeCell ref="G283:H283"/>
    <mergeCell ref="A284:L284"/>
    <mergeCell ref="C285:D285"/>
    <mergeCell ref="J285:L285"/>
    <mergeCell ref="B286:D286"/>
    <mergeCell ref="B277:D277"/>
    <mergeCell ref="B278:D278"/>
    <mergeCell ref="B279:D279"/>
    <mergeCell ref="B280:D280"/>
    <mergeCell ref="B281:D281"/>
    <mergeCell ref="B282:D282"/>
    <mergeCell ref="A300:L300"/>
    <mergeCell ref="C301:D301"/>
    <mergeCell ref="J301:L301"/>
    <mergeCell ref="B302:D302"/>
    <mergeCell ref="I302:J302"/>
    <mergeCell ref="K302:L302"/>
    <mergeCell ref="B297:D297"/>
    <mergeCell ref="I297:J297"/>
    <mergeCell ref="K297:L297"/>
    <mergeCell ref="B298:D298"/>
    <mergeCell ref="I298:J298"/>
    <mergeCell ref="B299:D299"/>
    <mergeCell ref="B293:D293"/>
    <mergeCell ref="B294:D294"/>
    <mergeCell ref="G294:H294"/>
    <mergeCell ref="A295:L295"/>
    <mergeCell ref="C296:D296"/>
    <mergeCell ref="J296:L296"/>
    <mergeCell ref="B309:D309"/>
    <mergeCell ref="I309:J309"/>
    <mergeCell ref="B311:D311"/>
    <mergeCell ref="I311:J311"/>
    <mergeCell ref="B312:D312"/>
    <mergeCell ref="I312:J312"/>
    <mergeCell ref="B307:D307"/>
    <mergeCell ref="G307:H307"/>
    <mergeCell ref="I307:J307"/>
    <mergeCell ref="K307:L307"/>
    <mergeCell ref="B308:D308"/>
    <mergeCell ref="G308:H308"/>
    <mergeCell ref="I308:J308"/>
    <mergeCell ref="B303:D303"/>
    <mergeCell ref="I303:J303"/>
    <mergeCell ref="B304:D304"/>
    <mergeCell ref="E304:H304"/>
    <mergeCell ref="A305:L305"/>
    <mergeCell ref="C306:D306"/>
    <mergeCell ref="J306:L306"/>
    <mergeCell ref="B321:D321"/>
    <mergeCell ref="A322:L322"/>
    <mergeCell ref="J323:L323"/>
    <mergeCell ref="B324:D324"/>
    <mergeCell ref="G324:H324"/>
    <mergeCell ref="I324:J324"/>
    <mergeCell ref="K324:L324"/>
    <mergeCell ref="C318:D318"/>
    <mergeCell ref="J318:L318"/>
    <mergeCell ref="B319:D319"/>
    <mergeCell ref="I319:J319"/>
    <mergeCell ref="K319:L319"/>
    <mergeCell ref="B320:D320"/>
    <mergeCell ref="I320:J320"/>
    <mergeCell ref="F313:F314"/>
    <mergeCell ref="G313:J313"/>
    <mergeCell ref="G314:J314"/>
    <mergeCell ref="B315:D315"/>
    <mergeCell ref="G316:I316"/>
    <mergeCell ref="A317:L317"/>
    <mergeCell ref="B334:D334"/>
    <mergeCell ref="I334:J334"/>
    <mergeCell ref="B335:D335"/>
    <mergeCell ref="I335:J335"/>
    <mergeCell ref="B336:D336"/>
    <mergeCell ref="I336:J336"/>
    <mergeCell ref="G329:I329"/>
    <mergeCell ref="G330:I330"/>
    <mergeCell ref="A331:L331"/>
    <mergeCell ref="C332:D332"/>
    <mergeCell ref="J332:L332"/>
    <mergeCell ref="C333:D333"/>
    <mergeCell ref="I333:J333"/>
    <mergeCell ref="K333:L333"/>
    <mergeCell ref="B325:D325"/>
    <mergeCell ref="I325:J325"/>
    <mergeCell ref="B326:D326"/>
    <mergeCell ref="F326:F327"/>
    <mergeCell ref="G326:J326"/>
    <mergeCell ref="G327:J327"/>
    <mergeCell ref="B345:D345"/>
    <mergeCell ref="I345:J345"/>
    <mergeCell ref="A346:D347"/>
    <mergeCell ref="A348:L348"/>
    <mergeCell ref="C349:D349"/>
    <mergeCell ref="J349:L349"/>
    <mergeCell ref="B342:D342"/>
    <mergeCell ref="I342:J342"/>
    <mergeCell ref="B343:D343"/>
    <mergeCell ref="I343:J343"/>
    <mergeCell ref="B344:D344"/>
    <mergeCell ref="I344:J344"/>
    <mergeCell ref="B337:D337"/>
    <mergeCell ref="A339:L339"/>
    <mergeCell ref="C340:D340"/>
    <mergeCell ref="J340:L340"/>
    <mergeCell ref="B341:D341"/>
    <mergeCell ref="I341:J341"/>
    <mergeCell ref="K341:L341"/>
    <mergeCell ref="A356:D358"/>
    <mergeCell ref="I356:J356"/>
    <mergeCell ref="E358:H358"/>
    <mergeCell ref="A359:L359"/>
    <mergeCell ref="C360:D360"/>
    <mergeCell ref="J360:L360"/>
    <mergeCell ref="A353:B353"/>
    <mergeCell ref="C353:D353"/>
    <mergeCell ref="A354:B354"/>
    <mergeCell ref="C354:D354"/>
    <mergeCell ref="A355:B355"/>
    <mergeCell ref="C355:D355"/>
    <mergeCell ref="A350:B350"/>
    <mergeCell ref="C350:D350"/>
    <mergeCell ref="A351:B351"/>
    <mergeCell ref="C351:D351"/>
    <mergeCell ref="A352:B352"/>
    <mergeCell ref="C352:D352"/>
    <mergeCell ref="B367:D367"/>
    <mergeCell ref="F368:F369"/>
    <mergeCell ref="G368:J368"/>
    <mergeCell ref="G369:J369"/>
    <mergeCell ref="G371:I371"/>
    <mergeCell ref="G372:I372"/>
    <mergeCell ref="A364:L364"/>
    <mergeCell ref="C365:D365"/>
    <mergeCell ref="J365:L365"/>
    <mergeCell ref="B366:D366"/>
    <mergeCell ref="G366:H366"/>
    <mergeCell ref="K366:L366"/>
    <mergeCell ref="B361:D361"/>
    <mergeCell ref="I361:J361"/>
    <mergeCell ref="K361:L361"/>
    <mergeCell ref="B362:D362"/>
    <mergeCell ref="I362:J362"/>
    <mergeCell ref="B363:D363"/>
    <mergeCell ref="B380:D380"/>
    <mergeCell ref="I380:J380"/>
    <mergeCell ref="K380:L380"/>
    <mergeCell ref="B381:D381"/>
    <mergeCell ref="I381:J381"/>
    <mergeCell ref="B382:D382"/>
    <mergeCell ref="B376:D376"/>
    <mergeCell ref="I376:J376"/>
    <mergeCell ref="B377:D377"/>
    <mergeCell ref="A378:L378"/>
    <mergeCell ref="C379:D379"/>
    <mergeCell ref="J379:L379"/>
    <mergeCell ref="A373:L373"/>
    <mergeCell ref="C374:D374"/>
    <mergeCell ref="J374:L374"/>
    <mergeCell ref="B375:D375"/>
    <mergeCell ref="I375:J375"/>
    <mergeCell ref="K375:L375"/>
    <mergeCell ref="B392:D392"/>
    <mergeCell ref="I392:J392"/>
    <mergeCell ref="K392:L392"/>
    <mergeCell ref="B393:D393"/>
    <mergeCell ref="I393:J393"/>
    <mergeCell ref="B394:D394"/>
    <mergeCell ref="B386:D386"/>
    <mergeCell ref="I386:J386"/>
    <mergeCell ref="B387:D387"/>
    <mergeCell ref="I387:J387"/>
    <mergeCell ref="A390:L390"/>
    <mergeCell ref="C391:D391"/>
    <mergeCell ref="J391:L391"/>
    <mergeCell ref="A383:L383"/>
    <mergeCell ref="C384:D384"/>
    <mergeCell ref="J384:L384"/>
    <mergeCell ref="B385:D385"/>
    <mergeCell ref="I385:J385"/>
    <mergeCell ref="K385:L385"/>
    <mergeCell ref="B402:D402"/>
    <mergeCell ref="G402:H402"/>
    <mergeCell ref="I402:J402"/>
    <mergeCell ref="K402:L402"/>
    <mergeCell ref="B403:D403"/>
    <mergeCell ref="I403:J403"/>
    <mergeCell ref="B398:D398"/>
    <mergeCell ref="I398:J398"/>
    <mergeCell ref="B399:D399"/>
    <mergeCell ref="A400:L400"/>
    <mergeCell ref="C401:D401"/>
    <mergeCell ref="J401:L401"/>
    <mergeCell ref="A395:L395"/>
    <mergeCell ref="C396:D396"/>
    <mergeCell ref="J396:L396"/>
    <mergeCell ref="B397:D397"/>
    <mergeCell ref="I397:J397"/>
    <mergeCell ref="K397:L397"/>
    <mergeCell ref="I411:J411"/>
    <mergeCell ref="B412:D412"/>
    <mergeCell ref="A413:L413"/>
    <mergeCell ref="C414:D414"/>
    <mergeCell ref="J414:L414"/>
    <mergeCell ref="B415:D415"/>
    <mergeCell ref="G415:H415"/>
    <mergeCell ref="K415:L415"/>
    <mergeCell ref="B408:D408"/>
    <mergeCell ref="I408:J408"/>
    <mergeCell ref="B409:D409"/>
    <mergeCell ref="I409:J409"/>
    <mergeCell ref="B410:D410"/>
    <mergeCell ref="I410:J410"/>
    <mergeCell ref="A404:E404"/>
    <mergeCell ref="A405:L405"/>
    <mergeCell ref="C406:D406"/>
    <mergeCell ref="J406:L406"/>
    <mergeCell ref="B407:D407"/>
    <mergeCell ref="G407:H407"/>
    <mergeCell ref="I407:J407"/>
    <mergeCell ref="K407:L407"/>
    <mergeCell ref="B427:D427"/>
    <mergeCell ref="I427:J427"/>
    <mergeCell ref="A429:L429"/>
    <mergeCell ref="J430:L430"/>
    <mergeCell ref="B431:D431"/>
    <mergeCell ref="G431:H431"/>
    <mergeCell ref="K431:L431"/>
    <mergeCell ref="G422:I422"/>
    <mergeCell ref="G423:I423"/>
    <mergeCell ref="A424:L424"/>
    <mergeCell ref="C425:D425"/>
    <mergeCell ref="J425:L425"/>
    <mergeCell ref="B426:D426"/>
    <mergeCell ref="I426:J426"/>
    <mergeCell ref="K426:L426"/>
    <mergeCell ref="B416:D416"/>
    <mergeCell ref="B417:D417"/>
    <mergeCell ref="F419:F420"/>
    <mergeCell ref="G419:J419"/>
    <mergeCell ref="B420:D420"/>
    <mergeCell ref="G420:J420"/>
    <mergeCell ref="B443:D443"/>
    <mergeCell ref="B444:D444"/>
    <mergeCell ref="B445:D445"/>
    <mergeCell ref="F446:F447"/>
    <mergeCell ref="G446:J446"/>
    <mergeCell ref="G447:J447"/>
    <mergeCell ref="G438:I438"/>
    <mergeCell ref="G439:I439"/>
    <mergeCell ref="A440:L440"/>
    <mergeCell ref="C441:D441"/>
    <mergeCell ref="J441:L441"/>
    <mergeCell ref="B442:D442"/>
    <mergeCell ref="G442:H442"/>
    <mergeCell ref="K442:L442"/>
    <mergeCell ref="B432:D432"/>
    <mergeCell ref="B433:D433"/>
    <mergeCell ref="B434:D434"/>
    <mergeCell ref="F435:F436"/>
    <mergeCell ref="G435:J435"/>
    <mergeCell ref="G436:J436"/>
    <mergeCell ref="A457:C457"/>
    <mergeCell ref="D457:L457"/>
    <mergeCell ref="A458:C458"/>
    <mergeCell ref="D458:L458"/>
    <mergeCell ref="A459:C459"/>
    <mergeCell ref="D459:L459"/>
    <mergeCell ref="A454:C454"/>
    <mergeCell ref="D454:L454"/>
    <mergeCell ref="A455:C455"/>
    <mergeCell ref="D455:L455"/>
    <mergeCell ref="A456:C456"/>
    <mergeCell ref="D456:L456"/>
    <mergeCell ref="G449:I449"/>
    <mergeCell ref="G450:I450"/>
    <mergeCell ref="A451:L451"/>
    <mergeCell ref="A452:C452"/>
    <mergeCell ref="D452:L452"/>
    <mergeCell ref="A453:C453"/>
    <mergeCell ref="D453:L453"/>
    <mergeCell ref="C468:D468"/>
    <mergeCell ref="J468:L468"/>
    <mergeCell ref="B469:D469"/>
    <mergeCell ref="I469:J469"/>
    <mergeCell ref="K469:L469"/>
    <mergeCell ref="B470:D470"/>
    <mergeCell ref="I470:J470"/>
    <mergeCell ref="B463:D463"/>
    <mergeCell ref="I463:J463"/>
    <mergeCell ref="B464:D464"/>
    <mergeCell ref="I464:J464"/>
    <mergeCell ref="G466:I466"/>
    <mergeCell ref="A467:L467"/>
    <mergeCell ref="A460:L460"/>
    <mergeCell ref="C461:D461"/>
    <mergeCell ref="J461:L461"/>
    <mergeCell ref="B462:D462"/>
    <mergeCell ref="G462:H462"/>
    <mergeCell ref="I462:J462"/>
    <mergeCell ref="K462:L462"/>
    <mergeCell ref="B479:D479"/>
    <mergeCell ref="G479:H479"/>
    <mergeCell ref="K479:L479"/>
    <mergeCell ref="B480:D480"/>
    <mergeCell ref="B481:D481"/>
    <mergeCell ref="B482:D482"/>
    <mergeCell ref="B475:D475"/>
    <mergeCell ref="I475:J475"/>
    <mergeCell ref="B476:D476"/>
    <mergeCell ref="A477:L477"/>
    <mergeCell ref="C478:D478"/>
    <mergeCell ref="J478:L478"/>
    <mergeCell ref="B471:D471"/>
    <mergeCell ref="A472:L472"/>
    <mergeCell ref="C473:D473"/>
    <mergeCell ref="J473:L473"/>
    <mergeCell ref="G474:H474"/>
    <mergeCell ref="K474:L474"/>
    <mergeCell ref="A493:C493"/>
    <mergeCell ref="D493:L493"/>
    <mergeCell ref="A494:C494"/>
    <mergeCell ref="D494:L494"/>
    <mergeCell ref="A495:C495"/>
    <mergeCell ref="D495:L495"/>
    <mergeCell ref="A489:L489"/>
    <mergeCell ref="A490:C490"/>
    <mergeCell ref="D490:L490"/>
    <mergeCell ref="A491:C491"/>
    <mergeCell ref="D491:L491"/>
    <mergeCell ref="A492:C492"/>
    <mergeCell ref="D492:L492"/>
    <mergeCell ref="B483:D483"/>
    <mergeCell ref="F484:F485"/>
    <mergeCell ref="G484:J484"/>
    <mergeCell ref="G485:J485"/>
    <mergeCell ref="G487:I487"/>
    <mergeCell ref="G488:I488"/>
    <mergeCell ref="C503:D503"/>
    <mergeCell ref="J503:L503"/>
    <mergeCell ref="B504:D504"/>
    <mergeCell ref="G504:H504"/>
    <mergeCell ref="K504:L504"/>
    <mergeCell ref="B505:D505"/>
    <mergeCell ref="G505:I505"/>
    <mergeCell ref="B500:D500"/>
    <mergeCell ref="G500:H500"/>
    <mergeCell ref="K500:L500"/>
    <mergeCell ref="B501:D501"/>
    <mergeCell ref="G501:I501"/>
    <mergeCell ref="A502:L502"/>
    <mergeCell ref="A496:C496"/>
    <mergeCell ref="D496:L496"/>
    <mergeCell ref="A497:C497"/>
    <mergeCell ref="D497:L497"/>
    <mergeCell ref="A498:L498"/>
    <mergeCell ref="C499:D499"/>
    <mergeCell ref="J499:L499"/>
    <mergeCell ref="B513:D513"/>
    <mergeCell ref="G513:I513"/>
    <mergeCell ref="A514:L514"/>
    <mergeCell ref="C515:D515"/>
    <mergeCell ref="J515:L515"/>
    <mergeCell ref="B516:D516"/>
    <mergeCell ref="G516:H516"/>
    <mergeCell ref="K516:L516"/>
    <mergeCell ref="B509:D509"/>
    <mergeCell ref="G509:I509"/>
    <mergeCell ref="A510:L510"/>
    <mergeCell ref="C511:D511"/>
    <mergeCell ref="J511:L511"/>
    <mergeCell ref="B512:D512"/>
    <mergeCell ref="G512:H512"/>
    <mergeCell ref="K512:L512"/>
    <mergeCell ref="A506:L506"/>
    <mergeCell ref="C507:D507"/>
    <mergeCell ref="J507:L507"/>
    <mergeCell ref="B508:D508"/>
    <mergeCell ref="G508:H508"/>
    <mergeCell ref="K508:L508"/>
    <mergeCell ref="B525:D525"/>
    <mergeCell ref="I525:J525"/>
    <mergeCell ref="B526:D526"/>
    <mergeCell ref="I526:J526"/>
    <mergeCell ref="B527:D527"/>
    <mergeCell ref="I527:J527"/>
    <mergeCell ref="B521:D521"/>
    <mergeCell ref="G521:H521"/>
    <mergeCell ref="A522:L522"/>
    <mergeCell ref="C523:D523"/>
    <mergeCell ref="J523:L523"/>
    <mergeCell ref="B524:D524"/>
    <mergeCell ref="I524:J524"/>
    <mergeCell ref="K524:L524"/>
    <mergeCell ref="B517:D517"/>
    <mergeCell ref="G517:I517"/>
    <mergeCell ref="A518:L518"/>
    <mergeCell ref="C519:D519"/>
    <mergeCell ref="J519:L519"/>
    <mergeCell ref="B520:D520"/>
    <mergeCell ref="G520:H520"/>
    <mergeCell ref="K520:L520"/>
    <mergeCell ref="B535:D535"/>
    <mergeCell ref="I535:J535"/>
    <mergeCell ref="K535:L535"/>
    <mergeCell ref="B536:D536"/>
    <mergeCell ref="I536:J536"/>
    <mergeCell ref="B537:D537"/>
    <mergeCell ref="B531:D531"/>
    <mergeCell ref="I531:J531"/>
    <mergeCell ref="B532:D532"/>
    <mergeCell ref="A533:L533"/>
    <mergeCell ref="C534:D534"/>
    <mergeCell ref="J534:L534"/>
    <mergeCell ref="B528:D528"/>
    <mergeCell ref="I528:J528"/>
    <mergeCell ref="B529:D529"/>
    <mergeCell ref="I529:J529"/>
    <mergeCell ref="B530:D530"/>
    <mergeCell ref="I530:J530"/>
    <mergeCell ref="B548:D548"/>
    <mergeCell ref="F549:F550"/>
    <mergeCell ref="G549:J549"/>
    <mergeCell ref="G550:J550"/>
    <mergeCell ref="G552:I552"/>
    <mergeCell ref="G553:I553"/>
    <mergeCell ref="A543:D544"/>
    <mergeCell ref="G544:H544"/>
    <mergeCell ref="A545:L545"/>
    <mergeCell ref="C546:D546"/>
    <mergeCell ref="J546:L546"/>
    <mergeCell ref="B547:D547"/>
    <mergeCell ref="G547:H547"/>
    <mergeCell ref="K547:L547"/>
    <mergeCell ref="A538:L538"/>
    <mergeCell ref="C539:D539"/>
    <mergeCell ref="J539:L539"/>
    <mergeCell ref="B540:D540"/>
    <mergeCell ref="B541:D541"/>
    <mergeCell ref="B542:D542"/>
    <mergeCell ref="B563:D563"/>
    <mergeCell ref="B564:D564"/>
    <mergeCell ref="G564:H564"/>
    <mergeCell ref="G565:I565"/>
    <mergeCell ref="A566:L566"/>
    <mergeCell ref="C567:D567"/>
    <mergeCell ref="J567:L567"/>
    <mergeCell ref="A560:L560"/>
    <mergeCell ref="C561:D561"/>
    <mergeCell ref="J561:L561"/>
    <mergeCell ref="B562:D562"/>
    <mergeCell ref="G562:H562"/>
    <mergeCell ref="K562:L562"/>
    <mergeCell ref="A554:L554"/>
    <mergeCell ref="C555:D555"/>
    <mergeCell ref="J555:L555"/>
    <mergeCell ref="B556:D556"/>
    <mergeCell ref="B557:D557"/>
    <mergeCell ref="A558:D559"/>
    <mergeCell ref="G558:H558"/>
    <mergeCell ref="B576:D576"/>
    <mergeCell ref="I576:J576"/>
    <mergeCell ref="B577:D577"/>
    <mergeCell ref="I577:J577"/>
    <mergeCell ref="B578:D578"/>
    <mergeCell ref="I578:J578"/>
    <mergeCell ref="A571:I571"/>
    <mergeCell ref="G572:I572"/>
    <mergeCell ref="A573:L573"/>
    <mergeCell ref="C574:D574"/>
    <mergeCell ref="J574:L574"/>
    <mergeCell ref="B575:D575"/>
    <mergeCell ref="G575:H575"/>
    <mergeCell ref="I575:J575"/>
    <mergeCell ref="B568:D568"/>
    <mergeCell ref="G568:H568"/>
    <mergeCell ref="K568:L568"/>
    <mergeCell ref="B569:D569"/>
    <mergeCell ref="G569:H569"/>
    <mergeCell ref="B570:D570"/>
    <mergeCell ref="B587:D587"/>
    <mergeCell ref="G587:I587"/>
    <mergeCell ref="A588:L588"/>
    <mergeCell ref="C589:D589"/>
    <mergeCell ref="J589:L589"/>
    <mergeCell ref="B590:D590"/>
    <mergeCell ref="G590:H590"/>
    <mergeCell ref="K590:L590"/>
    <mergeCell ref="A584:L584"/>
    <mergeCell ref="C585:D585"/>
    <mergeCell ref="J585:L585"/>
    <mergeCell ref="B586:D586"/>
    <mergeCell ref="G586:H586"/>
    <mergeCell ref="K586:L586"/>
    <mergeCell ref="B579:D579"/>
    <mergeCell ref="I579:J579"/>
    <mergeCell ref="B580:D580"/>
    <mergeCell ref="I580:J580"/>
    <mergeCell ref="G582:I582"/>
    <mergeCell ref="A583:L583"/>
    <mergeCell ref="C602:D602"/>
    <mergeCell ref="J602:L602"/>
    <mergeCell ref="B603:D603"/>
    <mergeCell ref="G603:H603"/>
    <mergeCell ref="K603:L603"/>
    <mergeCell ref="B604:D604"/>
    <mergeCell ref="G596:J596"/>
    <mergeCell ref="B597:D597"/>
    <mergeCell ref="G597:J597"/>
    <mergeCell ref="G599:I599"/>
    <mergeCell ref="G600:I600"/>
    <mergeCell ref="A601:L601"/>
    <mergeCell ref="B591:D591"/>
    <mergeCell ref="B592:D592"/>
    <mergeCell ref="B593:D593"/>
    <mergeCell ref="B594:D594"/>
    <mergeCell ref="B596:D596"/>
    <mergeCell ref="F596:F597"/>
    <mergeCell ref="B618:D618"/>
    <mergeCell ref="I618:J618"/>
    <mergeCell ref="B619:D619"/>
    <mergeCell ref="I619:J619"/>
    <mergeCell ref="B620:D620"/>
    <mergeCell ref="I620:J620"/>
    <mergeCell ref="G613:I613"/>
    <mergeCell ref="G614:I614"/>
    <mergeCell ref="A615:L615"/>
    <mergeCell ref="C616:D616"/>
    <mergeCell ref="J616:L616"/>
    <mergeCell ref="B617:D617"/>
    <mergeCell ref="G617:H617"/>
    <mergeCell ref="I617:J617"/>
    <mergeCell ref="K617:L617"/>
    <mergeCell ref="B605:D605"/>
    <mergeCell ref="B606:D606"/>
    <mergeCell ref="B607:D607"/>
    <mergeCell ref="B608:D608"/>
    <mergeCell ref="G609:H609"/>
    <mergeCell ref="B610:D610"/>
    <mergeCell ref="F610:F611"/>
    <mergeCell ref="G610:J610"/>
    <mergeCell ref="G611:J611"/>
    <mergeCell ref="G636:I636"/>
    <mergeCell ref="G637:I637"/>
    <mergeCell ref="A638:L638"/>
    <mergeCell ref="A639:C639"/>
    <mergeCell ref="D639:L639"/>
    <mergeCell ref="A640:C640"/>
    <mergeCell ref="D640:L640"/>
    <mergeCell ref="B627:D627"/>
    <mergeCell ref="B628:D628"/>
    <mergeCell ref="B629:D629"/>
    <mergeCell ref="B631:D631"/>
    <mergeCell ref="F633:F634"/>
    <mergeCell ref="G633:J633"/>
    <mergeCell ref="G634:J634"/>
    <mergeCell ref="B622:D622"/>
    <mergeCell ref="B623:E623"/>
    <mergeCell ref="A624:L624"/>
    <mergeCell ref="C625:D625"/>
    <mergeCell ref="J625:L625"/>
    <mergeCell ref="B626:D626"/>
    <mergeCell ref="G626:H626"/>
    <mergeCell ref="K626:L626"/>
    <mergeCell ref="A647:C647"/>
    <mergeCell ref="D647:L647"/>
    <mergeCell ref="A648:L648"/>
    <mergeCell ref="C649:D649"/>
    <mergeCell ref="J649:L649"/>
    <mergeCell ref="B650:D650"/>
    <mergeCell ref="G650:H650"/>
    <mergeCell ref="I650:J650"/>
    <mergeCell ref="K650:L650"/>
    <mergeCell ref="A644:C644"/>
    <mergeCell ref="D644:L644"/>
    <mergeCell ref="A645:C645"/>
    <mergeCell ref="D645:L645"/>
    <mergeCell ref="A646:C646"/>
    <mergeCell ref="D646:L646"/>
    <mergeCell ref="A641:C641"/>
    <mergeCell ref="D641:L641"/>
    <mergeCell ref="A642:C642"/>
    <mergeCell ref="D642:L642"/>
    <mergeCell ref="A643:C643"/>
    <mergeCell ref="D643:L643"/>
    <mergeCell ref="B657:D657"/>
    <mergeCell ref="I657:J657"/>
    <mergeCell ref="B658:D658"/>
    <mergeCell ref="I658:J658"/>
    <mergeCell ref="B659:D659"/>
    <mergeCell ref="I659:J659"/>
    <mergeCell ref="B655:D655"/>
    <mergeCell ref="G655:H655"/>
    <mergeCell ref="I655:J655"/>
    <mergeCell ref="K655:L655"/>
    <mergeCell ref="B656:D656"/>
    <mergeCell ref="I656:J656"/>
    <mergeCell ref="B651:D651"/>
    <mergeCell ref="I651:J651"/>
    <mergeCell ref="B652:D652"/>
    <mergeCell ref="A653:L653"/>
    <mergeCell ref="C654:D654"/>
    <mergeCell ref="J654:L654"/>
    <mergeCell ref="A667:L667"/>
    <mergeCell ref="A668:L668"/>
    <mergeCell ref="C669:D669"/>
    <mergeCell ref="J669:L669"/>
    <mergeCell ref="B670:D670"/>
    <mergeCell ref="G670:H670"/>
    <mergeCell ref="I670:J670"/>
    <mergeCell ref="K670:L670"/>
    <mergeCell ref="B664:D664"/>
    <mergeCell ref="I664:J664"/>
    <mergeCell ref="B665:D665"/>
    <mergeCell ref="I665:J665"/>
    <mergeCell ref="B666:F666"/>
    <mergeCell ref="G666:I666"/>
    <mergeCell ref="A661:L661"/>
    <mergeCell ref="C662:D662"/>
    <mergeCell ref="J662:L662"/>
    <mergeCell ref="B663:D663"/>
    <mergeCell ref="G663:H663"/>
    <mergeCell ref="I663:J663"/>
    <mergeCell ref="K663:L663"/>
    <mergeCell ref="B677:D677"/>
    <mergeCell ref="I677:J677"/>
    <mergeCell ref="B678:D678"/>
    <mergeCell ref="E678:H678"/>
    <mergeCell ref="A679:L679"/>
    <mergeCell ref="A680:L680"/>
    <mergeCell ref="C675:D675"/>
    <mergeCell ref="J675:L675"/>
    <mergeCell ref="B676:D676"/>
    <mergeCell ref="G676:H676"/>
    <mergeCell ref="I676:J676"/>
    <mergeCell ref="K676:L676"/>
    <mergeCell ref="B671:D671"/>
    <mergeCell ref="I671:J671"/>
    <mergeCell ref="B672:D672"/>
    <mergeCell ref="E672:H672"/>
    <mergeCell ref="A673:L673"/>
    <mergeCell ref="A674:L674"/>
    <mergeCell ref="G687:I687"/>
    <mergeCell ref="G688:I688"/>
    <mergeCell ref="A689:L689"/>
    <mergeCell ref="C690:D690"/>
    <mergeCell ref="J690:L690"/>
    <mergeCell ref="B691:D691"/>
    <mergeCell ref="G691:H691"/>
    <mergeCell ref="K691:L691"/>
    <mergeCell ref="C681:D681"/>
    <mergeCell ref="J681:L681"/>
    <mergeCell ref="B682:D682"/>
    <mergeCell ref="G682:H682"/>
    <mergeCell ref="K682:L682"/>
    <mergeCell ref="B683:D684"/>
    <mergeCell ref="F684:F685"/>
    <mergeCell ref="G684:J684"/>
    <mergeCell ref="G685:J685"/>
    <mergeCell ref="B701:D701"/>
    <mergeCell ref="F702:F703"/>
    <mergeCell ref="G702:J702"/>
    <mergeCell ref="G703:J703"/>
    <mergeCell ref="G705:I705"/>
    <mergeCell ref="A706:L706"/>
    <mergeCell ref="C698:D698"/>
    <mergeCell ref="J698:L698"/>
    <mergeCell ref="B699:D699"/>
    <mergeCell ref="G699:H699"/>
    <mergeCell ref="K699:L699"/>
    <mergeCell ref="B700:D700"/>
    <mergeCell ref="B692:D692"/>
    <mergeCell ref="F693:F694"/>
    <mergeCell ref="G693:J693"/>
    <mergeCell ref="G694:J694"/>
    <mergeCell ref="G696:I696"/>
    <mergeCell ref="A697:L697"/>
    <mergeCell ref="C717:D717"/>
    <mergeCell ref="J717:L717"/>
    <mergeCell ref="B718:D718"/>
    <mergeCell ref="G718:H718"/>
    <mergeCell ref="K718:L718"/>
    <mergeCell ref="B719:D719"/>
    <mergeCell ref="G719:H719"/>
    <mergeCell ref="F711:F712"/>
    <mergeCell ref="G711:J711"/>
    <mergeCell ref="G712:J712"/>
    <mergeCell ref="G714:I714"/>
    <mergeCell ref="G715:I715"/>
    <mergeCell ref="A716:L716"/>
    <mergeCell ref="C707:D707"/>
    <mergeCell ref="J707:L707"/>
    <mergeCell ref="B708:D708"/>
    <mergeCell ref="G708:H708"/>
    <mergeCell ref="K708:L708"/>
    <mergeCell ref="B709:D709"/>
    <mergeCell ref="B729:D729"/>
    <mergeCell ref="B730:D730"/>
    <mergeCell ref="F731:F732"/>
    <mergeCell ref="G731:J731"/>
    <mergeCell ref="G732:J732"/>
    <mergeCell ref="G734:I734"/>
    <mergeCell ref="B725:D725"/>
    <mergeCell ref="G725:H725"/>
    <mergeCell ref="K725:L725"/>
    <mergeCell ref="B726:D726"/>
    <mergeCell ref="B727:D727"/>
    <mergeCell ref="B728:D728"/>
    <mergeCell ref="B720:D720"/>
    <mergeCell ref="B721:D721"/>
    <mergeCell ref="A722:F722"/>
    <mergeCell ref="A723:L723"/>
    <mergeCell ref="C724:D724"/>
    <mergeCell ref="J724:L724"/>
    <mergeCell ref="B742:D742"/>
    <mergeCell ref="G742:H742"/>
    <mergeCell ref="A743:L743"/>
    <mergeCell ref="C744:D744"/>
    <mergeCell ref="J744:L744"/>
    <mergeCell ref="B745:D745"/>
    <mergeCell ref="G745:H745"/>
    <mergeCell ref="K745:L745"/>
    <mergeCell ref="B738:D738"/>
    <mergeCell ref="G738:H738"/>
    <mergeCell ref="A739:L739"/>
    <mergeCell ref="C740:D740"/>
    <mergeCell ref="J740:L740"/>
    <mergeCell ref="B741:D741"/>
    <mergeCell ref="G741:H741"/>
    <mergeCell ref="K741:L741"/>
    <mergeCell ref="A735:L735"/>
    <mergeCell ref="C736:D736"/>
    <mergeCell ref="J736:L736"/>
    <mergeCell ref="B737:D737"/>
    <mergeCell ref="G737:H737"/>
    <mergeCell ref="K737:L737"/>
    <mergeCell ref="B757:D757"/>
    <mergeCell ref="I757:J757"/>
    <mergeCell ref="B758:D758"/>
    <mergeCell ref="A759:L759"/>
    <mergeCell ref="C760:D760"/>
    <mergeCell ref="J760:L760"/>
    <mergeCell ref="G752:I752"/>
    <mergeCell ref="G753:I753"/>
    <mergeCell ref="A754:L754"/>
    <mergeCell ref="C755:D755"/>
    <mergeCell ref="J755:L755"/>
    <mergeCell ref="B756:D756"/>
    <mergeCell ref="I756:J756"/>
    <mergeCell ref="K756:L756"/>
    <mergeCell ref="B746:D746"/>
    <mergeCell ref="B747:D747"/>
    <mergeCell ref="F749:F750"/>
    <mergeCell ref="G749:J749"/>
    <mergeCell ref="G750:J750"/>
    <mergeCell ref="G751:I751"/>
    <mergeCell ref="B767:D767"/>
    <mergeCell ref="I767:J767"/>
    <mergeCell ref="A769:L769"/>
    <mergeCell ref="C770:D770"/>
    <mergeCell ref="J770:L770"/>
    <mergeCell ref="B771:D771"/>
    <mergeCell ref="I771:J771"/>
    <mergeCell ref="K771:L771"/>
    <mergeCell ref="A764:L764"/>
    <mergeCell ref="C765:D765"/>
    <mergeCell ref="J765:L765"/>
    <mergeCell ref="B766:D766"/>
    <mergeCell ref="G766:H766"/>
    <mergeCell ref="I766:J766"/>
    <mergeCell ref="K766:L766"/>
    <mergeCell ref="B761:D761"/>
    <mergeCell ref="I761:J761"/>
    <mergeCell ref="K761:L761"/>
    <mergeCell ref="B762:D762"/>
    <mergeCell ref="I762:J762"/>
    <mergeCell ref="B763:D763"/>
    <mergeCell ref="B778:D778"/>
    <mergeCell ref="A779:L779"/>
    <mergeCell ref="C780:D780"/>
    <mergeCell ref="J780:L780"/>
    <mergeCell ref="B781:D781"/>
    <mergeCell ref="I781:J781"/>
    <mergeCell ref="K781:L781"/>
    <mergeCell ref="B776:D776"/>
    <mergeCell ref="G776:H776"/>
    <mergeCell ref="I776:J776"/>
    <mergeCell ref="K776:L776"/>
    <mergeCell ref="B777:D777"/>
    <mergeCell ref="I777:J777"/>
    <mergeCell ref="B772:D772"/>
    <mergeCell ref="I772:J772"/>
    <mergeCell ref="B773:D773"/>
    <mergeCell ref="A774:L774"/>
    <mergeCell ref="C775:D775"/>
    <mergeCell ref="J775:L775"/>
    <mergeCell ref="A789:L789"/>
    <mergeCell ref="C790:D790"/>
    <mergeCell ref="J790:L790"/>
    <mergeCell ref="B791:D791"/>
    <mergeCell ref="I791:J791"/>
    <mergeCell ref="K791:L791"/>
    <mergeCell ref="B786:D786"/>
    <mergeCell ref="I786:J786"/>
    <mergeCell ref="K786:L786"/>
    <mergeCell ref="B787:D787"/>
    <mergeCell ref="I787:J787"/>
    <mergeCell ref="B788:D788"/>
    <mergeCell ref="B782:D782"/>
    <mergeCell ref="I782:J782"/>
    <mergeCell ref="B783:D783"/>
    <mergeCell ref="A784:L784"/>
    <mergeCell ref="C785:D785"/>
    <mergeCell ref="J785:L785"/>
    <mergeCell ref="A799:L799"/>
    <mergeCell ref="C800:D800"/>
    <mergeCell ref="J800:L800"/>
    <mergeCell ref="B801:D801"/>
    <mergeCell ref="I801:J801"/>
    <mergeCell ref="K801:L801"/>
    <mergeCell ref="B796:D796"/>
    <mergeCell ref="I796:J796"/>
    <mergeCell ref="K796:L796"/>
    <mergeCell ref="B797:D797"/>
    <mergeCell ref="I797:J797"/>
    <mergeCell ref="B798:D798"/>
    <mergeCell ref="B792:D792"/>
    <mergeCell ref="I792:J792"/>
    <mergeCell ref="B793:D793"/>
    <mergeCell ref="A794:L794"/>
    <mergeCell ref="C795:D795"/>
    <mergeCell ref="J795:L795"/>
    <mergeCell ref="B809:D809"/>
    <mergeCell ref="I809:J809"/>
    <mergeCell ref="B810:D810"/>
    <mergeCell ref="A811:L811"/>
    <mergeCell ref="J812:L812"/>
    <mergeCell ref="B813:D813"/>
    <mergeCell ref="G813:H813"/>
    <mergeCell ref="K813:L813"/>
    <mergeCell ref="A806:L806"/>
    <mergeCell ref="C807:D807"/>
    <mergeCell ref="J807:L807"/>
    <mergeCell ref="B808:D808"/>
    <mergeCell ref="I808:J808"/>
    <mergeCell ref="K808:L808"/>
    <mergeCell ref="B802:D802"/>
    <mergeCell ref="I802:J802"/>
    <mergeCell ref="B803:D803"/>
    <mergeCell ref="I803:J803"/>
    <mergeCell ref="A804:H804"/>
    <mergeCell ref="B805:D805"/>
    <mergeCell ref="B824:D824"/>
    <mergeCell ref="I824:J824"/>
    <mergeCell ref="B825:D825"/>
    <mergeCell ref="I825:J825"/>
    <mergeCell ref="B826:D826"/>
    <mergeCell ref="I826:J826"/>
    <mergeCell ref="G820:I820"/>
    <mergeCell ref="A821:L821"/>
    <mergeCell ref="C822:D822"/>
    <mergeCell ref="J822:L822"/>
    <mergeCell ref="B823:D823"/>
    <mergeCell ref="G823:H823"/>
    <mergeCell ref="I823:J823"/>
    <mergeCell ref="K823:L823"/>
    <mergeCell ref="B814:D814"/>
    <mergeCell ref="B815:D815"/>
    <mergeCell ref="B816:D816"/>
    <mergeCell ref="F817:F818"/>
    <mergeCell ref="G817:J817"/>
    <mergeCell ref="G818:J818"/>
    <mergeCell ref="C836:D836"/>
    <mergeCell ref="J836:L836"/>
    <mergeCell ref="B837:D837"/>
    <mergeCell ref="G837:H837"/>
    <mergeCell ref="I837:J837"/>
    <mergeCell ref="K837:L837"/>
    <mergeCell ref="B830:D830"/>
    <mergeCell ref="F831:F832"/>
    <mergeCell ref="G831:J831"/>
    <mergeCell ref="G832:J832"/>
    <mergeCell ref="G834:I834"/>
    <mergeCell ref="A835:L835"/>
    <mergeCell ref="B827:D827"/>
    <mergeCell ref="I827:J827"/>
    <mergeCell ref="B828:D828"/>
    <mergeCell ref="I828:J828"/>
    <mergeCell ref="B829:D829"/>
    <mergeCell ref="I829:J829"/>
    <mergeCell ref="C845:D845"/>
    <mergeCell ref="J845:L845"/>
    <mergeCell ref="B846:D846"/>
    <mergeCell ref="G846:H846"/>
    <mergeCell ref="I846:J846"/>
    <mergeCell ref="K846:L846"/>
    <mergeCell ref="B841:D841"/>
    <mergeCell ref="I841:J841"/>
    <mergeCell ref="N841:S843"/>
    <mergeCell ref="A844:L844"/>
    <mergeCell ref="N844:N845"/>
    <mergeCell ref="O844:O845"/>
    <mergeCell ref="P844:P845"/>
    <mergeCell ref="Q844:Q845"/>
    <mergeCell ref="R844:R845"/>
    <mergeCell ref="S844:S845"/>
    <mergeCell ref="B838:D838"/>
    <mergeCell ref="I838:J838"/>
    <mergeCell ref="B839:D839"/>
    <mergeCell ref="I839:J839"/>
    <mergeCell ref="B840:D840"/>
    <mergeCell ref="I840:J840"/>
    <mergeCell ref="B857:D857"/>
    <mergeCell ref="G857:H857"/>
    <mergeCell ref="I857:J857"/>
    <mergeCell ref="K857:L857"/>
    <mergeCell ref="B858:D858"/>
    <mergeCell ref="I858:J858"/>
    <mergeCell ref="B852:D852"/>
    <mergeCell ref="I852:J852"/>
    <mergeCell ref="B853:D853"/>
    <mergeCell ref="I853:J853"/>
    <mergeCell ref="A855:L855"/>
    <mergeCell ref="C856:D856"/>
    <mergeCell ref="J856:L856"/>
    <mergeCell ref="B847:D847"/>
    <mergeCell ref="I847:J847"/>
    <mergeCell ref="A849:L849"/>
    <mergeCell ref="C850:D850"/>
    <mergeCell ref="J850:L850"/>
    <mergeCell ref="B851:D851"/>
    <mergeCell ref="G851:H851"/>
    <mergeCell ref="I851:J851"/>
    <mergeCell ref="K851:L851"/>
    <mergeCell ref="B868:D868"/>
    <mergeCell ref="G868:H868"/>
    <mergeCell ref="A869:L869"/>
    <mergeCell ref="C870:D870"/>
    <mergeCell ref="J870:L870"/>
    <mergeCell ref="B871:D871"/>
    <mergeCell ref="G871:H871"/>
    <mergeCell ref="K871:L871"/>
    <mergeCell ref="B864:D864"/>
    <mergeCell ref="G864:H864"/>
    <mergeCell ref="A865:L865"/>
    <mergeCell ref="C866:D866"/>
    <mergeCell ref="J866:L866"/>
    <mergeCell ref="B867:D867"/>
    <mergeCell ref="G867:H867"/>
    <mergeCell ref="K867:L867"/>
    <mergeCell ref="B859:D859"/>
    <mergeCell ref="I859:J859"/>
    <mergeCell ref="A861:L861"/>
    <mergeCell ref="C862:D862"/>
    <mergeCell ref="J862:L862"/>
    <mergeCell ref="B863:D863"/>
    <mergeCell ref="G863:H863"/>
    <mergeCell ref="K863:L863"/>
    <mergeCell ref="B880:D880"/>
    <mergeCell ref="I880:J880"/>
    <mergeCell ref="B881:D881"/>
    <mergeCell ref="I881:J881"/>
    <mergeCell ref="B882:D882"/>
    <mergeCell ref="I882:J882"/>
    <mergeCell ref="B876:D876"/>
    <mergeCell ref="G876:H876"/>
    <mergeCell ref="A877:L877"/>
    <mergeCell ref="C878:D878"/>
    <mergeCell ref="J878:L878"/>
    <mergeCell ref="B879:D879"/>
    <mergeCell ref="G879:H879"/>
    <mergeCell ref="I879:J879"/>
    <mergeCell ref="K879:L879"/>
    <mergeCell ref="B872:D872"/>
    <mergeCell ref="G872:H872"/>
    <mergeCell ref="A873:L873"/>
    <mergeCell ref="C874:D874"/>
    <mergeCell ref="J874:L874"/>
    <mergeCell ref="B875:D875"/>
    <mergeCell ref="G875:H875"/>
    <mergeCell ref="K875:L875"/>
    <mergeCell ref="B891:D891"/>
    <mergeCell ref="B892:D892"/>
    <mergeCell ref="B893:D893"/>
    <mergeCell ref="B894:D894"/>
    <mergeCell ref="B895:D895"/>
    <mergeCell ref="B896:D896"/>
    <mergeCell ref="C888:D888"/>
    <mergeCell ref="J888:L888"/>
    <mergeCell ref="B889:D889"/>
    <mergeCell ref="G889:H889"/>
    <mergeCell ref="K889:L889"/>
    <mergeCell ref="B890:D890"/>
    <mergeCell ref="B883:D883"/>
    <mergeCell ref="I883:J883"/>
    <mergeCell ref="B884:D884"/>
    <mergeCell ref="I884:J884"/>
    <mergeCell ref="B885:D885"/>
    <mergeCell ref="A887:L887"/>
    <mergeCell ref="B907:D907"/>
    <mergeCell ref="B908:D908"/>
    <mergeCell ref="A909:D910"/>
    <mergeCell ref="G910:I910"/>
    <mergeCell ref="A911:L911"/>
    <mergeCell ref="C912:D912"/>
    <mergeCell ref="J912:L912"/>
    <mergeCell ref="B903:D903"/>
    <mergeCell ref="G903:H903"/>
    <mergeCell ref="K903:L903"/>
    <mergeCell ref="B904:D904"/>
    <mergeCell ref="B905:D905"/>
    <mergeCell ref="B906:D906"/>
    <mergeCell ref="B897:D897"/>
    <mergeCell ref="B898:D898"/>
    <mergeCell ref="A899:D900"/>
    <mergeCell ref="G900:I900"/>
    <mergeCell ref="A901:L901"/>
    <mergeCell ref="C902:D902"/>
    <mergeCell ref="J902:L902"/>
    <mergeCell ref="G923:I923"/>
    <mergeCell ref="A924:L924"/>
    <mergeCell ref="C925:D925"/>
    <mergeCell ref="J925:L925"/>
    <mergeCell ref="B926:D926"/>
    <mergeCell ref="G926:H926"/>
    <mergeCell ref="K926:L926"/>
    <mergeCell ref="B917:D917"/>
    <mergeCell ref="B918:D918"/>
    <mergeCell ref="B919:D919"/>
    <mergeCell ref="B920:D920"/>
    <mergeCell ref="B921:D921"/>
    <mergeCell ref="A922:D923"/>
    <mergeCell ref="B913:D913"/>
    <mergeCell ref="G913:H913"/>
    <mergeCell ref="K913:L913"/>
    <mergeCell ref="B914:D914"/>
    <mergeCell ref="B915:D915"/>
    <mergeCell ref="B916:D916"/>
    <mergeCell ref="B939:D939"/>
    <mergeCell ref="G939:H939"/>
    <mergeCell ref="K939:L939"/>
    <mergeCell ref="B940:D940"/>
    <mergeCell ref="B941:D941"/>
    <mergeCell ref="B942:D942"/>
    <mergeCell ref="B933:D933"/>
    <mergeCell ref="B934:D934"/>
    <mergeCell ref="A935:D936"/>
    <mergeCell ref="G936:I936"/>
    <mergeCell ref="A937:L937"/>
    <mergeCell ref="C938:D938"/>
    <mergeCell ref="J938:L938"/>
    <mergeCell ref="B927:D927"/>
    <mergeCell ref="B928:D928"/>
    <mergeCell ref="B929:D929"/>
    <mergeCell ref="B930:D930"/>
    <mergeCell ref="B931:D931"/>
    <mergeCell ref="B932:D932"/>
    <mergeCell ref="B952:D952"/>
    <mergeCell ref="B953:D953"/>
    <mergeCell ref="B954:D954"/>
    <mergeCell ref="B955:D955"/>
    <mergeCell ref="A956:D957"/>
    <mergeCell ref="G957:I957"/>
    <mergeCell ref="A949:L949"/>
    <mergeCell ref="C950:D950"/>
    <mergeCell ref="J950:L950"/>
    <mergeCell ref="B951:D951"/>
    <mergeCell ref="G951:H951"/>
    <mergeCell ref="K951:L951"/>
    <mergeCell ref="B943:D943"/>
    <mergeCell ref="B944:D944"/>
    <mergeCell ref="B945:D945"/>
    <mergeCell ref="B946:D946"/>
    <mergeCell ref="A947:D948"/>
    <mergeCell ref="G948:I948"/>
    <mergeCell ref="B967:D967"/>
    <mergeCell ref="B968:D968"/>
    <mergeCell ref="B969:D969"/>
    <mergeCell ref="B970:D970"/>
    <mergeCell ref="B971:D971"/>
    <mergeCell ref="A972:D973"/>
    <mergeCell ref="B961:D961"/>
    <mergeCell ref="B962:D962"/>
    <mergeCell ref="B963:D963"/>
    <mergeCell ref="B964:D964"/>
    <mergeCell ref="B965:D965"/>
    <mergeCell ref="B966:D966"/>
    <mergeCell ref="A958:L958"/>
    <mergeCell ref="C959:D959"/>
    <mergeCell ref="J959:L959"/>
    <mergeCell ref="B960:D960"/>
    <mergeCell ref="G960:H960"/>
    <mergeCell ref="K960:L960"/>
    <mergeCell ref="B983:D983"/>
    <mergeCell ref="A984:D985"/>
    <mergeCell ref="G985:I985"/>
    <mergeCell ref="A986:L986"/>
    <mergeCell ref="C987:D987"/>
    <mergeCell ref="J987:L987"/>
    <mergeCell ref="B977:D977"/>
    <mergeCell ref="B978:D978"/>
    <mergeCell ref="B979:D979"/>
    <mergeCell ref="B980:D980"/>
    <mergeCell ref="B981:D981"/>
    <mergeCell ref="B982:D982"/>
    <mergeCell ref="G973:I973"/>
    <mergeCell ref="A974:L974"/>
    <mergeCell ref="C975:D975"/>
    <mergeCell ref="J975:L975"/>
    <mergeCell ref="B976:D976"/>
    <mergeCell ref="G976:H976"/>
    <mergeCell ref="K976:L976"/>
    <mergeCell ref="B998:D998"/>
    <mergeCell ref="B999:D999"/>
    <mergeCell ref="B1000:D1000"/>
    <mergeCell ref="B1001:D1001"/>
    <mergeCell ref="B1002:D1002"/>
    <mergeCell ref="A1003:D1004"/>
    <mergeCell ref="B992:D992"/>
    <mergeCell ref="B993:D993"/>
    <mergeCell ref="B994:D994"/>
    <mergeCell ref="B995:D995"/>
    <mergeCell ref="B996:D996"/>
    <mergeCell ref="B997:D997"/>
    <mergeCell ref="B988:D988"/>
    <mergeCell ref="G988:H988"/>
    <mergeCell ref="K988:L988"/>
    <mergeCell ref="B989:D989"/>
    <mergeCell ref="B990:D990"/>
    <mergeCell ref="B991:D991"/>
    <mergeCell ref="C1014:D1014"/>
    <mergeCell ref="J1014:L1014"/>
    <mergeCell ref="B1015:D1015"/>
    <mergeCell ref="G1015:H1015"/>
    <mergeCell ref="K1015:L1015"/>
    <mergeCell ref="B1016:D1016"/>
    <mergeCell ref="B1008:D1008"/>
    <mergeCell ref="B1009:D1009"/>
    <mergeCell ref="B1010:D1010"/>
    <mergeCell ref="A1011:D1012"/>
    <mergeCell ref="G1012:I1012"/>
    <mergeCell ref="A1013:L1013"/>
    <mergeCell ref="G1004:I1004"/>
    <mergeCell ref="A1005:L1005"/>
    <mergeCell ref="C1006:D1006"/>
    <mergeCell ref="J1006:L1006"/>
    <mergeCell ref="B1007:D1007"/>
    <mergeCell ref="G1007:H1007"/>
    <mergeCell ref="K1007:L1007"/>
    <mergeCell ref="B1026:D1026"/>
    <mergeCell ref="B1027:D1027"/>
    <mergeCell ref="A1028:D1029"/>
    <mergeCell ref="A1030:L1030"/>
    <mergeCell ref="C1031:D1031"/>
    <mergeCell ref="J1031:L1031"/>
    <mergeCell ref="C1023:D1023"/>
    <mergeCell ref="J1023:L1023"/>
    <mergeCell ref="B1024:D1024"/>
    <mergeCell ref="G1024:H1024"/>
    <mergeCell ref="K1024:L1024"/>
    <mergeCell ref="B1025:D1025"/>
    <mergeCell ref="B1017:D1017"/>
    <mergeCell ref="B1018:D1018"/>
    <mergeCell ref="B1019:D1019"/>
    <mergeCell ref="A1020:D1021"/>
    <mergeCell ref="G1021:I1021"/>
    <mergeCell ref="A1022:L1022"/>
    <mergeCell ref="B1042:D1042"/>
    <mergeCell ref="B1043:D1043"/>
    <mergeCell ref="A1044:D1045"/>
    <mergeCell ref="G1045:I1045"/>
    <mergeCell ref="A1046:L1046"/>
    <mergeCell ref="C1047:D1047"/>
    <mergeCell ref="J1047:L1047"/>
    <mergeCell ref="B1036:D1036"/>
    <mergeCell ref="B1037:D1037"/>
    <mergeCell ref="B1038:D1038"/>
    <mergeCell ref="B1039:D1039"/>
    <mergeCell ref="B1040:D1040"/>
    <mergeCell ref="B1041:D1041"/>
    <mergeCell ref="B1032:D1032"/>
    <mergeCell ref="G1032:H1032"/>
    <mergeCell ref="K1032:L1032"/>
    <mergeCell ref="B1033:D1033"/>
    <mergeCell ref="B1034:D1034"/>
    <mergeCell ref="B1035:D1035"/>
    <mergeCell ref="B1058:D1058"/>
    <mergeCell ref="B1059:D1059"/>
    <mergeCell ref="B1060:D1060"/>
    <mergeCell ref="B1061:D1061"/>
    <mergeCell ref="A1062:D1063"/>
    <mergeCell ref="G1063:I1063"/>
    <mergeCell ref="B1052:D1052"/>
    <mergeCell ref="B1053:D1053"/>
    <mergeCell ref="B1054:D1054"/>
    <mergeCell ref="B1055:D1055"/>
    <mergeCell ref="B1056:D1056"/>
    <mergeCell ref="B1057:D1057"/>
    <mergeCell ref="B1048:D1048"/>
    <mergeCell ref="G1048:H1048"/>
    <mergeCell ref="K1048:L1048"/>
    <mergeCell ref="B1049:D1049"/>
    <mergeCell ref="B1050:D1050"/>
    <mergeCell ref="B1051:D1051"/>
    <mergeCell ref="B1073:D1073"/>
    <mergeCell ref="B1074:D1074"/>
    <mergeCell ref="B1075:D1075"/>
    <mergeCell ref="B1076:D1076"/>
    <mergeCell ref="A1077:D1078"/>
    <mergeCell ref="G1078:I1078"/>
    <mergeCell ref="B1067:D1067"/>
    <mergeCell ref="B1068:D1068"/>
    <mergeCell ref="B1069:D1069"/>
    <mergeCell ref="B1070:D1070"/>
    <mergeCell ref="B1071:D1071"/>
    <mergeCell ref="B1072:D1072"/>
    <mergeCell ref="A1064:L1064"/>
    <mergeCell ref="C1065:D1065"/>
    <mergeCell ref="J1065:L1065"/>
    <mergeCell ref="B1066:D1066"/>
    <mergeCell ref="G1066:H1066"/>
    <mergeCell ref="K1066:L1066"/>
    <mergeCell ref="B1088:D1088"/>
    <mergeCell ref="B1089:D1089"/>
    <mergeCell ref="B1090:D1090"/>
    <mergeCell ref="B1091:D1091"/>
    <mergeCell ref="B1092:D1092"/>
    <mergeCell ref="B1093:D1093"/>
    <mergeCell ref="B1082:D1082"/>
    <mergeCell ref="B1083:D1083"/>
    <mergeCell ref="B1084:D1084"/>
    <mergeCell ref="B1085:D1085"/>
    <mergeCell ref="B1086:D1086"/>
    <mergeCell ref="B1087:D1087"/>
    <mergeCell ref="A1079:L1079"/>
    <mergeCell ref="C1080:D1080"/>
    <mergeCell ref="J1080:L1080"/>
    <mergeCell ref="B1081:D1081"/>
    <mergeCell ref="G1081:H1081"/>
    <mergeCell ref="K1081:L1081"/>
    <mergeCell ref="B1105:D1105"/>
    <mergeCell ref="A1106:L1106"/>
    <mergeCell ref="C1107:D1107"/>
    <mergeCell ref="J1107:L1107"/>
    <mergeCell ref="B1108:D1108"/>
    <mergeCell ref="G1108:H1108"/>
    <mergeCell ref="K1108:L1108"/>
    <mergeCell ref="A1100:D1101"/>
    <mergeCell ref="G1101:I1101"/>
    <mergeCell ref="A1102:L1102"/>
    <mergeCell ref="C1103:D1103"/>
    <mergeCell ref="J1103:L1103"/>
    <mergeCell ref="B1104:D1104"/>
    <mergeCell ref="G1104:H1104"/>
    <mergeCell ref="K1104:L1104"/>
    <mergeCell ref="B1094:D1094"/>
    <mergeCell ref="B1095:D1095"/>
    <mergeCell ref="B1096:D1096"/>
    <mergeCell ref="B1097:D1097"/>
    <mergeCell ref="B1098:D1098"/>
    <mergeCell ref="B1099:D1099"/>
    <mergeCell ref="B1118:D1118"/>
    <mergeCell ref="B1119:D1119"/>
    <mergeCell ref="B1120:D1120"/>
    <mergeCell ref="B1121:D1121"/>
    <mergeCell ref="B1122:D1122"/>
    <mergeCell ref="B1123:D1123"/>
    <mergeCell ref="C1115:D1115"/>
    <mergeCell ref="J1115:L1115"/>
    <mergeCell ref="B1116:D1116"/>
    <mergeCell ref="G1116:H1116"/>
    <mergeCell ref="K1116:L1116"/>
    <mergeCell ref="B1117:D1117"/>
    <mergeCell ref="B1109:D1109"/>
    <mergeCell ref="B1110:D1110"/>
    <mergeCell ref="B1111:D1111"/>
    <mergeCell ref="A1112:D1113"/>
    <mergeCell ref="G1113:I1113"/>
    <mergeCell ref="A1114:L1114"/>
    <mergeCell ref="C1136:D1136"/>
    <mergeCell ref="J1136:L1136"/>
    <mergeCell ref="B1137:D1137"/>
    <mergeCell ref="G1137:H1137"/>
    <mergeCell ref="K1137:L1137"/>
    <mergeCell ref="B1138:D1138"/>
    <mergeCell ref="B1130:D1130"/>
    <mergeCell ref="B1131:D1131"/>
    <mergeCell ref="B1132:D1132"/>
    <mergeCell ref="A1133:D1134"/>
    <mergeCell ref="G1134:I1134"/>
    <mergeCell ref="A1135:L1135"/>
    <mergeCell ref="B1124:D1124"/>
    <mergeCell ref="B1125:D1125"/>
    <mergeCell ref="B1126:D1126"/>
    <mergeCell ref="B1127:D1127"/>
    <mergeCell ref="B1128:D1128"/>
    <mergeCell ref="B1129:D1129"/>
    <mergeCell ref="B1151:D1151"/>
    <mergeCell ref="B1152:D1152"/>
    <mergeCell ref="B1153:D1153"/>
    <mergeCell ref="B1154:D1154"/>
    <mergeCell ref="B1155:D1155"/>
    <mergeCell ref="B1156:D1156"/>
    <mergeCell ref="B1145:D1145"/>
    <mergeCell ref="B1146:D1146"/>
    <mergeCell ref="B1147:D1147"/>
    <mergeCell ref="B1148:D1148"/>
    <mergeCell ref="B1149:D1149"/>
    <mergeCell ref="B1150:D1150"/>
    <mergeCell ref="B1139:D1139"/>
    <mergeCell ref="B1140:D1140"/>
    <mergeCell ref="B1141:D1141"/>
    <mergeCell ref="B1142:D1142"/>
    <mergeCell ref="B1143:D1143"/>
    <mergeCell ref="B1144:D1144"/>
    <mergeCell ref="B1168:D1168"/>
    <mergeCell ref="B1169:D1169"/>
    <mergeCell ref="B1170:D1170"/>
    <mergeCell ref="B1171:D1171"/>
    <mergeCell ref="B1172:D1172"/>
    <mergeCell ref="B1173:D1173"/>
    <mergeCell ref="B1162:D1162"/>
    <mergeCell ref="B1163:D1163"/>
    <mergeCell ref="B1164:D1164"/>
    <mergeCell ref="B1165:D1165"/>
    <mergeCell ref="B1166:D1166"/>
    <mergeCell ref="B1167:D1167"/>
    <mergeCell ref="A1157:D1158"/>
    <mergeCell ref="G1158:I1158"/>
    <mergeCell ref="A1159:L1159"/>
    <mergeCell ref="C1160:D1160"/>
    <mergeCell ref="J1160:L1160"/>
    <mergeCell ref="B1161:D1161"/>
    <mergeCell ref="G1161:H1161"/>
    <mergeCell ref="K1161:L1161"/>
    <mergeCell ref="B1186:D1186"/>
    <mergeCell ref="G1186:H1186"/>
    <mergeCell ref="K1186:L1186"/>
    <mergeCell ref="B1187:D1187"/>
    <mergeCell ref="B1188:D1188"/>
    <mergeCell ref="B1189:D1189"/>
    <mergeCell ref="B1180:D1180"/>
    <mergeCell ref="B1181:D1181"/>
    <mergeCell ref="G1183:I1183"/>
    <mergeCell ref="A1184:L1184"/>
    <mergeCell ref="C1185:D1185"/>
    <mergeCell ref="J1185:L1185"/>
    <mergeCell ref="B1174:D1174"/>
    <mergeCell ref="B1175:D1175"/>
    <mergeCell ref="B1176:D1176"/>
    <mergeCell ref="B1177:D1177"/>
    <mergeCell ref="B1178:D1178"/>
    <mergeCell ref="B1179:D1179"/>
    <mergeCell ref="B1200:D1200"/>
    <mergeCell ref="B1201:D1201"/>
    <mergeCell ref="B1202:D1202"/>
    <mergeCell ref="B1203:D1203"/>
    <mergeCell ref="B1204:D1204"/>
    <mergeCell ref="B1205:D1205"/>
    <mergeCell ref="G1196:I1196"/>
    <mergeCell ref="A1197:L1197"/>
    <mergeCell ref="C1198:D1198"/>
    <mergeCell ref="J1198:L1198"/>
    <mergeCell ref="B1199:D1199"/>
    <mergeCell ref="G1199:H1199"/>
    <mergeCell ref="K1199:L1199"/>
    <mergeCell ref="B1190:D1190"/>
    <mergeCell ref="B1191:D1191"/>
    <mergeCell ref="B1192:D1192"/>
    <mergeCell ref="B1193:D1193"/>
    <mergeCell ref="B1194:D1194"/>
    <mergeCell ref="A1195:D1196"/>
    <mergeCell ref="B1215:D1215"/>
    <mergeCell ref="B1216:D1216"/>
    <mergeCell ref="B1217:D1217"/>
    <mergeCell ref="B1218:D1218"/>
    <mergeCell ref="B1219:D1219"/>
    <mergeCell ref="B1220:D1220"/>
    <mergeCell ref="C1212:D1212"/>
    <mergeCell ref="J1212:L1212"/>
    <mergeCell ref="B1213:D1213"/>
    <mergeCell ref="G1213:H1213"/>
    <mergeCell ref="K1213:L1213"/>
    <mergeCell ref="B1214:D1214"/>
    <mergeCell ref="B1206:D1206"/>
    <mergeCell ref="B1207:D1207"/>
    <mergeCell ref="B1208:D1208"/>
    <mergeCell ref="A1209:D1210"/>
    <mergeCell ref="G1210:I1210"/>
    <mergeCell ref="A1211:L1211"/>
    <mergeCell ref="C1233:D1233"/>
    <mergeCell ref="J1233:L1233"/>
    <mergeCell ref="B1234:D1234"/>
    <mergeCell ref="G1234:H1234"/>
    <mergeCell ref="K1234:L1234"/>
    <mergeCell ref="B1235:D1235"/>
    <mergeCell ref="B1227:D1227"/>
    <mergeCell ref="B1228:D1228"/>
    <mergeCell ref="B1229:D1229"/>
    <mergeCell ref="A1230:D1231"/>
    <mergeCell ref="G1231:I1231"/>
    <mergeCell ref="A1232:L1232"/>
    <mergeCell ref="B1221:D1221"/>
    <mergeCell ref="B1222:D1222"/>
    <mergeCell ref="B1223:D1223"/>
    <mergeCell ref="B1224:D1224"/>
    <mergeCell ref="B1225:D1225"/>
    <mergeCell ref="B1226:D1226"/>
    <mergeCell ref="G1248:I1248"/>
    <mergeCell ref="A1249:L1249"/>
    <mergeCell ref="C1250:D1250"/>
    <mergeCell ref="J1250:L1250"/>
    <mergeCell ref="B1251:D1251"/>
    <mergeCell ref="G1251:H1251"/>
    <mergeCell ref="K1251:L1251"/>
    <mergeCell ref="B1242:D1242"/>
    <mergeCell ref="B1243:D1243"/>
    <mergeCell ref="B1244:D1244"/>
    <mergeCell ref="B1245:D1245"/>
    <mergeCell ref="B1246:D1246"/>
    <mergeCell ref="A1247:D1248"/>
    <mergeCell ref="B1236:D1236"/>
    <mergeCell ref="B1237:D1237"/>
    <mergeCell ref="B1238:D1238"/>
    <mergeCell ref="B1239:D1239"/>
    <mergeCell ref="B1240:D1240"/>
    <mergeCell ref="B1241:D1241"/>
    <mergeCell ref="B1264:D1264"/>
    <mergeCell ref="B1265:D1265"/>
    <mergeCell ref="B1266:D1266"/>
    <mergeCell ref="B1267:D1267"/>
    <mergeCell ref="B1268:D1268"/>
    <mergeCell ref="A1269:D1270"/>
    <mergeCell ref="B1258:D1258"/>
    <mergeCell ref="B1259:D1259"/>
    <mergeCell ref="B1260:D1260"/>
    <mergeCell ref="B1261:D1261"/>
    <mergeCell ref="B1262:D1262"/>
    <mergeCell ref="B1263:D1263"/>
    <mergeCell ref="B1252:D1252"/>
    <mergeCell ref="B1253:D1253"/>
    <mergeCell ref="B1254:D1254"/>
    <mergeCell ref="B1255:D1255"/>
    <mergeCell ref="B1256:D1256"/>
    <mergeCell ref="B1257:D1257"/>
    <mergeCell ref="A1280:L1280"/>
    <mergeCell ref="C1281:D1281"/>
    <mergeCell ref="J1281:L1281"/>
    <mergeCell ref="B1282:D1282"/>
    <mergeCell ref="G1282:H1282"/>
    <mergeCell ref="K1282:L1282"/>
    <mergeCell ref="B1274:D1274"/>
    <mergeCell ref="B1275:D1275"/>
    <mergeCell ref="B1276:D1276"/>
    <mergeCell ref="B1277:D1277"/>
    <mergeCell ref="A1278:D1279"/>
    <mergeCell ref="G1279:I1279"/>
    <mergeCell ref="G1270:I1270"/>
    <mergeCell ref="A1271:L1271"/>
    <mergeCell ref="C1272:D1272"/>
    <mergeCell ref="J1272:L1272"/>
    <mergeCell ref="B1273:D1273"/>
    <mergeCell ref="G1273:H1273"/>
    <mergeCell ref="K1273:L1273"/>
    <mergeCell ref="B1295:D1295"/>
    <mergeCell ref="B1296:D1296"/>
    <mergeCell ref="B1297:D1297"/>
    <mergeCell ref="B1298:D1298"/>
    <mergeCell ref="A1299:D1300"/>
    <mergeCell ref="G1300:I1300"/>
    <mergeCell ref="B1289:D1289"/>
    <mergeCell ref="B1290:D1290"/>
    <mergeCell ref="B1291:D1291"/>
    <mergeCell ref="B1292:D1292"/>
    <mergeCell ref="B1293:D1293"/>
    <mergeCell ref="B1294:D1294"/>
    <mergeCell ref="B1283:D1283"/>
    <mergeCell ref="B1284:D1284"/>
    <mergeCell ref="B1285:D1285"/>
    <mergeCell ref="B1286:D1286"/>
    <mergeCell ref="B1287:D1287"/>
    <mergeCell ref="B1288:D1288"/>
    <mergeCell ref="A1310:L1310"/>
    <mergeCell ref="C1311:D1311"/>
    <mergeCell ref="J1311:L1311"/>
    <mergeCell ref="B1312:D1312"/>
    <mergeCell ref="G1312:H1312"/>
    <mergeCell ref="K1312:L1312"/>
    <mergeCell ref="B1304:D1304"/>
    <mergeCell ref="B1305:D1305"/>
    <mergeCell ref="B1306:D1306"/>
    <mergeCell ref="B1307:D1307"/>
    <mergeCell ref="A1308:D1309"/>
    <mergeCell ref="G1309:I1309"/>
    <mergeCell ref="A1301:L1301"/>
    <mergeCell ref="C1302:D1302"/>
    <mergeCell ref="J1302:L1302"/>
    <mergeCell ref="B1303:D1303"/>
    <mergeCell ref="G1303:H1303"/>
    <mergeCell ref="K1303:L1303"/>
    <mergeCell ref="B1325:D1325"/>
    <mergeCell ref="B1326:D1326"/>
    <mergeCell ref="B1327:D1327"/>
    <mergeCell ref="A1328:D1329"/>
    <mergeCell ref="G1328:I1328"/>
    <mergeCell ref="E1329:L1329"/>
    <mergeCell ref="B1319:D1319"/>
    <mergeCell ref="B1320:D1320"/>
    <mergeCell ref="B1321:D1321"/>
    <mergeCell ref="B1322:D1322"/>
    <mergeCell ref="B1323:D1323"/>
    <mergeCell ref="B1324:D1324"/>
    <mergeCell ref="B1313:D1313"/>
    <mergeCell ref="B1314:D1314"/>
    <mergeCell ref="B1315:D1315"/>
    <mergeCell ref="B1316:D1316"/>
    <mergeCell ref="B1317:D1317"/>
    <mergeCell ref="B1318:D1318"/>
    <mergeCell ref="B1339:D1339"/>
    <mergeCell ref="B1340:D1340"/>
    <mergeCell ref="B1341:D1341"/>
    <mergeCell ref="B1342:D1342"/>
    <mergeCell ref="B1343:D1343"/>
    <mergeCell ref="A1344:D1345"/>
    <mergeCell ref="B1333:D1333"/>
    <mergeCell ref="B1334:D1334"/>
    <mergeCell ref="B1335:D1335"/>
    <mergeCell ref="B1336:D1336"/>
    <mergeCell ref="B1337:D1337"/>
    <mergeCell ref="B1338:D1338"/>
    <mergeCell ref="A1330:L1330"/>
    <mergeCell ref="C1331:D1331"/>
    <mergeCell ref="J1331:L1331"/>
    <mergeCell ref="B1332:D1332"/>
    <mergeCell ref="G1332:H1332"/>
    <mergeCell ref="K1332:L1332"/>
    <mergeCell ref="B1355:D1355"/>
    <mergeCell ref="B1356:D1356"/>
    <mergeCell ref="B1357:D1357"/>
    <mergeCell ref="B1358:D1358"/>
    <mergeCell ref="B1359:D1359"/>
    <mergeCell ref="B1360:D1360"/>
    <mergeCell ref="B1349:D1349"/>
    <mergeCell ref="B1350:D1350"/>
    <mergeCell ref="B1351:D1351"/>
    <mergeCell ref="B1352:D1352"/>
    <mergeCell ref="B1353:D1353"/>
    <mergeCell ref="B1354:D1354"/>
    <mergeCell ref="G1345:I1345"/>
    <mergeCell ref="A1346:L1346"/>
    <mergeCell ref="C1347:D1347"/>
    <mergeCell ref="J1347:L1347"/>
    <mergeCell ref="B1348:D1348"/>
    <mergeCell ref="G1348:H1348"/>
    <mergeCell ref="K1348:L1348"/>
    <mergeCell ref="B1371:D1371"/>
    <mergeCell ref="G1371:H1371"/>
    <mergeCell ref="A1372:L1372"/>
    <mergeCell ref="C1373:D1373"/>
    <mergeCell ref="J1373:L1373"/>
    <mergeCell ref="B1374:D1374"/>
    <mergeCell ref="G1374:H1374"/>
    <mergeCell ref="K1374:L1374"/>
    <mergeCell ref="G1367:I1367"/>
    <mergeCell ref="A1368:L1368"/>
    <mergeCell ref="C1369:D1369"/>
    <mergeCell ref="J1369:L1369"/>
    <mergeCell ref="B1370:D1370"/>
    <mergeCell ref="G1370:H1370"/>
    <mergeCell ref="K1370:L1370"/>
    <mergeCell ref="B1361:D1361"/>
    <mergeCell ref="B1362:D1362"/>
    <mergeCell ref="B1363:D1363"/>
    <mergeCell ref="B1364:D1364"/>
    <mergeCell ref="B1365:D1365"/>
    <mergeCell ref="A1366:D1367"/>
    <mergeCell ref="B1384:D1384"/>
    <mergeCell ref="B1385:D1385"/>
    <mergeCell ref="B1386:D1386"/>
    <mergeCell ref="B1387:D1387"/>
    <mergeCell ref="B1388:D1388"/>
    <mergeCell ref="B1389:D1389"/>
    <mergeCell ref="C1381:D1381"/>
    <mergeCell ref="J1381:L1381"/>
    <mergeCell ref="B1382:D1382"/>
    <mergeCell ref="G1382:H1382"/>
    <mergeCell ref="K1382:L1382"/>
    <mergeCell ref="B1383:D1383"/>
    <mergeCell ref="B1375:D1375"/>
    <mergeCell ref="B1376:D1376"/>
    <mergeCell ref="B1377:D1377"/>
    <mergeCell ref="A1378:D1379"/>
    <mergeCell ref="G1379:I1379"/>
    <mergeCell ref="A1380:L1380"/>
    <mergeCell ref="B1400:D1400"/>
    <mergeCell ref="B1401:D1401"/>
    <mergeCell ref="B1402:D1402"/>
    <mergeCell ref="B1403:D1403"/>
    <mergeCell ref="B1404:D1404"/>
    <mergeCell ref="B1405:D1405"/>
    <mergeCell ref="B1394:D1394"/>
    <mergeCell ref="B1395:D1395"/>
    <mergeCell ref="B1396:D1396"/>
    <mergeCell ref="I1397:J1397"/>
    <mergeCell ref="B1398:D1398"/>
    <mergeCell ref="B1399:D1399"/>
    <mergeCell ref="B1390:D1390"/>
    <mergeCell ref="A1391:L1391"/>
    <mergeCell ref="C1392:D1392"/>
    <mergeCell ref="J1392:L1392"/>
    <mergeCell ref="B1393:D1393"/>
    <mergeCell ref="G1393:H1393"/>
    <mergeCell ref="K1393:L1393"/>
    <mergeCell ref="B1416:D1416"/>
    <mergeCell ref="B1417:D1417"/>
    <mergeCell ref="A1418:D1419"/>
    <mergeCell ref="G1419:I1419"/>
    <mergeCell ref="A1420:L1420"/>
    <mergeCell ref="C1421:D1421"/>
    <mergeCell ref="J1421:L1421"/>
    <mergeCell ref="B1412:D1412"/>
    <mergeCell ref="G1412:H1412"/>
    <mergeCell ref="K1412:L1412"/>
    <mergeCell ref="B1413:D1413"/>
    <mergeCell ref="B1414:D1414"/>
    <mergeCell ref="B1415:D1415"/>
    <mergeCell ref="B1406:D1406"/>
    <mergeCell ref="B1407:D1407"/>
    <mergeCell ref="A1408:D1409"/>
    <mergeCell ref="G1409:I1409"/>
    <mergeCell ref="A1410:L1410"/>
    <mergeCell ref="C1411:D1411"/>
    <mergeCell ref="J1411:L1411"/>
    <mergeCell ref="B1431:D1431"/>
    <mergeCell ref="G1431:H1431"/>
    <mergeCell ref="B1432:D1432"/>
    <mergeCell ref="B1433:D1433"/>
    <mergeCell ref="B1434:D1434"/>
    <mergeCell ref="B1435:D1435"/>
    <mergeCell ref="B1426:D1426"/>
    <mergeCell ref="A1427:D1428"/>
    <mergeCell ref="G1428:I1428"/>
    <mergeCell ref="A1429:L1429"/>
    <mergeCell ref="C1430:D1430"/>
    <mergeCell ref="J1430:L1430"/>
    <mergeCell ref="B1422:D1422"/>
    <mergeCell ref="G1422:H1422"/>
    <mergeCell ref="K1422:L1422"/>
    <mergeCell ref="B1423:D1423"/>
    <mergeCell ref="B1424:D1424"/>
    <mergeCell ref="B1425:D1425"/>
    <mergeCell ref="B1446:D1446"/>
    <mergeCell ref="I1446:J1446"/>
    <mergeCell ref="K1446:L1446"/>
    <mergeCell ref="B1447:D1447"/>
    <mergeCell ref="I1447:J1447"/>
    <mergeCell ref="B1448:D1448"/>
    <mergeCell ref="A1441:D1442"/>
    <mergeCell ref="G1442:I1442"/>
    <mergeCell ref="G1443:I1443"/>
    <mergeCell ref="A1444:L1444"/>
    <mergeCell ref="C1445:D1445"/>
    <mergeCell ref="J1445:L1445"/>
    <mergeCell ref="B1436:D1436"/>
    <mergeCell ref="B1437:D1437"/>
    <mergeCell ref="B1438:D1438"/>
    <mergeCell ref="B1439:D1439"/>
    <mergeCell ref="F1439:F1440"/>
    <mergeCell ref="G1439:J1439"/>
    <mergeCell ref="B1440:D1440"/>
    <mergeCell ref="G1440:J1440"/>
    <mergeCell ref="B1456:D1456"/>
    <mergeCell ref="I1456:J1456"/>
    <mergeCell ref="K1456:L1456"/>
    <mergeCell ref="B1457:D1457"/>
    <mergeCell ref="I1457:J1457"/>
    <mergeCell ref="B1458:D1458"/>
    <mergeCell ref="B1452:D1452"/>
    <mergeCell ref="I1452:J1452"/>
    <mergeCell ref="B1453:D1453"/>
    <mergeCell ref="A1454:L1454"/>
    <mergeCell ref="C1455:D1455"/>
    <mergeCell ref="J1455:L1455"/>
    <mergeCell ref="A1449:L1449"/>
    <mergeCell ref="C1450:D1450"/>
    <mergeCell ref="J1450:L1450"/>
    <mergeCell ref="B1451:D1451"/>
    <mergeCell ref="I1451:J1451"/>
    <mergeCell ref="K1451:L1451"/>
    <mergeCell ref="B1466:D1466"/>
    <mergeCell ref="I1466:J1466"/>
    <mergeCell ref="K1466:L1466"/>
    <mergeCell ref="B1467:D1467"/>
    <mergeCell ref="I1467:J1467"/>
    <mergeCell ref="B1468:D1468"/>
    <mergeCell ref="B1462:D1462"/>
    <mergeCell ref="I1462:J1462"/>
    <mergeCell ref="B1463:D1463"/>
    <mergeCell ref="A1464:L1464"/>
    <mergeCell ref="C1465:D1465"/>
    <mergeCell ref="J1465:L1465"/>
    <mergeCell ref="C1460:D1460"/>
    <mergeCell ref="J1460:L1460"/>
    <mergeCell ref="B1461:D1461"/>
    <mergeCell ref="G1461:H1461"/>
    <mergeCell ref="I1461:J1461"/>
    <mergeCell ref="K1461:L1461"/>
    <mergeCell ref="B1476:D1476"/>
    <mergeCell ref="G1476:H1476"/>
    <mergeCell ref="I1476:J1476"/>
    <mergeCell ref="K1476:L1476"/>
    <mergeCell ref="B1477:D1477"/>
    <mergeCell ref="I1477:J1477"/>
    <mergeCell ref="B1472:D1472"/>
    <mergeCell ref="I1472:J1472"/>
    <mergeCell ref="B1473:D1473"/>
    <mergeCell ref="A1474:L1474"/>
    <mergeCell ref="C1475:D1475"/>
    <mergeCell ref="J1475:L1475"/>
    <mergeCell ref="A1469:L1469"/>
    <mergeCell ref="C1470:D1470"/>
    <mergeCell ref="J1470:L1470"/>
    <mergeCell ref="B1471:D1471"/>
    <mergeCell ref="I1471:J1471"/>
    <mergeCell ref="K1471:L1471"/>
    <mergeCell ref="B1488:D1488"/>
    <mergeCell ref="B1489:D1489"/>
    <mergeCell ref="B1490:D1490"/>
    <mergeCell ref="B1491:D1491"/>
    <mergeCell ref="B1492:D1492"/>
    <mergeCell ref="F1493:F1494"/>
    <mergeCell ref="B1482:D1482"/>
    <mergeCell ref="B1483:D1483"/>
    <mergeCell ref="B1484:D1484"/>
    <mergeCell ref="B1485:D1485"/>
    <mergeCell ref="B1486:D1486"/>
    <mergeCell ref="B1487:D1487"/>
    <mergeCell ref="B1478:D1478"/>
    <mergeCell ref="A1479:L1479"/>
    <mergeCell ref="C1480:D1480"/>
    <mergeCell ref="J1480:L1480"/>
    <mergeCell ref="B1481:D1481"/>
    <mergeCell ref="G1481:H1481"/>
    <mergeCell ref="K1481:L1481"/>
    <mergeCell ref="B1506:D1506"/>
    <mergeCell ref="B1507:D1507"/>
    <mergeCell ref="B1508:D1508"/>
    <mergeCell ref="B1509:D1509"/>
    <mergeCell ref="B1510:D1510"/>
    <mergeCell ref="B1511:D1511"/>
    <mergeCell ref="B1500:D1500"/>
    <mergeCell ref="B1501:D1501"/>
    <mergeCell ref="B1502:D1502"/>
    <mergeCell ref="B1503:D1503"/>
    <mergeCell ref="B1504:D1504"/>
    <mergeCell ref="B1505:D1505"/>
    <mergeCell ref="G1493:J1493"/>
    <mergeCell ref="G1494:J1494"/>
    <mergeCell ref="A1497:L1497"/>
    <mergeCell ref="C1498:D1498"/>
    <mergeCell ref="J1498:L1498"/>
    <mergeCell ref="B1499:D1499"/>
    <mergeCell ref="G1499:H1499"/>
    <mergeCell ref="K1499:L1499"/>
    <mergeCell ref="A1522:C1522"/>
    <mergeCell ref="D1522:L1522"/>
    <mergeCell ref="A1523:C1523"/>
    <mergeCell ref="D1523:L1523"/>
    <mergeCell ref="A1524:C1524"/>
    <mergeCell ref="D1524:L1524"/>
    <mergeCell ref="A1518:L1518"/>
    <mergeCell ref="A1519:C1519"/>
    <mergeCell ref="D1519:L1519"/>
    <mergeCell ref="A1520:C1520"/>
    <mergeCell ref="D1520:L1520"/>
    <mergeCell ref="A1521:C1521"/>
    <mergeCell ref="D1521:L1521"/>
    <mergeCell ref="F1512:F1513"/>
    <mergeCell ref="G1512:J1512"/>
    <mergeCell ref="G1513:J1513"/>
    <mergeCell ref="G1515:I1515"/>
    <mergeCell ref="F1516:I1516"/>
    <mergeCell ref="G1517:I1517"/>
    <mergeCell ref="B1531:D1531"/>
    <mergeCell ref="B1532:D1532"/>
    <mergeCell ref="B1533:D1533"/>
    <mergeCell ref="B1534:D1534"/>
    <mergeCell ref="F1536:F1537"/>
    <mergeCell ref="G1536:J1536"/>
    <mergeCell ref="G1537:J1537"/>
    <mergeCell ref="A1528:L1528"/>
    <mergeCell ref="C1529:D1529"/>
    <mergeCell ref="J1529:L1529"/>
    <mergeCell ref="B1530:D1530"/>
    <mergeCell ref="G1530:H1530"/>
    <mergeCell ref="K1530:L1530"/>
    <mergeCell ref="A1525:C1525"/>
    <mergeCell ref="D1525:L1525"/>
    <mergeCell ref="A1526:C1526"/>
    <mergeCell ref="D1526:L1526"/>
    <mergeCell ref="A1527:C1527"/>
    <mergeCell ref="D1527:L1527"/>
    <mergeCell ref="B1549:D1549"/>
    <mergeCell ref="B1550:D1550"/>
    <mergeCell ref="B1551:D1551"/>
    <mergeCell ref="B1552:D1552"/>
    <mergeCell ref="B1553:D1553"/>
    <mergeCell ref="B1554:D1554"/>
    <mergeCell ref="B1543:D1543"/>
    <mergeCell ref="B1544:D1544"/>
    <mergeCell ref="B1545:D1545"/>
    <mergeCell ref="B1546:D1546"/>
    <mergeCell ref="B1547:D1547"/>
    <mergeCell ref="B1548:D1548"/>
    <mergeCell ref="B1539:D1539"/>
    <mergeCell ref="G1539:I1539"/>
    <mergeCell ref="A1540:L1540"/>
    <mergeCell ref="C1541:D1541"/>
    <mergeCell ref="J1541:L1541"/>
    <mergeCell ref="B1542:D1542"/>
    <mergeCell ref="G1542:H1542"/>
    <mergeCell ref="K1542:L1542"/>
    <mergeCell ref="B1564:D1564"/>
    <mergeCell ref="B1565:D1565"/>
    <mergeCell ref="B1566:D1566"/>
    <mergeCell ref="B1567:D1567"/>
    <mergeCell ref="B1568:D1568"/>
    <mergeCell ref="B1569:D1569"/>
    <mergeCell ref="A1561:L1561"/>
    <mergeCell ref="C1562:D1562"/>
    <mergeCell ref="J1562:L1562"/>
    <mergeCell ref="B1563:D1563"/>
    <mergeCell ref="G1563:H1563"/>
    <mergeCell ref="K1563:L1563"/>
    <mergeCell ref="F1555:F1556"/>
    <mergeCell ref="G1555:J1555"/>
    <mergeCell ref="G1556:J1556"/>
    <mergeCell ref="G1558:I1558"/>
    <mergeCell ref="F1559:I1559"/>
    <mergeCell ref="G1560:I1560"/>
    <mergeCell ref="A1582:C1582"/>
    <mergeCell ref="D1582:L1582"/>
    <mergeCell ref="A1583:C1583"/>
    <mergeCell ref="D1583:L1583"/>
    <mergeCell ref="A1584:C1584"/>
    <mergeCell ref="D1584:L1584"/>
    <mergeCell ref="F1576:F1577"/>
    <mergeCell ref="G1576:J1576"/>
    <mergeCell ref="G1577:J1577"/>
    <mergeCell ref="G1579:I1579"/>
    <mergeCell ref="G1580:I1580"/>
    <mergeCell ref="A1581:L1581"/>
    <mergeCell ref="B1570:D1570"/>
    <mergeCell ref="B1571:D1571"/>
    <mergeCell ref="B1572:D1572"/>
    <mergeCell ref="B1573:D1573"/>
    <mergeCell ref="B1574:D1574"/>
    <mergeCell ref="B1575:D1575"/>
    <mergeCell ref="A1591:L1591"/>
    <mergeCell ref="C1592:D1592"/>
    <mergeCell ref="J1592:L1592"/>
    <mergeCell ref="B1593:D1593"/>
    <mergeCell ref="I1593:J1593"/>
    <mergeCell ref="K1593:L1593"/>
    <mergeCell ref="A1588:C1588"/>
    <mergeCell ref="D1588:L1588"/>
    <mergeCell ref="A1589:C1589"/>
    <mergeCell ref="D1589:L1589"/>
    <mergeCell ref="A1590:C1590"/>
    <mergeCell ref="D1590:L1590"/>
    <mergeCell ref="A1585:C1585"/>
    <mergeCell ref="D1585:L1585"/>
    <mergeCell ref="A1586:C1586"/>
    <mergeCell ref="D1586:L1586"/>
    <mergeCell ref="A1587:C1587"/>
    <mergeCell ref="D1587:L1587"/>
    <mergeCell ref="B1603:D1603"/>
    <mergeCell ref="G1603:H1603"/>
    <mergeCell ref="A1604:L1604"/>
    <mergeCell ref="C1605:D1605"/>
    <mergeCell ref="J1605:L1605"/>
    <mergeCell ref="B1606:D1606"/>
    <mergeCell ref="I1606:J1606"/>
    <mergeCell ref="K1606:L1606"/>
    <mergeCell ref="A1600:L1600"/>
    <mergeCell ref="C1601:D1601"/>
    <mergeCell ref="J1601:L1601"/>
    <mergeCell ref="B1602:D1602"/>
    <mergeCell ref="G1602:H1602"/>
    <mergeCell ref="K1602:L1602"/>
    <mergeCell ref="B1594:D1594"/>
    <mergeCell ref="I1594:J1594"/>
    <mergeCell ref="B1595:D1595"/>
    <mergeCell ref="B1596:D1596"/>
    <mergeCell ref="G1596:I1596"/>
    <mergeCell ref="A1597:L1599"/>
    <mergeCell ref="B1614:D1614"/>
    <mergeCell ref="I1614:J1614"/>
    <mergeCell ref="B1615:D1615"/>
    <mergeCell ref="I1615:J1615"/>
    <mergeCell ref="F1617:F1618"/>
    <mergeCell ref="G1617:J1617"/>
    <mergeCell ref="G1618:J1618"/>
    <mergeCell ref="G1611:H1611"/>
    <mergeCell ref="I1611:J1611"/>
    <mergeCell ref="K1611:L1611"/>
    <mergeCell ref="B1612:D1612"/>
    <mergeCell ref="I1612:J1612"/>
    <mergeCell ref="B1613:D1613"/>
    <mergeCell ref="I1613:J1613"/>
    <mergeCell ref="B1607:D1607"/>
    <mergeCell ref="I1607:J1607"/>
    <mergeCell ref="B1608:D1608"/>
    <mergeCell ref="A1609:L1609"/>
    <mergeCell ref="C1610:D1610"/>
    <mergeCell ref="J1610:L1610"/>
    <mergeCell ref="B1628:D1628"/>
    <mergeCell ref="G1628:H1628"/>
    <mergeCell ref="I1628:J1628"/>
    <mergeCell ref="K1628:L1628"/>
    <mergeCell ref="B1629:D1629"/>
    <mergeCell ref="I1629:J1629"/>
    <mergeCell ref="B1624:D1624"/>
    <mergeCell ref="I1624:J1624"/>
    <mergeCell ref="B1625:D1625"/>
    <mergeCell ref="A1626:L1626"/>
    <mergeCell ref="C1627:D1627"/>
    <mergeCell ref="J1627:L1627"/>
    <mergeCell ref="B1619:D1619"/>
    <mergeCell ref="A1621:L1621"/>
    <mergeCell ref="C1622:D1622"/>
    <mergeCell ref="J1622:L1622"/>
    <mergeCell ref="B1623:D1623"/>
    <mergeCell ref="G1623:H1623"/>
    <mergeCell ref="I1623:J1623"/>
    <mergeCell ref="K1623:L1623"/>
    <mergeCell ref="B1638:D1638"/>
    <mergeCell ref="I1638:J1638"/>
    <mergeCell ref="K1638:L1638"/>
    <mergeCell ref="B1639:D1639"/>
    <mergeCell ref="I1639:J1639"/>
    <mergeCell ref="B1640:D1640"/>
    <mergeCell ref="B1634:D1634"/>
    <mergeCell ref="I1634:J1634"/>
    <mergeCell ref="B1635:D1635"/>
    <mergeCell ref="A1636:L1636"/>
    <mergeCell ref="C1637:D1637"/>
    <mergeCell ref="J1637:L1637"/>
    <mergeCell ref="B1630:D1630"/>
    <mergeCell ref="A1631:L1631"/>
    <mergeCell ref="C1632:D1632"/>
    <mergeCell ref="J1632:L1632"/>
    <mergeCell ref="B1633:D1633"/>
    <mergeCell ref="G1633:H1633"/>
    <mergeCell ref="I1633:J1633"/>
    <mergeCell ref="K1633:L1633"/>
    <mergeCell ref="B1648:D1648"/>
    <mergeCell ref="I1648:J1648"/>
    <mergeCell ref="K1648:L1648"/>
    <mergeCell ref="B1649:D1649"/>
    <mergeCell ref="I1649:J1649"/>
    <mergeCell ref="B1650:D1650"/>
    <mergeCell ref="B1644:D1644"/>
    <mergeCell ref="I1644:J1644"/>
    <mergeCell ref="B1645:D1645"/>
    <mergeCell ref="A1646:L1646"/>
    <mergeCell ref="C1647:D1647"/>
    <mergeCell ref="J1647:L1647"/>
    <mergeCell ref="A1641:L1641"/>
    <mergeCell ref="C1642:D1642"/>
    <mergeCell ref="J1642:L1642"/>
    <mergeCell ref="B1643:D1643"/>
    <mergeCell ref="I1643:J1643"/>
    <mergeCell ref="K1643:L1643"/>
    <mergeCell ref="B1658:D1658"/>
    <mergeCell ref="I1658:J1658"/>
    <mergeCell ref="K1658:L1658"/>
    <mergeCell ref="B1659:D1659"/>
    <mergeCell ref="I1659:J1659"/>
    <mergeCell ref="B1660:D1660"/>
    <mergeCell ref="I1660:J1660"/>
    <mergeCell ref="B1654:D1654"/>
    <mergeCell ref="I1654:J1654"/>
    <mergeCell ref="B1655:D1655"/>
    <mergeCell ref="A1656:L1656"/>
    <mergeCell ref="C1657:D1657"/>
    <mergeCell ref="J1657:L1657"/>
    <mergeCell ref="A1651:L1651"/>
    <mergeCell ref="C1652:D1652"/>
    <mergeCell ref="J1652:L1652"/>
    <mergeCell ref="B1653:D1653"/>
    <mergeCell ref="I1653:J1653"/>
    <mergeCell ref="K1653:L1653"/>
    <mergeCell ref="B1669:D1669"/>
    <mergeCell ref="I1669:J1669"/>
    <mergeCell ref="B1670:D1670"/>
    <mergeCell ref="I1670:J1670"/>
    <mergeCell ref="B1671:D1671"/>
    <mergeCell ref="A1672:L1672"/>
    <mergeCell ref="B1665:D1665"/>
    <mergeCell ref="G1665:H1665"/>
    <mergeCell ref="A1666:L1666"/>
    <mergeCell ref="C1667:D1667"/>
    <mergeCell ref="J1667:L1667"/>
    <mergeCell ref="B1668:D1668"/>
    <mergeCell ref="G1668:H1668"/>
    <mergeCell ref="I1668:J1668"/>
    <mergeCell ref="K1668:L1668"/>
    <mergeCell ref="B1661:D1661"/>
    <mergeCell ref="A1662:L1662"/>
    <mergeCell ref="C1663:D1663"/>
    <mergeCell ref="J1663:L1663"/>
    <mergeCell ref="B1664:D1664"/>
    <mergeCell ref="G1664:H1664"/>
    <mergeCell ref="K1664:L1664"/>
    <mergeCell ref="B1680:D1680"/>
    <mergeCell ref="I1680:J1680"/>
    <mergeCell ref="G1681:I1681"/>
    <mergeCell ref="A1682:L1682"/>
    <mergeCell ref="C1683:D1683"/>
    <mergeCell ref="J1683:L1683"/>
    <mergeCell ref="B1676:D1676"/>
    <mergeCell ref="A1677:L1677"/>
    <mergeCell ref="C1678:D1678"/>
    <mergeCell ref="J1678:L1678"/>
    <mergeCell ref="B1679:D1679"/>
    <mergeCell ref="I1679:J1679"/>
    <mergeCell ref="K1679:L1679"/>
    <mergeCell ref="C1673:D1673"/>
    <mergeCell ref="J1673:L1673"/>
    <mergeCell ref="B1674:D1674"/>
    <mergeCell ref="I1674:J1674"/>
    <mergeCell ref="K1674:L1674"/>
    <mergeCell ref="B1675:D1675"/>
    <mergeCell ref="I1675:J1675"/>
    <mergeCell ref="B1689:D1689"/>
    <mergeCell ref="I1689:J1689"/>
    <mergeCell ref="B1690:D1690"/>
    <mergeCell ref="I1690:J1690"/>
    <mergeCell ref="B1691:D1691"/>
    <mergeCell ref="I1691:J1691"/>
    <mergeCell ref="C1687:D1687"/>
    <mergeCell ref="J1687:L1687"/>
    <mergeCell ref="B1688:D1688"/>
    <mergeCell ref="G1688:H1688"/>
    <mergeCell ref="I1688:J1688"/>
    <mergeCell ref="K1688:L1688"/>
    <mergeCell ref="B1684:D1684"/>
    <mergeCell ref="G1684:H1684"/>
    <mergeCell ref="K1684:L1684"/>
    <mergeCell ref="B1685:D1685"/>
    <mergeCell ref="G1685:H1685"/>
    <mergeCell ref="A1686:L1686"/>
    <mergeCell ref="B1702:D1702"/>
    <mergeCell ref="I1702:J1702"/>
    <mergeCell ref="B1703:D1703"/>
    <mergeCell ref="I1703:J1703"/>
    <mergeCell ref="B1704:D1704"/>
    <mergeCell ref="I1704:J1704"/>
    <mergeCell ref="G1698:I1698"/>
    <mergeCell ref="A1699:L1699"/>
    <mergeCell ref="C1700:D1700"/>
    <mergeCell ref="J1700:L1700"/>
    <mergeCell ref="B1701:D1701"/>
    <mergeCell ref="G1701:H1701"/>
    <mergeCell ref="I1701:J1701"/>
    <mergeCell ref="K1701:L1701"/>
    <mergeCell ref="B1692:D1692"/>
    <mergeCell ref="I1692:J1692"/>
    <mergeCell ref="B1693:D1693"/>
    <mergeCell ref="I1693:J1693"/>
    <mergeCell ref="B1694:D1694"/>
    <mergeCell ref="B1695:D1695"/>
    <mergeCell ref="F1695:F1696"/>
    <mergeCell ref="G1695:J1695"/>
    <mergeCell ref="G1696:J1696"/>
    <mergeCell ref="C1714:D1714"/>
    <mergeCell ref="J1714:L1714"/>
    <mergeCell ref="B1715:D1715"/>
    <mergeCell ref="G1715:H1715"/>
    <mergeCell ref="I1715:J1715"/>
    <mergeCell ref="K1715:L1715"/>
    <mergeCell ref="B1708:D1708"/>
    <mergeCell ref="F1709:F1710"/>
    <mergeCell ref="G1709:J1709"/>
    <mergeCell ref="G1710:J1710"/>
    <mergeCell ref="G1712:I1712"/>
    <mergeCell ref="A1713:L1713"/>
    <mergeCell ref="B1705:D1705"/>
    <mergeCell ref="I1705:J1705"/>
    <mergeCell ref="B1706:D1706"/>
    <mergeCell ref="I1706:J1706"/>
    <mergeCell ref="B1707:D1707"/>
    <mergeCell ref="I1707:J1707"/>
    <mergeCell ref="B1722:D1722"/>
    <mergeCell ref="F1723:F1724"/>
    <mergeCell ref="G1723:J1723"/>
    <mergeCell ref="G1724:J1724"/>
    <mergeCell ref="G1726:I1726"/>
    <mergeCell ref="A1727:L1727"/>
    <mergeCell ref="B1719:D1719"/>
    <mergeCell ref="I1719:J1719"/>
    <mergeCell ref="B1720:D1720"/>
    <mergeCell ref="I1720:J1720"/>
    <mergeCell ref="B1721:D1721"/>
    <mergeCell ref="I1721:J1721"/>
    <mergeCell ref="B1716:D1716"/>
    <mergeCell ref="I1716:J1716"/>
    <mergeCell ref="B1717:D1717"/>
    <mergeCell ref="I1717:J1717"/>
    <mergeCell ref="B1718:D1718"/>
    <mergeCell ref="I1718:J1718"/>
    <mergeCell ref="G1736:J1736"/>
    <mergeCell ref="G1737:J1737"/>
    <mergeCell ref="G1739:I1739"/>
    <mergeCell ref="F1740:I1740"/>
    <mergeCell ref="G1741:I1741"/>
    <mergeCell ref="A1742:L1742"/>
    <mergeCell ref="B1731:D1731"/>
    <mergeCell ref="B1732:D1732"/>
    <mergeCell ref="B1733:D1733"/>
    <mergeCell ref="B1734:D1734"/>
    <mergeCell ref="B1735:D1735"/>
    <mergeCell ref="F1736:F1737"/>
    <mergeCell ref="C1728:D1728"/>
    <mergeCell ref="J1728:L1728"/>
    <mergeCell ref="B1729:D1729"/>
    <mergeCell ref="G1729:H1729"/>
    <mergeCell ref="K1729:L1729"/>
    <mergeCell ref="B1730:D1730"/>
    <mergeCell ref="B1749:D1749"/>
    <mergeCell ref="G1749:H1749"/>
    <mergeCell ref="I1749:J1749"/>
    <mergeCell ref="K1749:L1749"/>
    <mergeCell ref="B1750:D1750"/>
    <mergeCell ref="I1750:J1750"/>
    <mergeCell ref="B1745:D1745"/>
    <mergeCell ref="I1745:J1745"/>
    <mergeCell ref="B1746:D1746"/>
    <mergeCell ref="A1747:L1747"/>
    <mergeCell ref="C1748:D1748"/>
    <mergeCell ref="J1748:L1748"/>
    <mergeCell ref="C1743:D1743"/>
    <mergeCell ref="J1743:L1743"/>
    <mergeCell ref="B1744:D1744"/>
    <mergeCell ref="G1744:H1744"/>
    <mergeCell ref="I1744:J1744"/>
    <mergeCell ref="K1744:L1744"/>
    <mergeCell ref="F1760:I1760"/>
    <mergeCell ref="G1761:I1761"/>
    <mergeCell ref="A1762:L1762"/>
    <mergeCell ref="C1763:D1763"/>
    <mergeCell ref="J1763:L1763"/>
    <mergeCell ref="B1764:D1764"/>
    <mergeCell ref="I1764:J1764"/>
    <mergeCell ref="K1764:L1764"/>
    <mergeCell ref="B1755:D1755"/>
    <mergeCell ref="F1756:F1757"/>
    <mergeCell ref="G1756:J1756"/>
    <mergeCell ref="G1757:J1757"/>
    <mergeCell ref="B1759:D1759"/>
    <mergeCell ref="G1759:I1759"/>
    <mergeCell ref="B1751:D1751"/>
    <mergeCell ref="A1752:L1752"/>
    <mergeCell ref="C1753:D1753"/>
    <mergeCell ref="J1753:L1753"/>
    <mergeCell ref="B1754:D1754"/>
    <mergeCell ref="G1754:H1754"/>
    <mergeCell ref="K1754:L1754"/>
    <mergeCell ref="A1772:L1772"/>
    <mergeCell ref="C1773:D1773"/>
    <mergeCell ref="J1773:L1773"/>
    <mergeCell ref="B1774:D1774"/>
    <mergeCell ref="I1774:J1774"/>
    <mergeCell ref="K1774:L1774"/>
    <mergeCell ref="B1769:D1769"/>
    <mergeCell ref="I1769:J1769"/>
    <mergeCell ref="K1769:L1769"/>
    <mergeCell ref="B1770:D1770"/>
    <mergeCell ref="I1770:J1770"/>
    <mergeCell ref="B1771:D1771"/>
    <mergeCell ref="B1765:D1765"/>
    <mergeCell ref="I1765:J1765"/>
    <mergeCell ref="B1766:D1766"/>
    <mergeCell ref="A1767:L1767"/>
    <mergeCell ref="C1768:D1768"/>
    <mergeCell ref="J1768:L1768"/>
    <mergeCell ref="B1781:D1781"/>
    <mergeCell ref="A1782:L1782"/>
    <mergeCell ref="C1783:D1783"/>
    <mergeCell ref="J1783:L1783"/>
    <mergeCell ref="B1784:D1784"/>
    <mergeCell ref="G1784:H1784"/>
    <mergeCell ref="I1784:J1784"/>
    <mergeCell ref="K1784:L1784"/>
    <mergeCell ref="B1779:D1779"/>
    <mergeCell ref="G1779:H1779"/>
    <mergeCell ref="I1779:J1779"/>
    <mergeCell ref="K1779:L1779"/>
    <mergeCell ref="B1780:D1780"/>
    <mergeCell ref="G1780:H1780"/>
    <mergeCell ref="I1780:J1780"/>
    <mergeCell ref="B1775:D1775"/>
    <mergeCell ref="I1775:J1775"/>
    <mergeCell ref="B1776:D1776"/>
    <mergeCell ref="A1777:L1777"/>
    <mergeCell ref="C1778:D1778"/>
    <mergeCell ref="J1778:L1778"/>
    <mergeCell ref="A1792:L1792"/>
    <mergeCell ref="C1793:D1793"/>
    <mergeCell ref="J1793:L1793"/>
    <mergeCell ref="B1794:D1794"/>
    <mergeCell ref="G1794:H1794"/>
    <mergeCell ref="I1794:J1794"/>
    <mergeCell ref="K1794:L1794"/>
    <mergeCell ref="B1789:D1789"/>
    <mergeCell ref="I1789:J1789"/>
    <mergeCell ref="K1789:L1789"/>
    <mergeCell ref="B1790:D1790"/>
    <mergeCell ref="I1790:J1790"/>
    <mergeCell ref="B1791:D1791"/>
    <mergeCell ref="B1785:D1785"/>
    <mergeCell ref="I1785:J1785"/>
    <mergeCell ref="B1786:D1786"/>
    <mergeCell ref="A1787:L1787"/>
    <mergeCell ref="C1788:D1788"/>
    <mergeCell ref="J1788:L1788"/>
    <mergeCell ref="B1804:D1804"/>
    <mergeCell ref="B1805:D1805"/>
    <mergeCell ref="B1806:D1806"/>
    <mergeCell ref="B1807:D1807"/>
    <mergeCell ref="B1808:D1808"/>
    <mergeCell ref="B1809:D1809"/>
    <mergeCell ref="B1800:D1800"/>
    <mergeCell ref="G1800:H1800"/>
    <mergeCell ref="K1800:L1800"/>
    <mergeCell ref="B1801:D1801"/>
    <mergeCell ref="B1802:D1802"/>
    <mergeCell ref="B1803:D1803"/>
    <mergeCell ref="B1795:D1795"/>
    <mergeCell ref="I1795:J1795"/>
    <mergeCell ref="B1796:D1796"/>
    <mergeCell ref="F1797:I1797"/>
    <mergeCell ref="A1798:L1798"/>
    <mergeCell ref="C1799:D1799"/>
    <mergeCell ref="J1799:L1799"/>
    <mergeCell ref="B1819:D1819"/>
    <mergeCell ref="B1820:D1820"/>
    <mergeCell ref="F1821:F1822"/>
    <mergeCell ref="G1821:J1821"/>
    <mergeCell ref="G1822:J1822"/>
    <mergeCell ref="B1824:D1824"/>
    <mergeCell ref="G1824:I1824"/>
    <mergeCell ref="C1816:D1816"/>
    <mergeCell ref="J1816:L1816"/>
    <mergeCell ref="B1817:D1817"/>
    <mergeCell ref="G1817:H1817"/>
    <mergeCell ref="K1817:L1817"/>
    <mergeCell ref="B1818:D1818"/>
    <mergeCell ref="B1810:D1810"/>
    <mergeCell ref="F1811:F1812"/>
    <mergeCell ref="G1811:J1811"/>
    <mergeCell ref="G1812:J1812"/>
    <mergeCell ref="G1814:I1814"/>
    <mergeCell ref="A1815:L1815"/>
    <mergeCell ref="B1836:D1836"/>
    <mergeCell ref="B1837:D1837"/>
    <mergeCell ref="B1838:D1838"/>
    <mergeCell ref="F1839:F1840"/>
    <mergeCell ref="G1839:J1839"/>
    <mergeCell ref="G1840:J1840"/>
    <mergeCell ref="B1830:D1830"/>
    <mergeCell ref="B1831:D1831"/>
    <mergeCell ref="B1832:D1832"/>
    <mergeCell ref="B1833:D1833"/>
    <mergeCell ref="B1834:D1834"/>
    <mergeCell ref="B1835:D1835"/>
    <mergeCell ref="F1825:I1825"/>
    <mergeCell ref="G1826:I1826"/>
    <mergeCell ref="A1827:L1827"/>
    <mergeCell ref="C1828:D1828"/>
    <mergeCell ref="J1828:L1828"/>
    <mergeCell ref="B1829:D1829"/>
    <mergeCell ref="G1829:H1829"/>
    <mergeCell ref="K1829:L1829"/>
    <mergeCell ref="B1852:D1852"/>
    <mergeCell ref="G1853:I1853"/>
    <mergeCell ref="F1854:I1854"/>
    <mergeCell ref="G1855:I1855"/>
    <mergeCell ref="A1856:L1856"/>
    <mergeCell ref="C1857:D1857"/>
    <mergeCell ref="J1857:L1857"/>
    <mergeCell ref="B1846:D1846"/>
    <mergeCell ref="B1847:D1847"/>
    <mergeCell ref="B1848:D1848"/>
    <mergeCell ref="B1849:D1849"/>
    <mergeCell ref="F1850:F1851"/>
    <mergeCell ref="G1850:J1850"/>
    <mergeCell ref="G1851:J1851"/>
    <mergeCell ref="G1842:I1842"/>
    <mergeCell ref="A1843:L1843"/>
    <mergeCell ref="C1844:D1844"/>
    <mergeCell ref="J1844:L1844"/>
    <mergeCell ref="B1845:D1845"/>
    <mergeCell ref="G1845:H1845"/>
    <mergeCell ref="K1845:L1845"/>
    <mergeCell ref="G1867:J1867"/>
    <mergeCell ref="G1868:J1868"/>
    <mergeCell ref="B1869:E1869"/>
    <mergeCell ref="G1870:I1870"/>
    <mergeCell ref="A1871:L1871"/>
    <mergeCell ref="C1872:D1872"/>
    <mergeCell ref="J1872:L1872"/>
    <mergeCell ref="B1862:D1862"/>
    <mergeCell ref="B1863:D1863"/>
    <mergeCell ref="B1864:D1864"/>
    <mergeCell ref="B1865:D1865"/>
    <mergeCell ref="B1866:D1866"/>
    <mergeCell ref="F1867:F1868"/>
    <mergeCell ref="B1858:D1858"/>
    <mergeCell ref="G1858:H1858"/>
    <mergeCell ref="K1858:L1858"/>
    <mergeCell ref="B1859:D1859"/>
    <mergeCell ref="B1860:D1860"/>
    <mergeCell ref="B1861:D1861"/>
    <mergeCell ref="G1882:I1882"/>
    <mergeCell ref="A1883:L1883"/>
    <mergeCell ref="C1884:D1884"/>
    <mergeCell ref="J1884:L1884"/>
    <mergeCell ref="B1885:D1885"/>
    <mergeCell ref="G1885:H1885"/>
    <mergeCell ref="K1885:L1885"/>
    <mergeCell ref="F1877:F1878"/>
    <mergeCell ref="G1877:J1877"/>
    <mergeCell ref="G1878:J1878"/>
    <mergeCell ref="B1880:D1880"/>
    <mergeCell ref="G1880:I1880"/>
    <mergeCell ref="F1881:I1881"/>
    <mergeCell ref="B1873:D1873"/>
    <mergeCell ref="G1873:H1873"/>
    <mergeCell ref="K1873:L1873"/>
    <mergeCell ref="B1874:D1874"/>
    <mergeCell ref="B1875:D1875"/>
    <mergeCell ref="B1876:D1876"/>
    <mergeCell ref="G1898:I1898"/>
    <mergeCell ref="A1899:L1899"/>
    <mergeCell ref="C1900:D1900"/>
    <mergeCell ref="J1900:L1900"/>
    <mergeCell ref="B1901:D1901"/>
    <mergeCell ref="G1901:H1901"/>
    <mergeCell ref="K1901:L1901"/>
    <mergeCell ref="B1892:D1892"/>
    <mergeCell ref="B1893:D1893"/>
    <mergeCell ref="B1894:D1894"/>
    <mergeCell ref="F1895:F1896"/>
    <mergeCell ref="G1895:J1895"/>
    <mergeCell ref="G1896:J1896"/>
    <mergeCell ref="B1886:D1886"/>
    <mergeCell ref="B1887:D1887"/>
    <mergeCell ref="B1888:D1888"/>
    <mergeCell ref="B1889:D1889"/>
    <mergeCell ref="B1890:D1890"/>
    <mergeCell ref="B1891:D1891"/>
    <mergeCell ref="C1914:D1914"/>
    <mergeCell ref="J1914:L1914"/>
    <mergeCell ref="B1915:D1915"/>
    <mergeCell ref="G1915:H1915"/>
    <mergeCell ref="K1915:L1915"/>
    <mergeCell ref="B1916:D1916"/>
    <mergeCell ref="G1907:J1907"/>
    <mergeCell ref="G1908:J1908"/>
    <mergeCell ref="G1910:I1910"/>
    <mergeCell ref="F1911:I1911"/>
    <mergeCell ref="G1912:I1912"/>
    <mergeCell ref="A1913:L1913"/>
    <mergeCell ref="B1902:D1902"/>
    <mergeCell ref="B1903:D1903"/>
    <mergeCell ref="B1904:D1904"/>
    <mergeCell ref="B1905:D1905"/>
    <mergeCell ref="B1906:D1906"/>
    <mergeCell ref="F1907:F1908"/>
    <mergeCell ref="B1928:D1928"/>
    <mergeCell ref="G1928:I1928"/>
    <mergeCell ref="A1929:L1929"/>
    <mergeCell ref="C1930:D1930"/>
    <mergeCell ref="J1930:L1930"/>
    <mergeCell ref="B1931:D1931"/>
    <mergeCell ref="G1931:H1931"/>
    <mergeCell ref="K1931:L1931"/>
    <mergeCell ref="B1923:D1923"/>
    <mergeCell ref="B1924:D1924"/>
    <mergeCell ref="F1925:F1926"/>
    <mergeCell ref="G1925:J1925"/>
    <mergeCell ref="G1926:J1926"/>
    <mergeCell ref="B1927:D1927"/>
    <mergeCell ref="B1917:D1917"/>
    <mergeCell ref="B1918:D1918"/>
    <mergeCell ref="B1919:D1919"/>
    <mergeCell ref="B1920:D1920"/>
    <mergeCell ref="B1921:D1921"/>
    <mergeCell ref="B1922:D1922"/>
    <mergeCell ref="C1944:D1944"/>
    <mergeCell ref="J1944:L1944"/>
    <mergeCell ref="B1945:D1945"/>
    <mergeCell ref="G1945:H1945"/>
    <mergeCell ref="I1945:J1945"/>
    <mergeCell ref="K1945:L1945"/>
    <mergeCell ref="G1937:J1937"/>
    <mergeCell ref="G1938:J1938"/>
    <mergeCell ref="G1940:I1940"/>
    <mergeCell ref="F1941:I1941"/>
    <mergeCell ref="G1942:I1942"/>
    <mergeCell ref="A1943:L1943"/>
    <mergeCell ref="B1932:D1932"/>
    <mergeCell ref="B1933:D1933"/>
    <mergeCell ref="B1934:D1934"/>
    <mergeCell ref="B1935:D1935"/>
    <mergeCell ref="B1936:D1936"/>
    <mergeCell ref="F1937:F1938"/>
    <mergeCell ref="B1952:D1952"/>
    <mergeCell ref="I1952:J1952"/>
    <mergeCell ref="B1953:D1953"/>
    <mergeCell ref="I1953:J1953"/>
    <mergeCell ref="B1954:D1954"/>
    <mergeCell ref="I1954:J1954"/>
    <mergeCell ref="B1950:D1950"/>
    <mergeCell ref="G1950:H1950"/>
    <mergeCell ref="I1950:J1950"/>
    <mergeCell ref="K1950:L1950"/>
    <mergeCell ref="B1951:D1951"/>
    <mergeCell ref="I1951:J1951"/>
    <mergeCell ref="B1946:D1946"/>
    <mergeCell ref="I1946:J1946"/>
    <mergeCell ref="B1947:D1947"/>
    <mergeCell ref="A1948:L1948"/>
    <mergeCell ref="C1949:D1949"/>
    <mergeCell ref="J1949:L1949"/>
    <mergeCell ref="G1966:I1966"/>
    <mergeCell ref="F1967:I1967"/>
    <mergeCell ref="G1968:I1968"/>
    <mergeCell ref="A1969:L1969"/>
    <mergeCell ref="C1970:D1970"/>
    <mergeCell ref="J1970:L1970"/>
    <mergeCell ref="B1960:D1960"/>
    <mergeCell ref="B1961:D1961"/>
    <mergeCell ref="B1962:D1962"/>
    <mergeCell ref="F1963:F1964"/>
    <mergeCell ref="G1963:J1963"/>
    <mergeCell ref="G1964:J1964"/>
    <mergeCell ref="B1956:D1956"/>
    <mergeCell ref="A1957:L1957"/>
    <mergeCell ref="C1958:D1958"/>
    <mergeCell ref="J1958:L1958"/>
    <mergeCell ref="B1959:D1959"/>
    <mergeCell ref="G1959:H1959"/>
    <mergeCell ref="K1959:L1959"/>
    <mergeCell ref="G1981:I1981"/>
    <mergeCell ref="F1982:I1982"/>
    <mergeCell ref="G1983:I1983"/>
    <mergeCell ref="A1984:L1984"/>
    <mergeCell ref="C1985:D1985"/>
    <mergeCell ref="J1985:L1985"/>
    <mergeCell ref="B1975:D1975"/>
    <mergeCell ref="B1976:D1976"/>
    <mergeCell ref="B1977:D1977"/>
    <mergeCell ref="F1978:F1979"/>
    <mergeCell ref="G1978:J1978"/>
    <mergeCell ref="G1979:J1979"/>
    <mergeCell ref="B1971:D1971"/>
    <mergeCell ref="G1971:H1971"/>
    <mergeCell ref="K1971:L1971"/>
    <mergeCell ref="B1972:D1972"/>
    <mergeCell ref="B1973:D1973"/>
    <mergeCell ref="B1974:D1974"/>
    <mergeCell ref="B1996:D1996"/>
    <mergeCell ref="B1997:D1997"/>
    <mergeCell ref="B1998:D1998"/>
    <mergeCell ref="B1999:D1999"/>
    <mergeCell ref="B2000:D2000"/>
    <mergeCell ref="F2002:F2003"/>
    <mergeCell ref="A1993:L1993"/>
    <mergeCell ref="C1994:D1994"/>
    <mergeCell ref="J1994:L1994"/>
    <mergeCell ref="B1995:D1995"/>
    <mergeCell ref="G1995:H1995"/>
    <mergeCell ref="K1995:L1995"/>
    <mergeCell ref="B1986:D1986"/>
    <mergeCell ref="G1986:H1986"/>
    <mergeCell ref="K1986:L1986"/>
    <mergeCell ref="B1987:D1987"/>
    <mergeCell ref="B1988:D1988"/>
    <mergeCell ref="F1989:F1990"/>
    <mergeCell ref="G1989:J1989"/>
    <mergeCell ref="G1990:J1990"/>
    <mergeCell ref="B2012:D2012"/>
    <mergeCell ref="B2013:D2013"/>
    <mergeCell ref="F2014:F2015"/>
    <mergeCell ref="G2014:J2014"/>
    <mergeCell ref="G2015:J2015"/>
    <mergeCell ref="G2017:I2017"/>
    <mergeCell ref="B2008:D2008"/>
    <mergeCell ref="G2008:H2008"/>
    <mergeCell ref="K2008:L2008"/>
    <mergeCell ref="B2009:D2009"/>
    <mergeCell ref="B2010:D2010"/>
    <mergeCell ref="B2011:D2011"/>
    <mergeCell ref="G2002:J2002"/>
    <mergeCell ref="G2003:J2003"/>
    <mergeCell ref="G2005:I2005"/>
    <mergeCell ref="A2006:L2006"/>
    <mergeCell ref="C2007:D2007"/>
    <mergeCell ref="J2007:L2007"/>
    <mergeCell ref="A2025:C2025"/>
    <mergeCell ref="D2025:L2025"/>
    <mergeCell ref="A2026:C2026"/>
    <mergeCell ref="D2026:L2026"/>
    <mergeCell ref="A2027:C2027"/>
    <mergeCell ref="D2027:L2027"/>
    <mergeCell ref="A2022:C2022"/>
    <mergeCell ref="D2022:L2022"/>
    <mergeCell ref="A2023:C2023"/>
    <mergeCell ref="D2023:L2023"/>
    <mergeCell ref="A2024:C2024"/>
    <mergeCell ref="D2024:L2024"/>
    <mergeCell ref="G2018:I2018"/>
    <mergeCell ref="A2019:L2019"/>
    <mergeCell ref="A2020:C2020"/>
    <mergeCell ref="D2020:L2020"/>
    <mergeCell ref="A2021:C2021"/>
    <mergeCell ref="D2021:L2021"/>
    <mergeCell ref="G2037:J2037"/>
    <mergeCell ref="G2038:J2038"/>
    <mergeCell ref="B2039:D2039"/>
    <mergeCell ref="G2040:I2040"/>
    <mergeCell ref="F2041:I2041"/>
    <mergeCell ref="G2042:I2042"/>
    <mergeCell ref="B2032:D2032"/>
    <mergeCell ref="B2033:D2033"/>
    <mergeCell ref="B2034:D2034"/>
    <mergeCell ref="B2035:D2035"/>
    <mergeCell ref="B2036:D2036"/>
    <mergeCell ref="F2037:F2038"/>
    <mergeCell ref="A2028:C2028"/>
    <mergeCell ref="D2028:L2028"/>
    <mergeCell ref="A2029:L2029"/>
    <mergeCell ref="C2030:D2030"/>
    <mergeCell ref="J2030:L2030"/>
    <mergeCell ref="B2031:D2031"/>
    <mergeCell ref="G2031:H2031"/>
    <mergeCell ref="K2031:L2031"/>
    <mergeCell ref="F2051:F2052"/>
    <mergeCell ref="G2051:J2051"/>
    <mergeCell ref="G2052:J2052"/>
    <mergeCell ref="B2053:D2053"/>
    <mergeCell ref="G2054:I2054"/>
    <mergeCell ref="F2055:I2055"/>
    <mergeCell ref="B2046:D2046"/>
    <mergeCell ref="B2047:D2047"/>
    <mergeCell ref="B2048:D2048"/>
    <mergeCell ref="B2049:D2049"/>
    <mergeCell ref="B2050:D2050"/>
    <mergeCell ref="B2051:D2051"/>
    <mergeCell ref="A2043:L2043"/>
    <mergeCell ref="C2044:D2044"/>
    <mergeCell ref="J2044:L2044"/>
    <mergeCell ref="B2045:D2045"/>
    <mergeCell ref="G2045:H2045"/>
    <mergeCell ref="K2045:L2045"/>
    <mergeCell ref="B2063:D2063"/>
    <mergeCell ref="I2063:J2063"/>
    <mergeCell ref="B2065:D2065"/>
    <mergeCell ref="A2066:L2066"/>
    <mergeCell ref="C2067:D2067"/>
    <mergeCell ref="J2067:L2067"/>
    <mergeCell ref="B2060:D2060"/>
    <mergeCell ref="I2060:J2060"/>
    <mergeCell ref="B2061:D2061"/>
    <mergeCell ref="I2061:J2061"/>
    <mergeCell ref="B2062:D2062"/>
    <mergeCell ref="I2062:J2062"/>
    <mergeCell ref="G2056:I2056"/>
    <mergeCell ref="A2057:L2057"/>
    <mergeCell ref="C2058:D2058"/>
    <mergeCell ref="J2058:L2058"/>
    <mergeCell ref="B2059:D2059"/>
    <mergeCell ref="G2059:H2059"/>
    <mergeCell ref="I2059:J2059"/>
    <mergeCell ref="K2059:L2059"/>
    <mergeCell ref="B2074:D2074"/>
    <mergeCell ref="A2075:L2075"/>
    <mergeCell ref="C2076:D2076"/>
    <mergeCell ref="J2076:L2076"/>
    <mergeCell ref="B2077:D2077"/>
    <mergeCell ref="G2077:H2077"/>
    <mergeCell ref="K2077:L2077"/>
    <mergeCell ref="B2070:D2070"/>
    <mergeCell ref="I2070:J2070"/>
    <mergeCell ref="B2071:D2071"/>
    <mergeCell ref="I2071:J2071"/>
    <mergeCell ref="B2072:D2072"/>
    <mergeCell ref="I2072:J2072"/>
    <mergeCell ref="B2068:D2068"/>
    <mergeCell ref="G2068:H2068"/>
    <mergeCell ref="I2068:J2068"/>
    <mergeCell ref="K2068:L2068"/>
    <mergeCell ref="B2069:D2069"/>
    <mergeCell ref="I2069:J2069"/>
    <mergeCell ref="F2090:F2091"/>
    <mergeCell ref="G2090:J2090"/>
    <mergeCell ref="G2091:J2091"/>
    <mergeCell ref="G2093:I2093"/>
    <mergeCell ref="F2094:I2094"/>
    <mergeCell ref="G2095:I2095"/>
    <mergeCell ref="B2084:D2084"/>
    <mergeCell ref="B2085:D2085"/>
    <mergeCell ref="B2086:D2086"/>
    <mergeCell ref="B2087:D2087"/>
    <mergeCell ref="B2088:D2088"/>
    <mergeCell ref="B2089:D2089"/>
    <mergeCell ref="B2078:D2078"/>
    <mergeCell ref="B2079:D2079"/>
    <mergeCell ref="B2080:D2080"/>
    <mergeCell ref="B2081:D2081"/>
    <mergeCell ref="B2082:D2082"/>
    <mergeCell ref="B2083:D2083"/>
    <mergeCell ref="A2103:C2103"/>
    <mergeCell ref="D2103:L2103"/>
    <mergeCell ref="A2104:C2104"/>
    <mergeCell ref="D2104:L2104"/>
    <mergeCell ref="A2105:C2105"/>
    <mergeCell ref="D2105:L2105"/>
    <mergeCell ref="A2100:C2100"/>
    <mergeCell ref="D2100:L2100"/>
    <mergeCell ref="A2101:C2101"/>
    <mergeCell ref="D2101:L2101"/>
    <mergeCell ref="A2102:C2102"/>
    <mergeCell ref="D2102:L2102"/>
    <mergeCell ref="A2096:L2096"/>
    <mergeCell ref="A2097:C2097"/>
    <mergeCell ref="D2097:L2097"/>
    <mergeCell ref="A2098:C2098"/>
    <mergeCell ref="D2098:L2098"/>
    <mergeCell ref="A2099:C2099"/>
    <mergeCell ref="D2099:L2099"/>
    <mergeCell ref="B2115:D2115"/>
    <mergeCell ref="B2116:D2116"/>
    <mergeCell ref="B2117:D2117"/>
    <mergeCell ref="B2118:D2118"/>
    <mergeCell ref="B2119:D2119"/>
    <mergeCell ref="B2120:D2120"/>
    <mergeCell ref="B2109:D2109"/>
    <mergeCell ref="B2110:D2110"/>
    <mergeCell ref="B2111:D2111"/>
    <mergeCell ref="B2112:D2112"/>
    <mergeCell ref="B2113:D2113"/>
    <mergeCell ref="B2114:D2114"/>
    <mergeCell ref="A2106:L2106"/>
    <mergeCell ref="C2107:D2107"/>
    <mergeCell ref="J2107:L2107"/>
    <mergeCell ref="B2108:D2108"/>
    <mergeCell ref="G2108:H2108"/>
    <mergeCell ref="K2108:L2108"/>
    <mergeCell ref="B2130:D2130"/>
    <mergeCell ref="B2131:D2131"/>
    <mergeCell ref="B2132:D2132"/>
    <mergeCell ref="B2133:D2133"/>
    <mergeCell ref="B2134:D2134"/>
    <mergeCell ref="B2135:D2135"/>
    <mergeCell ref="G2126:I2126"/>
    <mergeCell ref="A2127:L2127"/>
    <mergeCell ref="C2128:D2128"/>
    <mergeCell ref="J2128:L2128"/>
    <mergeCell ref="B2129:D2129"/>
    <mergeCell ref="G2129:H2129"/>
    <mergeCell ref="K2129:L2129"/>
    <mergeCell ref="B2121:D2121"/>
    <mergeCell ref="F2121:F2122"/>
    <mergeCell ref="G2121:J2121"/>
    <mergeCell ref="G2122:J2122"/>
    <mergeCell ref="G2124:I2124"/>
    <mergeCell ref="F2125:I2125"/>
    <mergeCell ref="B2149:D2149"/>
    <mergeCell ref="B2150:D2150"/>
    <mergeCell ref="B2151:D2151"/>
    <mergeCell ref="B2152:D2152"/>
    <mergeCell ref="B2153:D2153"/>
    <mergeCell ref="B2154:D2154"/>
    <mergeCell ref="G2142:J2142"/>
    <mergeCell ref="G2143:J2143"/>
    <mergeCell ref="A2146:L2146"/>
    <mergeCell ref="C2147:D2147"/>
    <mergeCell ref="J2147:L2147"/>
    <mergeCell ref="B2148:D2148"/>
    <mergeCell ref="G2148:H2148"/>
    <mergeCell ref="K2148:L2148"/>
    <mergeCell ref="B2136:D2136"/>
    <mergeCell ref="B2137:D2137"/>
    <mergeCell ref="B2138:D2138"/>
    <mergeCell ref="B2139:D2139"/>
    <mergeCell ref="B2140:D2140"/>
    <mergeCell ref="F2142:F2143"/>
    <mergeCell ref="B2166:D2166"/>
    <mergeCell ref="B2167:D2167"/>
    <mergeCell ref="B2168:D2168"/>
    <mergeCell ref="B2169:D2169"/>
    <mergeCell ref="B2170:D2170"/>
    <mergeCell ref="B2171:D2171"/>
    <mergeCell ref="A2163:L2163"/>
    <mergeCell ref="C2164:D2164"/>
    <mergeCell ref="J2164:L2164"/>
    <mergeCell ref="B2165:D2165"/>
    <mergeCell ref="G2165:H2165"/>
    <mergeCell ref="K2165:L2165"/>
    <mergeCell ref="B2155:D2155"/>
    <mergeCell ref="B2156:D2156"/>
    <mergeCell ref="B2157:D2157"/>
    <mergeCell ref="B2158:D2158"/>
    <mergeCell ref="F2159:F2160"/>
    <mergeCell ref="G2159:J2159"/>
    <mergeCell ref="G2160:J2160"/>
    <mergeCell ref="B2183:D2183"/>
    <mergeCell ref="B2184:D2184"/>
    <mergeCell ref="B2185:D2185"/>
    <mergeCell ref="B2186:D2186"/>
    <mergeCell ref="B2187:D2187"/>
    <mergeCell ref="B2188:D2188"/>
    <mergeCell ref="B2179:D2179"/>
    <mergeCell ref="G2179:H2179"/>
    <mergeCell ref="K2179:L2179"/>
    <mergeCell ref="B2180:D2180"/>
    <mergeCell ref="B2181:D2181"/>
    <mergeCell ref="B2182:D2182"/>
    <mergeCell ref="B2172:D2172"/>
    <mergeCell ref="F2173:F2174"/>
    <mergeCell ref="G2173:J2173"/>
    <mergeCell ref="G2174:J2174"/>
    <mergeCell ref="A2177:L2177"/>
    <mergeCell ref="C2178:D2178"/>
    <mergeCell ref="J2178:L2178"/>
    <mergeCell ref="B2199:D2199"/>
    <mergeCell ref="B2200:D2200"/>
    <mergeCell ref="B2201:D2201"/>
    <mergeCell ref="B2202:D2202"/>
    <mergeCell ref="B2203:D2203"/>
    <mergeCell ref="B2204:D2204"/>
    <mergeCell ref="A2196:L2196"/>
    <mergeCell ref="C2197:D2197"/>
    <mergeCell ref="J2197:L2197"/>
    <mergeCell ref="B2198:D2198"/>
    <mergeCell ref="G2198:H2198"/>
    <mergeCell ref="K2198:L2198"/>
    <mergeCell ref="B2189:D2189"/>
    <mergeCell ref="B2190:D2190"/>
    <mergeCell ref="B2191:D2191"/>
    <mergeCell ref="F2192:F2193"/>
    <mergeCell ref="G2192:J2192"/>
    <mergeCell ref="G2193:J2193"/>
    <mergeCell ref="B2216:D2216"/>
    <mergeCell ref="B2217:D2217"/>
    <mergeCell ref="B2218:D2218"/>
    <mergeCell ref="B2219:D2219"/>
    <mergeCell ref="B2220:D2220"/>
    <mergeCell ref="B2221:D2221"/>
    <mergeCell ref="A2213:L2213"/>
    <mergeCell ref="C2214:D2214"/>
    <mergeCell ref="J2214:L2214"/>
    <mergeCell ref="B2215:D2215"/>
    <mergeCell ref="G2215:H2215"/>
    <mergeCell ref="K2215:L2215"/>
    <mergeCell ref="B2205:D2205"/>
    <mergeCell ref="B2206:D2206"/>
    <mergeCell ref="B2207:D2207"/>
    <mergeCell ref="B2208:D2208"/>
    <mergeCell ref="F2209:F2210"/>
    <mergeCell ref="G2209:J2209"/>
    <mergeCell ref="G2210:J2210"/>
    <mergeCell ref="A2234:L2234"/>
    <mergeCell ref="A2235:C2235"/>
    <mergeCell ref="D2235:L2235"/>
    <mergeCell ref="A2236:C2236"/>
    <mergeCell ref="D2236:L2236"/>
    <mergeCell ref="A2237:C2237"/>
    <mergeCell ref="D2237:L2237"/>
    <mergeCell ref="F2228:F2229"/>
    <mergeCell ref="G2228:J2228"/>
    <mergeCell ref="G2229:J2229"/>
    <mergeCell ref="G2231:I2231"/>
    <mergeCell ref="F2232:I2232"/>
    <mergeCell ref="G2233:I2233"/>
    <mergeCell ref="B2222:D2222"/>
    <mergeCell ref="B2223:D2223"/>
    <mergeCell ref="B2224:D2224"/>
    <mergeCell ref="B2225:D2225"/>
    <mergeCell ref="B2226:D2226"/>
    <mergeCell ref="B2227:D2227"/>
    <mergeCell ref="A2244:L2244"/>
    <mergeCell ref="C2245:D2245"/>
    <mergeCell ref="J2245:L2245"/>
    <mergeCell ref="B2246:D2246"/>
    <mergeCell ref="G2246:H2246"/>
    <mergeCell ref="K2246:L2246"/>
    <mergeCell ref="A2241:C2241"/>
    <mergeCell ref="D2241:L2241"/>
    <mergeCell ref="A2242:C2242"/>
    <mergeCell ref="D2242:L2242"/>
    <mergeCell ref="A2243:C2243"/>
    <mergeCell ref="D2243:L2243"/>
    <mergeCell ref="A2238:C2238"/>
    <mergeCell ref="D2238:L2238"/>
    <mergeCell ref="A2239:C2239"/>
    <mergeCell ref="D2239:L2239"/>
    <mergeCell ref="A2240:C2240"/>
    <mergeCell ref="D2240:L2240"/>
    <mergeCell ref="C2256:D2256"/>
    <mergeCell ref="J2256:L2256"/>
    <mergeCell ref="B2257:D2257"/>
    <mergeCell ref="G2257:H2257"/>
    <mergeCell ref="I2257:J2257"/>
    <mergeCell ref="K2257:L2257"/>
    <mergeCell ref="B2251:D2251"/>
    <mergeCell ref="I2251:J2251"/>
    <mergeCell ref="B2252:D2252"/>
    <mergeCell ref="I2252:J2252"/>
    <mergeCell ref="B2254:D2254"/>
    <mergeCell ref="A2255:L2255"/>
    <mergeCell ref="B2247:D2247"/>
    <mergeCell ref="G2247:H2247"/>
    <mergeCell ref="A2248:L2248"/>
    <mergeCell ref="C2249:D2249"/>
    <mergeCell ref="J2249:L2249"/>
    <mergeCell ref="B2250:D2250"/>
    <mergeCell ref="G2250:H2250"/>
    <mergeCell ref="I2250:J2250"/>
    <mergeCell ref="K2250:L2250"/>
    <mergeCell ref="B2266:D2266"/>
    <mergeCell ref="I2266:J2266"/>
    <mergeCell ref="B2267:D2267"/>
    <mergeCell ref="I2267:J2267"/>
    <mergeCell ref="B2268:D2268"/>
    <mergeCell ref="I2268:J2268"/>
    <mergeCell ref="B2261:D2261"/>
    <mergeCell ref="B2262:D2262"/>
    <mergeCell ref="A2263:L2263"/>
    <mergeCell ref="C2264:D2264"/>
    <mergeCell ref="J2264:L2264"/>
    <mergeCell ref="B2265:D2265"/>
    <mergeCell ref="G2265:H2265"/>
    <mergeCell ref="I2265:J2265"/>
    <mergeCell ref="K2265:L2265"/>
    <mergeCell ref="B2258:D2258"/>
    <mergeCell ref="I2258:J2258"/>
    <mergeCell ref="B2259:D2259"/>
    <mergeCell ref="I2259:J2259"/>
    <mergeCell ref="B2260:D2260"/>
    <mergeCell ref="I2260:J2260"/>
    <mergeCell ref="C2277:D2277"/>
    <mergeCell ref="J2277:L2277"/>
    <mergeCell ref="B2278:D2278"/>
    <mergeCell ref="G2278:H2278"/>
    <mergeCell ref="K2278:L2278"/>
    <mergeCell ref="B2279:D2279"/>
    <mergeCell ref="G2279:H2279"/>
    <mergeCell ref="B2274:D2274"/>
    <mergeCell ref="G2274:H2274"/>
    <mergeCell ref="K2274:L2274"/>
    <mergeCell ref="B2275:D2275"/>
    <mergeCell ref="G2275:H2275"/>
    <mergeCell ref="A2276:L2276"/>
    <mergeCell ref="B2269:D2269"/>
    <mergeCell ref="I2269:J2269"/>
    <mergeCell ref="B2270:D2270"/>
    <mergeCell ref="B2271:D2271"/>
    <mergeCell ref="A2272:L2272"/>
    <mergeCell ref="C2273:D2273"/>
    <mergeCell ref="J2273:L2273"/>
    <mergeCell ref="B2288:D2288"/>
    <mergeCell ref="G2288:H2288"/>
    <mergeCell ref="K2288:L2288"/>
    <mergeCell ref="B2289:D2289"/>
    <mergeCell ref="B2290:D2290"/>
    <mergeCell ref="B2291:D2291"/>
    <mergeCell ref="B2283:D2283"/>
    <mergeCell ref="G2283:H2283"/>
    <mergeCell ref="A2285:L2285"/>
    <mergeCell ref="A2286:L2286"/>
    <mergeCell ref="C2287:D2287"/>
    <mergeCell ref="J2287:L2287"/>
    <mergeCell ref="A2280:L2280"/>
    <mergeCell ref="C2281:D2281"/>
    <mergeCell ref="J2281:L2281"/>
    <mergeCell ref="B2282:D2282"/>
    <mergeCell ref="G2282:H2282"/>
    <mergeCell ref="K2282:L2282"/>
    <mergeCell ref="B2303:D2303"/>
    <mergeCell ref="B2304:D2304"/>
    <mergeCell ref="B2305:D2305"/>
    <mergeCell ref="B2306:D2306"/>
    <mergeCell ref="A2307:D2308"/>
    <mergeCell ref="G2308:H2308"/>
    <mergeCell ref="B2297:D2297"/>
    <mergeCell ref="B2298:D2298"/>
    <mergeCell ref="B2299:D2299"/>
    <mergeCell ref="B2300:D2300"/>
    <mergeCell ref="B2301:D2301"/>
    <mergeCell ref="B2302:D2302"/>
    <mergeCell ref="B2293:D2293"/>
    <mergeCell ref="G2293:I2293"/>
    <mergeCell ref="A2294:L2294"/>
    <mergeCell ref="A2295:L2295"/>
    <mergeCell ref="C2296:D2296"/>
    <mergeCell ref="J2296:L2296"/>
    <mergeCell ref="B2320:D2320"/>
    <mergeCell ref="A2321:D2322"/>
    <mergeCell ref="G2322:H2322"/>
    <mergeCell ref="A2323:L2323"/>
    <mergeCell ref="C2324:D2324"/>
    <mergeCell ref="J2324:L2324"/>
    <mergeCell ref="B2314:D2314"/>
    <mergeCell ref="B2315:D2315"/>
    <mergeCell ref="B2316:D2316"/>
    <mergeCell ref="B2317:D2317"/>
    <mergeCell ref="B2318:D2318"/>
    <mergeCell ref="B2319:D2319"/>
    <mergeCell ref="A2309:L2309"/>
    <mergeCell ref="C2310:D2310"/>
    <mergeCell ref="J2310:L2310"/>
    <mergeCell ref="B2311:D2311"/>
    <mergeCell ref="B2312:D2312"/>
    <mergeCell ref="B2313:D2313"/>
    <mergeCell ref="B2337:D2337"/>
    <mergeCell ref="G2337:H2337"/>
    <mergeCell ref="I2337:J2337"/>
    <mergeCell ref="K2337:L2337"/>
    <mergeCell ref="B2338:D2338"/>
    <mergeCell ref="I2338:J2338"/>
    <mergeCell ref="B2331:D2331"/>
    <mergeCell ref="B2332:D2332"/>
    <mergeCell ref="A2333:D2334"/>
    <mergeCell ref="G2334:H2334"/>
    <mergeCell ref="A2335:L2335"/>
    <mergeCell ref="C2336:D2336"/>
    <mergeCell ref="J2336:L2336"/>
    <mergeCell ref="B2325:D2325"/>
    <mergeCell ref="B2326:D2326"/>
    <mergeCell ref="B2327:D2327"/>
    <mergeCell ref="B2328:D2328"/>
    <mergeCell ref="B2329:D2329"/>
    <mergeCell ref="B2330:D2330"/>
    <mergeCell ref="B2348:D2348"/>
    <mergeCell ref="B2349:D2349"/>
    <mergeCell ref="A2350:L2350"/>
    <mergeCell ref="C2351:D2351"/>
    <mergeCell ref="J2351:L2351"/>
    <mergeCell ref="B2352:D2352"/>
    <mergeCell ref="G2352:H2352"/>
    <mergeCell ref="I2352:J2352"/>
    <mergeCell ref="K2352:L2352"/>
    <mergeCell ref="B2345:D2345"/>
    <mergeCell ref="I2345:J2345"/>
    <mergeCell ref="B2346:D2346"/>
    <mergeCell ref="I2346:J2346"/>
    <mergeCell ref="B2347:D2347"/>
    <mergeCell ref="I2347:J2347"/>
    <mergeCell ref="B2339:D2339"/>
    <mergeCell ref="I2339:J2339"/>
    <mergeCell ref="A2342:L2342"/>
    <mergeCell ref="C2343:D2343"/>
    <mergeCell ref="J2343:L2343"/>
    <mergeCell ref="B2344:D2344"/>
    <mergeCell ref="G2344:H2344"/>
    <mergeCell ref="I2344:J2344"/>
    <mergeCell ref="K2344:L2344"/>
    <mergeCell ref="B2360:D2360"/>
    <mergeCell ref="I2360:J2360"/>
    <mergeCell ref="B2361:D2361"/>
    <mergeCell ref="A2362:L2362"/>
    <mergeCell ref="C2363:D2363"/>
    <mergeCell ref="J2363:L2363"/>
    <mergeCell ref="A2357:L2357"/>
    <mergeCell ref="C2358:D2358"/>
    <mergeCell ref="J2358:L2358"/>
    <mergeCell ref="B2359:D2359"/>
    <mergeCell ref="G2359:H2359"/>
    <mergeCell ref="I2359:J2359"/>
    <mergeCell ref="K2359:L2359"/>
    <mergeCell ref="B2353:D2353"/>
    <mergeCell ref="I2353:J2353"/>
    <mergeCell ref="B2354:D2354"/>
    <mergeCell ref="I2354:J2354"/>
    <mergeCell ref="I2355:J2355"/>
    <mergeCell ref="B2356:D2356"/>
    <mergeCell ref="B2370:D2370"/>
    <mergeCell ref="I2370:J2370"/>
    <mergeCell ref="B2371:D2371"/>
    <mergeCell ref="A2372:L2372"/>
    <mergeCell ref="C2373:D2373"/>
    <mergeCell ref="J2373:L2373"/>
    <mergeCell ref="B2366:D2366"/>
    <mergeCell ref="A2367:L2367"/>
    <mergeCell ref="C2368:D2368"/>
    <mergeCell ref="J2368:L2368"/>
    <mergeCell ref="B2369:D2369"/>
    <mergeCell ref="G2369:H2369"/>
    <mergeCell ref="I2369:J2369"/>
    <mergeCell ref="K2369:L2369"/>
    <mergeCell ref="B2364:D2364"/>
    <mergeCell ref="G2364:H2364"/>
    <mergeCell ref="I2364:J2364"/>
    <mergeCell ref="K2364:L2364"/>
    <mergeCell ref="B2365:D2365"/>
    <mergeCell ref="I2365:J2365"/>
    <mergeCell ref="B2383:D2383"/>
    <mergeCell ref="I2383:J2383"/>
    <mergeCell ref="I2384:J2384"/>
    <mergeCell ref="B2386:D2386"/>
    <mergeCell ref="A2387:L2387"/>
    <mergeCell ref="C2388:D2388"/>
    <mergeCell ref="J2388:L2388"/>
    <mergeCell ref="A2380:L2380"/>
    <mergeCell ref="C2381:D2381"/>
    <mergeCell ref="J2381:L2381"/>
    <mergeCell ref="B2382:D2382"/>
    <mergeCell ref="G2382:H2382"/>
    <mergeCell ref="I2382:J2382"/>
    <mergeCell ref="K2382:L2382"/>
    <mergeCell ref="B2374:D2374"/>
    <mergeCell ref="G2374:H2374"/>
    <mergeCell ref="K2374:L2374"/>
    <mergeCell ref="B2375:D2375"/>
    <mergeCell ref="F2376:F2377"/>
    <mergeCell ref="G2376:J2376"/>
    <mergeCell ref="G2377:J2377"/>
    <mergeCell ref="B2396:D2396"/>
    <mergeCell ref="G2396:H2396"/>
    <mergeCell ref="I2396:J2396"/>
    <mergeCell ref="K2396:L2396"/>
    <mergeCell ref="B2397:D2397"/>
    <mergeCell ref="I2397:J2397"/>
    <mergeCell ref="B2391:D2391"/>
    <mergeCell ref="I2391:J2391"/>
    <mergeCell ref="B2392:D2392"/>
    <mergeCell ref="A2394:L2394"/>
    <mergeCell ref="C2395:D2395"/>
    <mergeCell ref="J2395:L2395"/>
    <mergeCell ref="B2389:D2389"/>
    <mergeCell ref="G2389:H2389"/>
    <mergeCell ref="I2389:J2389"/>
    <mergeCell ref="K2389:L2389"/>
    <mergeCell ref="B2390:D2390"/>
    <mergeCell ref="I2390:J2390"/>
    <mergeCell ref="B2406:D2406"/>
    <mergeCell ref="G2406:H2406"/>
    <mergeCell ref="I2406:J2406"/>
    <mergeCell ref="K2406:L2406"/>
    <mergeCell ref="B2407:D2407"/>
    <mergeCell ref="I2407:J2407"/>
    <mergeCell ref="B2402:D2402"/>
    <mergeCell ref="I2402:J2402"/>
    <mergeCell ref="B2403:D2403"/>
    <mergeCell ref="A2404:L2404"/>
    <mergeCell ref="C2405:D2405"/>
    <mergeCell ref="J2405:L2405"/>
    <mergeCell ref="B2398:D2398"/>
    <mergeCell ref="A2399:L2399"/>
    <mergeCell ref="C2400:D2400"/>
    <mergeCell ref="J2400:L2400"/>
    <mergeCell ref="B2401:D2401"/>
    <mergeCell ref="I2401:J2401"/>
    <mergeCell ref="K2401:L2401"/>
    <mergeCell ref="B2416:D2416"/>
    <mergeCell ref="G2416:H2416"/>
    <mergeCell ref="K2416:L2416"/>
    <mergeCell ref="B2417:D2417"/>
    <mergeCell ref="B2418:D2418"/>
    <mergeCell ref="B2419:D2419"/>
    <mergeCell ref="B2412:D2412"/>
    <mergeCell ref="I2412:J2412"/>
    <mergeCell ref="B2413:D2413"/>
    <mergeCell ref="A2414:L2414"/>
    <mergeCell ref="C2415:D2415"/>
    <mergeCell ref="J2415:L2415"/>
    <mergeCell ref="B2408:D2408"/>
    <mergeCell ref="A2409:L2409"/>
    <mergeCell ref="C2410:D2410"/>
    <mergeCell ref="J2410:L2410"/>
    <mergeCell ref="B2411:D2411"/>
    <mergeCell ref="I2411:J2411"/>
    <mergeCell ref="K2411:L2411"/>
    <mergeCell ref="A2433:C2433"/>
    <mergeCell ref="D2433:L2433"/>
    <mergeCell ref="A2434:C2434"/>
    <mergeCell ref="D2434:L2434"/>
    <mergeCell ref="A2435:C2435"/>
    <mergeCell ref="D2435:L2435"/>
    <mergeCell ref="G2426:J2426"/>
    <mergeCell ref="G2427:J2427"/>
    <mergeCell ref="G2429:I2429"/>
    <mergeCell ref="G2430:I2430"/>
    <mergeCell ref="A2431:L2431"/>
    <mergeCell ref="A2432:C2432"/>
    <mergeCell ref="D2432:L2432"/>
    <mergeCell ref="B2420:D2420"/>
    <mergeCell ref="B2422:D2422"/>
    <mergeCell ref="B2423:D2423"/>
    <mergeCell ref="B2424:D2424"/>
    <mergeCell ref="B2425:D2425"/>
    <mergeCell ref="F2426:F2427"/>
    <mergeCell ref="B2443:D2443"/>
    <mergeCell ref="I2443:J2443"/>
    <mergeCell ref="K2443:L2443"/>
    <mergeCell ref="B2444:D2444"/>
    <mergeCell ref="I2444:J2444"/>
    <mergeCell ref="B2445:D2445"/>
    <mergeCell ref="A2439:C2439"/>
    <mergeCell ref="D2439:L2439"/>
    <mergeCell ref="A2440:C2440"/>
    <mergeCell ref="D2440:L2440"/>
    <mergeCell ref="A2441:L2441"/>
    <mergeCell ref="C2442:D2442"/>
    <mergeCell ref="J2442:L2442"/>
    <mergeCell ref="A2436:C2436"/>
    <mergeCell ref="D2436:L2436"/>
    <mergeCell ref="A2437:C2437"/>
    <mergeCell ref="D2437:L2437"/>
    <mergeCell ref="A2438:C2438"/>
    <mergeCell ref="D2438:L2438"/>
    <mergeCell ref="B2453:D2453"/>
    <mergeCell ref="G2453:H2453"/>
    <mergeCell ref="I2453:J2453"/>
    <mergeCell ref="K2453:L2453"/>
    <mergeCell ref="B2454:D2454"/>
    <mergeCell ref="G2454:H2454"/>
    <mergeCell ref="I2454:J2454"/>
    <mergeCell ref="B2449:D2449"/>
    <mergeCell ref="I2449:J2449"/>
    <mergeCell ref="B2450:D2450"/>
    <mergeCell ref="A2451:L2451"/>
    <mergeCell ref="C2452:D2452"/>
    <mergeCell ref="J2452:L2452"/>
    <mergeCell ref="C2447:D2447"/>
    <mergeCell ref="J2447:L2447"/>
    <mergeCell ref="B2448:D2448"/>
    <mergeCell ref="G2448:H2448"/>
    <mergeCell ref="I2448:J2448"/>
    <mergeCell ref="K2448:L2448"/>
    <mergeCell ref="B2463:D2463"/>
    <mergeCell ref="G2463:H2463"/>
    <mergeCell ref="K2463:L2463"/>
    <mergeCell ref="B2464:D2464"/>
    <mergeCell ref="B2465:D2465"/>
    <mergeCell ref="B2466:D2466"/>
    <mergeCell ref="B2459:D2459"/>
    <mergeCell ref="G2459:H2459"/>
    <mergeCell ref="I2459:J2459"/>
    <mergeCell ref="B2460:D2460"/>
    <mergeCell ref="A2461:L2461"/>
    <mergeCell ref="C2462:D2462"/>
    <mergeCell ref="J2462:L2462"/>
    <mergeCell ref="B2455:D2455"/>
    <mergeCell ref="A2456:L2456"/>
    <mergeCell ref="C2457:D2457"/>
    <mergeCell ref="J2457:L2457"/>
    <mergeCell ref="B2458:D2458"/>
    <mergeCell ref="G2458:H2458"/>
    <mergeCell ref="I2458:J2458"/>
    <mergeCell ref="K2458:L2458"/>
    <mergeCell ref="B2475:D2475"/>
    <mergeCell ref="F2476:F2477"/>
    <mergeCell ref="G2476:J2476"/>
    <mergeCell ref="G2477:J2477"/>
    <mergeCell ref="G2479:I2479"/>
    <mergeCell ref="G2480:I2480"/>
    <mergeCell ref="A2472:L2472"/>
    <mergeCell ref="C2473:D2473"/>
    <mergeCell ref="J2473:L2473"/>
    <mergeCell ref="B2474:D2474"/>
    <mergeCell ref="G2474:H2474"/>
    <mergeCell ref="K2474:L2474"/>
    <mergeCell ref="B2467:D2467"/>
    <mergeCell ref="F2467:F2468"/>
    <mergeCell ref="G2467:J2467"/>
    <mergeCell ref="G2468:J2468"/>
    <mergeCell ref="G2470:I2470"/>
    <mergeCell ref="G2471:I2471"/>
    <mergeCell ref="B2488:D2488"/>
    <mergeCell ref="G2488:H2488"/>
    <mergeCell ref="K2488:L2488"/>
    <mergeCell ref="B2489:D2489"/>
    <mergeCell ref="B2490:D2490"/>
    <mergeCell ref="B2491:D2491"/>
    <mergeCell ref="B2484:D2484"/>
    <mergeCell ref="I2484:J2484"/>
    <mergeCell ref="B2485:D2485"/>
    <mergeCell ref="A2486:L2486"/>
    <mergeCell ref="C2487:D2487"/>
    <mergeCell ref="J2487:L2487"/>
    <mergeCell ref="A2481:L2481"/>
    <mergeCell ref="C2482:D2482"/>
    <mergeCell ref="J2482:L2482"/>
    <mergeCell ref="B2483:D2483"/>
    <mergeCell ref="I2483:J2483"/>
    <mergeCell ref="K2483:L2483"/>
    <mergeCell ref="B2500:D2500"/>
    <mergeCell ref="I2500:J2500"/>
    <mergeCell ref="B2501:D2501"/>
    <mergeCell ref="I2501:J2501"/>
    <mergeCell ref="B2502:D2502"/>
    <mergeCell ref="I2502:J2502"/>
    <mergeCell ref="A2497:L2497"/>
    <mergeCell ref="C2498:D2498"/>
    <mergeCell ref="J2498:L2498"/>
    <mergeCell ref="B2499:D2499"/>
    <mergeCell ref="G2499:H2499"/>
    <mergeCell ref="I2499:J2499"/>
    <mergeCell ref="K2499:L2499"/>
    <mergeCell ref="B2492:D2492"/>
    <mergeCell ref="F2492:F2493"/>
    <mergeCell ref="G2492:J2492"/>
    <mergeCell ref="G2493:J2493"/>
    <mergeCell ref="G2495:I2495"/>
    <mergeCell ref="G2496:I2496"/>
    <mergeCell ref="B2512:D2512"/>
    <mergeCell ref="A2513:L2513"/>
    <mergeCell ref="C2514:D2514"/>
    <mergeCell ref="J2514:L2514"/>
    <mergeCell ref="B2515:D2515"/>
    <mergeCell ref="G2515:H2515"/>
    <mergeCell ref="I2515:J2515"/>
    <mergeCell ref="K2515:L2515"/>
    <mergeCell ref="B2508:D2508"/>
    <mergeCell ref="I2508:J2508"/>
    <mergeCell ref="B2509:D2509"/>
    <mergeCell ref="I2509:J2509"/>
    <mergeCell ref="B2510:D2510"/>
    <mergeCell ref="I2510:J2510"/>
    <mergeCell ref="B2504:D2504"/>
    <mergeCell ref="A2505:L2505"/>
    <mergeCell ref="C2506:D2506"/>
    <mergeCell ref="J2506:L2506"/>
    <mergeCell ref="B2507:D2507"/>
    <mergeCell ref="G2507:H2507"/>
    <mergeCell ref="I2507:J2507"/>
    <mergeCell ref="K2507:L2507"/>
    <mergeCell ref="B2524:D2524"/>
    <mergeCell ref="B2525:D2525"/>
    <mergeCell ref="B2527:D2527"/>
    <mergeCell ref="B2528:D2528"/>
    <mergeCell ref="B2529:D2529"/>
    <mergeCell ref="F2530:F2531"/>
    <mergeCell ref="B2520:D2520"/>
    <mergeCell ref="G2520:H2520"/>
    <mergeCell ref="K2520:L2520"/>
    <mergeCell ref="B2521:D2521"/>
    <mergeCell ref="B2522:D2522"/>
    <mergeCell ref="B2523:D2523"/>
    <mergeCell ref="B2516:D2516"/>
    <mergeCell ref="I2516:J2516"/>
    <mergeCell ref="B2517:D2517"/>
    <mergeCell ref="A2518:L2518"/>
    <mergeCell ref="C2519:D2519"/>
    <mergeCell ref="J2519:L2519"/>
    <mergeCell ref="A2540:C2540"/>
    <mergeCell ref="D2540:L2540"/>
    <mergeCell ref="A2541:C2541"/>
    <mergeCell ref="D2541:L2541"/>
    <mergeCell ref="A2542:C2542"/>
    <mergeCell ref="D2542:L2542"/>
    <mergeCell ref="A2537:C2537"/>
    <mergeCell ref="D2537:L2537"/>
    <mergeCell ref="A2538:C2538"/>
    <mergeCell ref="D2538:L2538"/>
    <mergeCell ref="A2539:C2539"/>
    <mergeCell ref="D2539:L2539"/>
    <mergeCell ref="G2530:J2530"/>
    <mergeCell ref="H2531:J2531"/>
    <mergeCell ref="G2533:I2533"/>
    <mergeCell ref="F2534:I2534"/>
    <mergeCell ref="G2535:I2535"/>
    <mergeCell ref="A2536:L2536"/>
    <mergeCell ref="B2549:D2549"/>
    <mergeCell ref="B2550:D2550"/>
    <mergeCell ref="B2551:D2551"/>
    <mergeCell ref="F2552:F2553"/>
    <mergeCell ref="G2552:J2552"/>
    <mergeCell ref="G2553:J2553"/>
    <mergeCell ref="A2546:L2546"/>
    <mergeCell ref="C2547:D2547"/>
    <mergeCell ref="J2547:L2547"/>
    <mergeCell ref="B2548:D2548"/>
    <mergeCell ref="G2548:H2548"/>
    <mergeCell ref="K2548:L2548"/>
    <mergeCell ref="A2543:C2543"/>
    <mergeCell ref="D2543:L2543"/>
    <mergeCell ref="A2544:C2544"/>
    <mergeCell ref="D2544:L2544"/>
    <mergeCell ref="A2545:C2545"/>
    <mergeCell ref="D2545:L2545"/>
    <mergeCell ref="B2564:D2564"/>
    <mergeCell ref="F2564:F2565"/>
    <mergeCell ref="G2564:J2564"/>
    <mergeCell ref="B2565:D2565"/>
    <mergeCell ref="G2565:J2565"/>
    <mergeCell ref="G2567:I2567"/>
    <mergeCell ref="B2560:D2560"/>
    <mergeCell ref="G2560:H2560"/>
    <mergeCell ref="K2560:L2560"/>
    <mergeCell ref="B2561:D2561"/>
    <mergeCell ref="B2562:D2562"/>
    <mergeCell ref="B2563:D2563"/>
    <mergeCell ref="G2555:I2555"/>
    <mergeCell ref="F2556:I2556"/>
    <mergeCell ref="G2557:I2557"/>
    <mergeCell ref="A2558:L2558"/>
    <mergeCell ref="C2559:D2559"/>
    <mergeCell ref="J2559:L2559"/>
    <mergeCell ref="G2576:J2576"/>
    <mergeCell ref="B2577:D2577"/>
    <mergeCell ref="G2577:J2577"/>
    <mergeCell ref="G2579:I2579"/>
    <mergeCell ref="G2580:I2580"/>
    <mergeCell ref="A2581:L2581"/>
    <mergeCell ref="B2572:D2572"/>
    <mergeCell ref="B2573:D2573"/>
    <mergeCell ref="B2574:D2574"/>
    <mergeCell ref="B2575:D2575"/>
    <mergeCell ref="B2576:D2576"/>
    <mergeCell ref="F2576:F2577"/>
    <mergeCell ref="G2568:I2568"/>
    <mergeCell ref="A2569:L2569"/>
    <mergeCell ref="C2570:D2570"/>
    <mergeCell ref="J2570:L2570"/>
    <mergeCell ref="B2571:D2571"/>
    <mergeCell ref="G2571:H2571"/>
    <mergeCell ref="K2571:L2571"/>
    <mergeCell ref="G2590:I2590"/>
    <mergeCell ref="G2591:I2591"/>
    <mergeCell ref="A2592:L2592"/>
    <mergeCell ref="C2593:D2593"/>
    <mergeCell ref="J2593:L2593"/>
    <mergeCell ref="B2594:D2594"/>
    <mergeCell ref="I2594:J2594"/>
    <mergeCell ref="K2594:L2594"/>
    <mergeCell ref="B2585:D2585"/>
    <mergeCell ref="B2586:D2586"/>
    <mergeCell ref="B2587:D2587"/>
    <mergeCell ref="F2587:F2588"/>
    <mergeCell ref="G2587:J2587"/>
    <mergeCell ref="G2588:J2588"/>
    <mergeCell ref="C2582:D2582"/>
    <mergeCell ref="J2582:L2582"/>
    <mergeCell ref="B2583:D2583"/>
    <mergeCell ref="G2583:H2583"/>
    <mergeCell ref="K2583:L2583"/>
    <mergeCell ref="B2584:D2584"/>
    <mergeCell ref="C2603:D2603"/>
    <mergeCell ref="J2603:L2603"/>
    <mergeCell ref="B2604:D2604"/>
    <mergeCell ref="I2604:J2604"/>
    <mergeCell ref="K2604:L2604"/>
    <mergeCell ref="B2605:D2605"/>
    <mergeCell ref="I2605:J2605"/>
    <mergeCell ref="B2599:D2599"/>
    <mergeCell ref="I2599:J2599"/>
    <mergeCell ref="K2599:L2599"/>
    <mergeCell ref="B2600:D2600"/>
    <mergeCell ref="I2600:J2600"/>
    <mergeCell ref="B2601:D2601"/>
    <mergeCell ref="B2595:D2595"/>
    <mergeCell ref="I2595:J2595"/>
    <mergeCell ref="B2596:D2596"/>
    <mergeCell ref="A2597:L2597"/>
    <mergeCell ref="C2598:D2598"/>
    <mergeCell ref="J2598:L2598"/>
    <mergeCell ref="B2614:D2614"/>
    <mergeCell ref="I2614:J2614"/>
    <mergeCell ref="K2614:L2614"/>
    <mergeCell ref="B2615:D2615"/>
    <mergeCell ref="I2615:J2615"/>
    <mergeCell ref="B2616:D2616"/>
    <mergeCell ref="B2610:D2610"/>
    <mergeCell ref="I2610:J2610"/>
    <mergeCell ref="B2611:D2611"/>
    <mergeCell ref="A2612:L2612"/>
    <mergeCell ref="C2613:D2613"/>
    <mergeCell ref="J2613:L2613"/>
    <mergeCell ref="B2606:D2606"/>
    <mergeCell ref="A2607:L2607"/>
    <mergeCell ref="C2608:D2608"/>
    <mergeCell ref="J2608:L2608"/>
    <mergeCell ref="B2609:D2609"/>
    <mergeCell ref="I2609:J2609"/>
    <mergeCell ref="K2609:L2609"/>
    <mergeCell ref="B2624:D2624"/>
    <mergeCell ref="G2624:H2624"/>
    <mergeCell ref="K2624:L2624"/>
    <mergeCell ref="B2625:D2625"/>
    <mergeCell ref="B2626:D2626"/>
    <mergeCell ref="B2627:D2627"/>
    <mergeCell ref="B2620:D2620"/>
    <mergeCell ref="I2620:J2620"/>
    <mergeCell ref="B2621:D2621"/>
    <mergeCell ref="A2622:L2622"/>
    <mergeCell ref="C2623:D2623"/>
    <mergeCell ref="J2623:L2623"/>
    <mergeCell ref="A2617:L2617"/>
    <mergeCell ref="C2618:D2618"/>
    <mergeCell ref="J2618:L2618"/>
    <mergeCell ref="B2619:D2619"/>
    <mergeCell ref="I2619:J2619"/>
    <mergeCell ref="K2619:L2619"/>
    <mergeCell ref="B2636:D2636"/>
    <mergeCell ref="G2636:H2636"/>
    <mergeCell ref="I2636:J2636"/>
    <mergeCell ref="W2636:Y2636"/>
    <mergeCell ref="B2637:D2637"/>
    <mergeCell ref="P2637:Q2637"/>
    <mergeCell ref="T2637:U2637"/>
    <mergeCell ref="X2637:Y2637"/>
    <mergeCell ref="C2634:D2634"/>
    <mergeCell ref="J2634:L2634"/>
    <mergeCell ref="B2635:D2635"/>
    <mergeCell ref="G2635:H2635"/>
    <mergeCell ref="I2635:J2635"/>
    <mergeCell ref="K2635:L2635"/>
    <mergeCell ref="F2628:F2629"/>
    <mergeCell ref="G2628:J2628"/>
    <mergeCell ref="G2629:J2629"/>
    <mergeCell ref="G2631:I2631"/>
    <mergeCell ref="G2632:I2632"/>
    <mergeCell ref="A2633:L2633"/>
    <mergeCell ref="B2642:D2642"/>
    <mergeCell ref="A2643:L2643"/>
    <mergeCell ref="C2644:D2644"/>
    <mergeCell ref="J2644:L2644"/>
    <mergeCell ref="B2645:D2645"/>
    <mergeCell ref="G2645:H2645"/>
    <mergeCell ref="I2645:J2645"/>
    <mergeCell ref="K2645:L2645"/>
    <mergeCell ref="B2640:D2640"/>
    <mergeCell ref="G2640:H2640"/>
    <mergeCell ref="I2640:J2640"/>
    <mergeCell ref="K2640:L2640"/>
    <mergeCell ref="B2641:D2641"/>
    <mergeCell ref="I2641:J2641"/>
    <mergeCell ref="A2638:L2638"/>
    <mergeCell ref="O2638:Q2638"/>
    <mergeCell ref="T2638:U2638"/>
    <mergeCell ref="C2639:D2639"/>
    <mergeCell ref="J2639:L2639"/>
    <mergeCell ref="O2639:Q2639"/>
    <mergeCell ref="B2654:D2654"/>
    <mergeCell ref="B2655:D2655"/>
    <mergeCell ref="F2655:F2656"/>
    <mergeCell ref="G2655:J2655"/>
    <mergeCell ref="B2656:D2656"/>
    <mergeCell ref="G2656:J2656"/>
    <mergeCell ref="B2650:D2650"/>
    <mergeCell ref="G2650:H2650"/>
    <mergeCell ref="K2650:L2650"/>
    <mergeCell ref="B2651:D2651"/>
    <mergeCell ref="B2652:D2652"/>
    <mergeCell ref="B2653:D2653"/>
    <mergeCell ref="B2646:D2646"/>
    <mergeCell ref="I2646:J2646"/>
    <mergeCell ref="B2647:D2647"/>
    <mergeCell ref="F2647:H2647"/>
    <mergeCell ref="A2648:L2648"/>
    <mergeCell ref="C2649:D2649"/>
    <mergeCell ref="J2649:L2649"/>
    <mergeCell ref="A2665:L2665"/>
    <mergeCell ref="C2666:D2666"/>
    <mergeCell ref="J2666:L2666"/>
    <mergeCell ref="B2667:D2667"/>
    <mergeCell ref="I2667:J2667"/>
    <mergeCell ref="K2667:L2667"/>
    <mergeCell ref="B2662:D2662"/>
    <mergeCell ref="I2662:J2662"/>
    <mergeCell ref="K2662:L2662"/>
    <mergeCell ref="B2663:D2663"/>
    <mergeCell ref="I2663:J2663"/>
    <mergeCell ref="B2664:D2664"/>
    <mergeCell ref="B2657:D2657"/>
    <mergeCell ref="B2658:D2658"/>
    <mergeCell ref="G2658:I2658"/>
    <mergeCell ref="G2659:I2659"/>
    <mergeCell ref="A2660:L2660"/>
    <mergeCell ref="C2661:D2661"/>
    <mergeCell ref="J2661:L2661"/>
    <mergeCell ref="B2676:D2676"/>
    <mergeCell ref="B2677:D2677"/>
    <mergeCell ref="B2678:D2678"/>
    <mergeCell ref="I2679:J2679"/>
    <mergeCell ref="B2680:D2680"/>
    <mergeCell ref="I2680:J2680"/>
    <mergeCell ref="G2672:I2672"/>
    <mergeCell ref="A2673:L2673"/>
    <mergeCell ref="C2674:D2674"/>
    <mergeCell ref="J2674:L2674"/>
    <mergeCell ref="B2675:D2675"/>
    <mergeCell ref="G2675:H2675"/>
    <mergeCell ref="K2675:L2675"/>
    <mergeCell ref="B2668:D2668"/>
    <mergeCell ref="I2668:J2668"/>
    <mergeCell ref="B2669:D2669"/>
    <mergeCell ref="I2669:J2669"/>
    <mergeCell ref="I2670:J2670"/>
    <mergeCell ref="B2671:D2671"/>
    <mergeCell ref="B2690:D2690"/>
    <mergeCell ref="I2690:J2690"/>
    <mergeCell ref="B2691:D2691"/>
    <mergeCell ref="I2691:J2691"/>
    <mergeCell ref="B2692:D2692"/>
    <mergeCell ref="I2692:J2692"/>
    <mergeCell ref="C2687:D2687"/>
    <mergeCell ref="J2687:L2687"/>
    <mergeCell ref="B2688:D2688"/>
    <mergeCell ref="I2688:J2688"/>
    <mergeCell ref="K2688:L2688"/>
    <mergeCell ref="B2689:D2689"/>
    <mergeCell ref="I2689:J2689"/>
    <mergeCell ref="F2681:F2682"/>
    <mergeCell ref="G2681:J2681"/>
    <mergeCell ref="G2682:J2682"/>
    <mergeCell ref="G2684:I2684"/>
    <mergeCell ref="G2685:I2685"/>
    <mergeCell ref="A2686:L2686"/>
    <mergeCell ref="B2700:D2700"/>
    <mergeCell ref="G2700:H2700"/>
    <mergeCell ref="I2700:J2700"/>
    <mergeCell ref="B2701:D2701"/>
    <mergeCell ref="A2702:L2702"/>
    <mergeCell ref="C2703:D2703"/>
    <mergeCell ref="J2703:L2703"/>
    <mergeCell ref="A2697:L2697"/>
    <mergeCell ref="C2698:D2698"/>
    <mergeCell ref="J2698:L2698"/>
    <mergeCell ref="B2699:D2699"/>
    <mergeCell ref="G2699:H2699"/>
    <mergeCell ref="I2699:J2699"/>
    <mergeCell ref="K2699:L2699"/>
    <mergeCell ref="B2693:D2693"/>
    <mergeCell ref="I2693:J2693"/>
    <mergeCell ref="B2694:D2694"/>
    <mergeCell ref="I2694:J2694"/>
    <mergeCell ref="B2695:D2695"/>
    <mergeCell ref="I2695:J2695"/>
    <mergeCell ref="B2715:D2715"/>
    <mergeCell ref="F2716:F2717"/>
    <mergeCell ref="G2716:J2716"/>
    <mergeCell ref="G2717:J2717"/>
    <mergeCell ref="G2719:I2719"/>
    <mergeCell ref="G2720:I2720"/>
    <mergeCell ref="G2710:I2710"/>
    <mergeCell ref="G2711:I2711"/>
    <mergeCell ref="A2712:L2712"/>
    <mergeCell ref="C2713:D2713"/>
    <mergeCell ref="J2713:L2713"/>
    <mergeCell ref="B2714:D2714"/>
    <mergeCell ref="G2714:H2714"/>
    <mergeCell ref="K2714:L2714"/>
    <mergeCell ref="B2704:D2704"/>
    <mergeCell ref="G2704:H2704"/>
    <mergeCell ref="K2704:L2704"/>
    <mergeCell ref="B2705:D2705"/>
    <mergeCell ref="B2706:D2706"/>
    <mergeCell ref="F2707:F2708"/>
    <mergeCell ref="G2707:J2707"/>
    <mergeCell ref="G2708:J2708"/>
    <mergeCell ref="G2730:I2730"/>
    <mergeCell ref="G2731:I2731"/>
    <mergeCell ref="A2732:L2732"/>
    <mergeCell ref="C2733:D2733"/>
    <mergeCell ref="J2733:L2733"/>
    <mergeCell ref="B2734:D2734"/>
    <mergeCell ref="G2734:H2734"/>
    <mergeCell ref="K2734:L2734"/>
    <mergeCell ref="B2724:D2724"/>
    <mergeCell ref="B2725:D2725"/>
    <mergeCell ref="B2726:D2726"/>
    <mergeCell ref="F2727:F2728"/>
    <mergeCell ref="G2727:J2727"/>
    <mergeCell ref="G2728:J2728"/>
    <mergeCell ref="A2721:L2721"/>
    <mergeCell ref="C2722:D2722"/>
    <mergeCell ref="J2722:L2722"/>
    <mergeCell ref="B2723:D2723"/>
    <mergeCell ref="G2723:H2723"/>
    <mergeCell ref="K2723:L2723"/>
    <mergeCell ref="B2746:D2746"/>
    <mergeCell ref="G2746:H2746"/>
    <mergeCell ref="K2746:L2746"/>
    <mergeCell ref="B2747:D2747"/>
    <mergeCell ref="B2748:D2748"/>
    <mergeCell ref="B2749:D2749"/>
    <mergeCell ref="G2741:I2741"/>
    <mergeCell ref="F2742:I2742"/>
    <mergeCell ref="G2743:I2743"/>
    <mergeCell ref="A2744:L2744"/>
    <mergeCell ref="C2745:D2745"/>
    <mergeCell ref="J2745:L2745"/>
    <mergeCell ref="B2735:D2735"/>
    <mergeCell ref="B2736:D2736"/>
    <mergeCell ref="B2737:D2737"/>
    <mergeCell ref="F2738:F2739"/>
    <mergeCell ref="G2738:J2738"/>
    <mergeCell ref="G2739:J2739"/>
    <mergeCell ref="B2759:D2759"/>
    <mergeCell ref="B2760:D2760"/>
    <mergeCell ref="B2761:D2761"/>
    <mergeCell ref="F2762:F2763"/>
    <mergeCell ref="G2762:J2762"/>
    <mergeCell ref="G2763:J2763"/>
    <mergeCell ref="A2756:L2756"/>
    <mergeCell ref="C2757:D2757"/>
    <mergeCell ref="J2757:L2757"/>
    <mergeCell ref="B2758:D2758"/>
    <mergeCell ref="G2758:H2758"/>
    <mergeCell ref="K2758:L2758"/>
    <mergeCell ref="F2750:F2751"/>
    <mergeCell ref="G2750:J2750"/>
    <mergeCell ref="G2751:J2751"/>
    <mergeCell ref="G2753:I2753"/>
    <mergeCell ref="F2754:I2754"/>
    <mergeCell ref="G2755:I2755"/>
    <mergeCell ref="B2774:D2774"/>
    <mergeCell ref="I2774:J2774"/>
    <mergeCell ref="K2774:L2774"/>
    <mergeCell ref="B2775:D2775"/>
    <mergeCell ref="I2775:J2775"/>
    <mergeCell ref="B2776:D2776"/>
    <mergeCell ref="B2770:D2770"/>
    <mergeCell ref="I2770:J2770"/>
    <mergeCell ref="B2771:D2771"/>
    <mergeCell ref="A2772:L2772"/>
    <mergeCell ref="C2773:D2773"/>
    <mergeCell ref="J2773:L2773"/>
    <mergeCell ref="G2765:I2765"/>
    <mergeCell ref="G2766:I2766"/>
    <mergeCell ref="A2767:L2767"/>
    <mergeCell ref="C2768:D2768"/>
    <mergeCell ref="J2768:L2768"/>
    <mergeCell ref="B2769:D2769"/>
    <mergeCell ref="I2769:J2769"/>
    <mergeCell ref="K2769:L2769"/>
    <mergeCell ref="B2785:D2785"/>
    <mergeCell ref="I2785:J2785"/>
    <mergeCell ref="B2786:D2786"/>
    <mergeCell ref="C2788:D2788"/>
    <mergeCell ref="J2788:L2788"/>
    <mergeCell ref="B2789:D2789"/>
    <mergeCell ref="G2789:H2789"/>
    <mergeCell ref="B2780:D2780"/>
    <mergeCell ref="I2780:J2780"/>
    <mergeCell ref="B2781:D2781"/>
    <mergeCell ref="C2783:D2783"/>
    <mergeCell ref="J2783:L2783"/>
    <mergeCell ref="B2784:D2784"/>
    <mergeCell ref="I2784:J2784"/>
    <mergeCell ref="K2784:L2784"/>
    <mergeCell ref="A2777:L2777"/>
    <mergeCell ref="C2778:D2778"/>
    <mergeCell ref="J2778:L2778"/>
    <mergeCell ref="B2779:D2779"/>
    <mergeCell ref="I2779:J2779"/>
    <mergeCell ref="K2779:L2779"/>
    <mergeCell ref="G2802:I2802"/>
    <mergeCell ref="F2803:I2803"/>
    <mergeCell ref="G2804:I2804"/>
    <mergeCell ref="A2805:L2805"/>
    <mergeCell ref="A2806:C2806"/>
    <mergeCell ref="D2806:L2806"/>
    <mergeCell ref="B2796:D2796"/>
    <mergeCell ref="B2797:D2797"/>
    <mergeCell ref="B2798:D2798"/>
    <mergeCell ref="F2799:F2800"/>
    <mergeCell ref="G2799:J2799"/>
    <mergeCell ref="G2800:J2800"/>
    <mergeCell ref="B2790:D2790"/>
    <mergeCell ref="B2791:D2791"/>
    <mergeCell ref="B2792:D2792"/>
    <mergeCell ref="B2793:D2793"/>
    <mergeCell ref="B2794:D2794"/>
    <mergeCell ref="B2795:D2795"/>
    <mergeCell ref="A2813:C2813"/>
    <mergeCell ref="D2813:L2813"/>
    <mergeCell ref="A2814:C2814"/>
    <mergeCell ref="D2814:L2814"/>
    <mergeCell ref="A2815:L2815"/>
    <mergeCell ref="C2816:D2816"/>
    <mergeCell ref="J2816:L2816"/>
    <mergeCell ref="A2810:C2810"/>
    <mergeCell ref="D2810:L2810"/>
    <mergeCell ref="A2811:C2811"/>
    <mergeCell ref="D2811:L2811"/>
    <mergeCell ref="A2812:C2812"/>
    <mergeCell ref="D2812:L2812"/>
    <mergeCell ref="A2807:C2807"/>
    <mergeCell ref="D2807:L2807"/>
    <mergeCell ref="A2808:C2808"/>
    <mergeCell ref="D2808:L2808"/>
    <mergeCell ref="A2809:C2809"/>
    <mergeCell ref="D2809:L2809"/>
    <mergeCell ref="B2824:D2824"/>
    <mergeCell ref="C2826:D2826"/>
    <mergeCell ref="J2826:L2826"/>
    <mergeCell ref="B2827:D2827"/>
    <mergeCell ref="G2827:H2827"/>
    <mergeCell ref="B2828:D2828"/>
    <mergeCell ref="C2821:D2821"/>
    <mergeCell ref="J2821:L2821"/>
    <mergeCell ref="B2822:D2822"/>
    <mergeCell ref="I2822:J2822"/>
    <mergeCell ref="K2822:L2822"/>
    <mergeCell ref="B2823:D2823"/>
    <mergeCell ref="I2823:J2823"/>
    <mergeCell ref="B2817:D2817"/>
    <mergeCell ref="I2817:J2817"/>
    <mergeCell ref="K2817:L2817"/>
    <mergeCell ref="B2818:D2818"/>
    <mergeCell ref="I2818:J2818"/>
    <mergeCell ref="B2819:D2819"/>
    <mergeCell ref="A2841:C2841"/>
    <mergeCell ref="D2841:L2841"/>
    <mergeCell ref="A2842:C2842"/>
    <mergeCell ref="D2842:L2842"/>
    <mergeCell ref="A2843:C2843"/>
    <mergeCell ref="D2843:L2843"/>
    <mergeCell ref="G2836:I2836"/>
    <mergeCell ref="F2837:I2837"/>
    <mergeCell ref="G2838:I2838"/>
    <mergeCell ref="A2839:L2839"/>
    <mergeCell ref="A2840:C2840"/>
    <mergeCell ref="D2840:L2840"/>
    <mergeCell ref="B2829:D2829"/>
    <mergeCell ref="G2830:J2830"/>
    <mergeCell ref="B2831:D2831"/>
    <mergeCell ref="B2832:D2832"/>
    <mergeCell ref="F2833:F2834"/>
    <mergeCell ref="G2833:J2833"/>
    <mergeCell ref="G2834:J2834"/>
    <mergeCell ref="B2851:D2851"/>
    <mergeCell ref="I2851:J2851"/>
    <mergeCell ref="K2851:L2851"/>
    <mergeCell ref="B2852:D2852"/>
    <mergeCell ref="I2852:J2852"/>
    <mergeCell ref="B2853:D2853"/>
    <mergeCell ref="A2847:C2847"/>
    <mergeCell ref="D2847:L2847"/>
    <mergeCell ref="A2848:C2848"/>
    <mergeCell ref="D2848:L2848"/>
    <mergeCell ref="A2849:L2849"/>
    <mergeCell ref="C2850:D2850"/>
    <mergeCell ref="J2850:L2850"/>
    <mergeCell ref="A2844:C2844"/>
    <mergeCell ref="D2844:L2844"/>
    <mergeCell ref="A2845:C2845"/>
    <mergeCell ref="D2845:L2845"/>
    <mergeCell ref="A2846:C2846"/>
    <mergeCell ref="D2846:L2846"/>
    <mergeCell ref="F2864:I2864"/>
    <mergeCell ref="G2865:I2865"/>
    <mergeCell ref="C2867:D2867"/>
    <mergeCell ref="J2867:L2867"/>
    <mergeCell ref="B2868:D2868"/>
    <mergeCell ref="G2868:H2868"/>
    <mergeCell ref="B2858:D2858"/>
    <mergeCell ref="B2859:D2859"/>
    <mergeCell ref="F2860:F2861"/>
    <mergeCell ref="G2860:J2860"/>
    <mergeCell ref="G2861:J2861"/>
    <mergeCell ref="G2863:I2863"/>
    <mergeCell ref="A2854:L2854"/>
    <mergeCell ref="C2855:D2855"/>
    <mergeCell ref="J2855:L2855"/>
    <mergeCell ref="B2856:D2856"/>
    <mergeCell ref="G2856:H2856"/>
    <mergeCell ref="B2857:D2857"/>
    <mergeCell ref="B2880:D2880"/>
    <mergeCell ref="G2880:H2880"/>
    <mergeCell ref="B2881:D2881"/>
    <mergeCell ref="B2882:D2882"/>
    <mergeCell ref="F2883:F2884"/>
    <mergeCell ref="G2883:J2883"/>
    <mergeCell ref="G2884:J2884"/>
    <mergeCell ref="G2875:I2875"/>
    <mergeCell ref="F2876:I2876"/>
    <mergeCell ref="G2877:I2877"/>
    <mergeCell ref="A2878:L2878"/>
    <mergeCell ref="C2879:D2879"/>
    <mergeCell ref="J2879:L2879"/>
    <mergeCell ref="B2869:D2869"/>
    <mergeCell ref="B2870:D2870"/>
    <mergeCell ref="B2871:D2871"/>
    <mergeCell ref="F2872:F2873"/>
    <mergeCell ref="G2872:J2872"/>
    <mergeCell ref="G2873:J2873"/>
    <mergeCell ref="G2898:I2898"/>
    <mergeCell ref="G2899:I2899"/>
    <mergeCell ref="A2900:L2900"/>
    <mergeCell ref="C2901:D2901"/>
    <mergeCell ref="J2901:L2901"/>
    <mergeCell ref="B2902:D2902"/>
    <mergeCell ref="I2902:J2902"/>
    <mergeCell ref="K2902:L2902"/>
    <mergeCell ref="B2891:D2891"/>
    <mergeCell ref="G2891:H2891"/>
    <mergeCell ref="B2892:D2892"/>
    <mergeCell ref="B2893:D2893"/>
    <mergeCell ref="B2894:D2894"/>
    <mergeCell ref="F2895:F2896"/>
    <mergeCell ref="G2895:J2895"/>
    <mergeCell ref="G2896:J2896"/>
    <mergeCell ref="G2886:I2886"/>
    <mergeCell ref="F2887:I2887"/>
    <mergeCell ref="G2888:I2888"/>
    <mergeCell ref="A2889:L2889"/>
    <mergeCell ref="C2890:D2890"/>
    <mergeCell ref="J2890:L2890"/>
    <mergeCell ref="A2910:L2910"/>
    <mergeCell ref="C2911:D2911"/>
    <mergeCell ref="J2911:L2911"/>
    <mergeCell ref="B2912:D2912"/>
    <mergeCell ref="G2912:H2912"/>
    <mergeCell ref="K2912:L2912"/>
    <mergeCell ref="B2907:D2907"/>
    <mergeCell ref="I2907:J2907"/>
    <mergeCell ref="K2907:L2907"/>
    <mergeCell ref="B2908:D2908"/>
    <mergeCell ref="I2908:J2908"/>
    <mergeCell ref="B2909:D2909"/>
    <mergeCell ref="B2903:D2903"/>
    <mergeCell ref="I2903:J2903"/>
    <mergeCell ref="B2904:D2904"/>
    <mergeCell ref="A2905:L2905"/>
    <mergeCell ref="C2906:D2906"/>
    <mergeCell ref="J2906:L2906"/>
    <mergeCell ref="B2924:D2924"/>
    <mergeCell ref="I2924:J2924"/>
    <mergeCell ref="B2925:D2925"/>
    <mergeCell ref="A2926:L2926"/>
    <mergeCell ref="C2927:D2927"/>
    <mergeCell ref="J2927:L2927"/>
    <mergeCell ref="B2921:L2921"/>
    <mergeCell ref="C2922:D2922"/>
    <mergeCell ref="J2922:L2922"/>
    <mergeCell ref="B2923:D2923"/>
    <mergeCell ref="I2923:J2923"/>
    <mergeCell ref="K2923:L2923"/>
    <mergeCell ref="B2913:D2913"/>
    <mergeCell ref="B2915:D2915"/>
    <mergeCell ref="B2916:D2916"/>
    <mergeCell ref="F2917:F2918"/>
    <mergeCell ref="G2917:J2917"/>
    <mergeCell ref="G2918:J2918"/>
    <mergeCell ref="B2933:D2933"/>
    <mergeCell ref="A2934:L2934"/>
    <mergeCell ref="C2935:D2935"/>
    <mergeCell ref="J2935:L2935"/>
    <mergeCell ref="B2936:D2936"/>
    <mergeCell ref="G2936:H2936"/>
    <mergeCell ref="I2936:J2936"/>
    <mergeCell ref="K2936:L2936"/>
    <mergeCell ref="B2930:D2930"/>
    <mergeCell ref="I2930:J2930"/>
    <mergeCell ref="B2931:D2931"/>
    <mergeCell ref="I2931:J2931"/>
    <mergeCell ref="B2932:D2932"/>
    <mergeCell ref="I2932:J2932"/>
    <mergeCell ref="B2928:D2928"/>
    <mergeCell ref="G2928:H2928"/>
    <mergeCell ref="I2928:J2928"/>
    <mergeCell ref="K2928:L2928"/>
    <mergeCell ref="B2929:D2929"/>
    <mergeCell ref="I2929:J2929"/>
    <mergeCell ref="B2945:D2945"/>
    <mergeCell ref="B2946:D2946"/>
    <mergeCell ref="B2947:D2947"/>
    <mergeCell ref="F2948:F2949"/>
    <mergeCell ref="G2948:J2948"/>
    <mergeCell ref="G2949:J2949"/>
    <mergeCell ref="B2941:D2941"/>
    <mergeCell ref="G2941:H2941"/>
    <mergeCell ref="K2941:L2941"/>
    <mergeCell ref="B2942:D2942"/>
    <mergeCell ref="B2943:D2943"/>
    <mergeCell ref="B2944:D2944"/>
    <mergeCell ref="B2937:D2937"/>
    <mergeCell ref="I2937:J2937"/>
    <mergeCell ref="B2938:D2938"/>
    <mergeCell ref="A2939:L2939"/>
    <mergeCell ref="C2940:D2940"/>
    <mergeCell ref="J2940:L2940"/>
    <mergeCell ref="A2962:L2962"/>
    <mergeCell ref="C2963:D2963"/>
    <mergeCell ref="J2963:L2963"/>
    <mergeCell ref="B2964:D2964"/>
    <mergeCell ref="G2964:H2964"/>
    <mergeCell ref="K2964:L2964"/>
    <mergeCell ref="B2955:D2955"/>
    <mergeCell ref="B2956:D2956"/>
    <mergeCell ref="B2957:D2957"/>
    <mergeCell ref="F2958:F2959"/>
    <mergeCell ref="G2958:J2958"/>
    <mergeCell ref="G2959:J2959"/>
    <mergeCell ref="A2952:L2952"/>
    <mergeCell ref="C2953:D2953"/>
    <mergeCell ref="J2953:L2953"/>
    <mergeCell ref="B2954:D2954"/>
    <mergeCell ref="G2954:H2954"/>
    <mergeCell ref="K2954:L2954"/>
    <mergeCell ref="B2976:D2976"/>
    <mergeCell ref="G2976:H2976"/>
    <mergeCell ref="K2976:L2976"/>
    <mergeCell ref="B2977:D2977"/>
    <mergeCell ref="B2978:D2978"/>
    <mergeCell ref="B2979:D2979"/>
    <mergeCell ref="G2971:I2971"/>
    <mergeCell ref="F2972:I2972"/>
    <mergeCell ref="G2973:I2973"/>
    <mergeCell ref="A2974:L2974"/>
    <mergeCell ref="C2975:D2975"/>
    <mergeCell ref="J2975:L2975"/>
    <mergeCell ref="B2965:D2965"/>
    <mergeCell ref="B2966:D2966"/>
    <mergeCell ref="B2967:D2967"/>
    <mergeCell ref="F2968:F2969"/>
    <mergeCell ref="G2968:J2968"/>
    <mergeCell ref="G2969:J2969"/>
    <mergeCell ref="B2989:D2989"/>
    <mergeCell ref="B2990:D2990"/>
    <mergeCell ref="B2991:D2991"/>
    <mergeCell ref="B2992:D2992"/>
    <mergeCell ref="F2993:F2994"/>
    <mergeCell ref="G2993:J2993"/>
    <mergeCell ref="G2994:J2994"/>
    <mergeCell ref="A2986:L2986"/>
    <mergeCell ref="C2987:D2987"/>
    <mergeCell ref="J2987:L2987"/>
    <mergeCell ref="B2988:D2988"/>
    <mergeCell ref="G2988:H2988"/>
    <mergeCell ref="K2988:L2988"/>
    <mergeCell ref="F2980:F2981"/>
    <mergeCell ref="G2980:J2980"/>
    <mergeCell ref="G2981:J2981"/>
    <mergeCell ref="G2983:I2983"/>
    <mergeCell ref="F2984:I2984"/>
    <mergeCell ref="G2985:I2985"/>
    <mergeCell ref="G3008:I3008"/>
    <mergeCell ref="F3009:I3009"/>
    <mergeCell ref="G3010:I3010"/>
    <mergeCell ref="A3011:L3011"/>
    <mergeCell ref="C3012:D3012"/>
    <mergeCell ref="J3012:L3012"/>
    <mergeCell ref="B3001:D3001"/>
    <mergeCell ref="G3001:H3001"/>
    <mergeCell ref="B3002:D3002"/>
    <mergeCell ref="B3003:D3003"/>
    <mergeCell ref="B3004:D3004"/>
    <mergeCell ref="F3005:F3006"/>
    <mergeCell ref="G3005:J3005"/>
    <mergeCell ref="G3006:J3006"/>
    <mergeCell ref="G2996:I2996"/>
    <mergeCell ref="F2997:I2997"/>
    <mergeCell ref="G2998:I2998"/>
    <mergeCell ref="A2999:L2999"/>
    <mergeCell ref="C3000:D3000"/>
    <mergeCell ref="J3000:L3000"/>
    <mergeCell ref="C3024:D3024"/>
    <mergeCell ref="J3024:L3024"/>
    <mergeCell ref="B3025:D3025"/>
    <mergeCell ref="G3025:H3025"/>
    <mergeCell ref="K3025:L3025"/>
    <mergeCell ref="B3026:D3026"/>
    <mergeCell ref="G3026:H3026"/>
    <mergeCell ref="B3017:D3017"/>
    <mergeCell ref="F3019:F3020"/>
    <mergeCell ref="G3019:J3019"/>
    <mergeCell ref="G3020:J3020"/>
    <mergeCell ref="G3022:I3022"/>
    <mergeCell ref="A3023:L3023"/>
    <mergeCell ref="B3013:D3013"/>
    <mergeCell ref="G3013:H3013"/>
    <mergeCell ref="K3013:L3013"/>
    <mergeCell ref="B3014:D3014"/>
    <mergeCell ref="B3015:D3015"/>
    <mergeCell ref="B3016:D3016"/>
    <mergeCell ref="F3038:F3039"/>
    <mergeCell ref="G3038:J3038"/>
    <mergeCell ref="G3039:J3039"/>
    <mergeCell ref="G3041:I3041"/>
    <mergeCell ref="A3042:L3042"/>
    <mergeCell ref="C3043:D3043"/>
    <mergeCell ref="J3043:L3043"/>
    <mergeCell ref="B3031:D3031"/>
    <mergeCell ref="B3032:D3032"/>
    <mergeCell ref="B3033:D3033"/>
    <mergeCell ref="B3034:D3034"/>
    <mergeCell ref="B3035:D3035"/>
    <mergeCell ref="B3036:D3036"/>
    <mergeCell ref="A3027:L3027"/>
    <mergeCell ref="C3028:D3028"/>
    <mergeCell ref="J3028:L3028"/>
    <mergeCell ref="G3029:H3029"/>
    <mergeCell ref="K3029:L3029"/>
    <mergeCell ref="B3030:D3030"/>
    <mergeCell ref="A3054:L3054"/>
    <mergeCell ref="C3055:D3055"/>
    <mergeCell ref="J3055:L3055"/>
    <mergeCell ref="B3056:D3056"/>
    <mergeCell ref="G3056:H3056"/>
    <mergeCell ref="B3057:D3057"/>
    <mergeCell ref="F3048:F3049"/>
    <mergeCell ref="G3048:J3048"/>
    <mergeCell ref="G3049:J3049"/>
    <mergeCell ref="G3051:I3051"/>
    <mergeCell ref="F3052:I3052"/>
    <mergeCell ref="G3053:I3053"/>
    <mergeCell ref="B3044:D3044"/>
    <mergeCell ref="G3044:H3044"/>
    <mergeCell ref="K3044:L3044"/>
    <mergeCell ref="B3045:D3045"/>
    <mergeCell ref="B3046:D3046"/>
    <mergeCell ref="B3047:D3047"/>
    <mergeCell ref="B3069:D3069"/>
    <mergeCell ref="B3070:D3070"/>
    <mergeCell ref="B3071:D3071"/>
    <mergeCell ref="B3072:D3072"/>
    <mergeCell ref="B3073:D3073"/>
    <mergeCell ref="F3074:F3075"/>
    <mergeCell ref="F3064:I3064"/>
    <mergeCell ref="G3065:I3065"/>
    <mergeCell ref="A3066:L3066"/>
    <mergeCell ref="C3067:D3067"/>
    <mergeCell ref="J3067:L3067"/>
    <mergeCell ref="B3068:D3068"/>
    <mergeCell ref="G3068:H3068"/>
    <mergeCell ref="K3068:L3068"/>
    <mergeCell ref="B3058:D3058"/>
    <mergeCell ref="B3059:D3059"/>
    <mergeCell ref="F3060:F3061"/>
    <mergeCell ref="G3060:J3060"/>
    <mergeCell ref="G3061:J3061"/>
    <mergeCell ref="G3063:I3063"/>
    <mergeCell ref="A3084:L3084"/>
    <mergeCell ref="C3085:D3085"/>
    <mergeCell ref="J3085:L3085"/>
    <mergeCell ref="B3086:D3086"/>
    <mergeCell ref="G3086:H3086"/>
    <mergeCell ref="K3086:L3086"/>
    <mergeCell ref="C3081:D3081"/>
    <mergeCell ref="J3081:L3081"/>
    <mergeCell ref="B3082:D3082"/>
    <mergeCell ref="G3082:H3082"/>
    <mergeCell ref="K3082:L3082"/>
    <mergeCell ref="B3083:D3083"/>
    <mergeCell ref="G3083:H3083"/>
    <mergeCell ref="G3074:J3074"/>
    <mergeCell ref="G3075:J3075"/>
    <mergeCell ref="G3077:I3077"/>
    <mergeCell ref="F3078:I3078"/>
    <mergeCell ref="G3079:I3079"/>
    <mergeCell ref="A3080:L3080"/>
    <mergeCell ref="B3099:D3099"/>
    <mergeCell ref="G3099:H3099"/>
    <mergeCell ref="B3100:D3100"/>
    <mergeCell ref="B3101:D3101"/>
    <mergeCell ref="B3102:D3102"/>
    <mergeCell ref="F3103:F3104"/>
    <mergeCell ref="G3103:J3103"/>
    <mergeCell ref="G3104:J3104"/>
    <mergeCell ref="F3093:F3094"/>
    <mergeCell ref="G3093:J3093"/>
    <mergeCell ref="G3094:J3094"/>
    <mergeCell ref="G3096:I3096"/>
    <mergeCell ref="A3097:L3097"/>
    <mergeCell ref="C3098:D3098"/>
    <mergeCell ref="J3098:L3098"/>
    <mergeCell ref="B3087:D3087"/>
    <mergeCell ref="B3088:D3088"/>
    <mergeCell ref="B3089:D3089"/>
    <mergeCell ref="B3090:D3090"/>
    <mergeCell ref="B3091:D3091"/>
    <mergeCell ref="B3092:D3092"/>
    <mergeCell ref="B3115:D3115"/>
    <mergeCell ref="B3116:D3116"/>
    <mergeCell ref="B3117:D3117"/>
    <mergeCell ref="F3118:F3119"/>
    <mergeCell ref="G3118:J3118"/>
    <mergeCell ref="G3119:J3119"/>
    <mergeCell ref="B3111:D3111"/>
    <mergeCell ref="G3111:H3111"/>
    <mergeCell ref="K3111:L3111"/>
    <mergeCell ref="B3112:D3112"/>
    <mergeCell ref="B3113:D3113"/>
    <mergeCell ref="B3114:D3114"/>
    <mergeCell ref="G3106:I3106"/>
    <mergeCell ref="G3107:I3107"/>
    <mergeCell ref="G3108:I3108"/>
    <mergeCell ref="A3109:L3109"/>
    <mergeCell ref="C3110:D3110"/>
    <mergeCell ref="J3110:L3110"/>
    <mergeCell ref="G3131:I3131"/>
    <mergeCell ref="A3132:L3132"/>
    <mergeCell ref="C3133:D3133"/>
    <mergeCell ref="J3133:L3133"/>
    <mergeCell ref="B3134:D3134"/>
    <mergeCell ref="G3134:H3134"/>
    <mergeCell ref="K3134:L3134"/>
    <mergeCell ref="B3125:D3125"/>
    <mergeCell ref="B3126:D3126"/>
    <mergeCell ref="B3127:D3127"/>
    <mergeCell ref="F3128:F3129"/>
    <mergeCell ref="G3128:J3128"/>
    <mergeCell ref="G3129:J3129"/>
    <mergeCell ref="G3121:I3121"/>
    <mergeCell ref="A3122:L3122"/>
    <mergeCell ref="C3123:D3123"/>
    <mergeCell ref="J3123:L3123"/>
    <mergeCell ref="B3124:D3124"/>
    <mergeCell ref="G3124:H3124"/>
    <mergeCell ref="K3124:L3124"/>
    <mergeCell ref="B3145:D3145"/>
    <mergeCell ref="B3146:D3146"/>
    <mergeCell ref="B3147:D3147"/>
    <mergeCell ref="B3148:D3148"/>
    <mergeCell ref="B3149:D3149"/>
    <mergeCell ref="B3150:D3150"/>
    <mergeCell ref="G3141:I3141"/>
    <mergeCell ref="A3142:L3142"/>
    <mergeCell ref="C3143:D3143"/>
    <mergeCell ref="J3143:L3143"/>
    <mergeCell ref="B3144:D3144"/>
    <mergeCell ref="G3144:H3144"/>
    <mergeCell ref="K3144:L3144"/>
    <mergeCell ref="B3135:D3135"/>
    <mergeCell ref="F3136:F3137"/>
    <mergeCell ref="G3136:J3136"/>
    <mergeCell ref="G3137:J3137"/>
    <mergeCell ref="G3139:I3139"/>
    <mergeCell ref="F3140:I3140"/>
    <mergeCell ref="F3160:F3161"/>
    <mergeCell ref="G3160:J3160"/>
    <mergeCell ref="G3161:J3161"/>
    <mergeCell ref="G3163:I3163"/>
    <mergeCell ref="F3164:I3164"/>
    <mergeCell ref="G3165:I3165"/>
    <mergeCell ref="C3157:D3157"/>
    <mergeCell ref="J3157:L3157"/>
    <mergeCell ref="B3158:D3158"/>
    <mergeCell ref="G3158:H3158"/>
    <mergeCell ref="K3158:L3158"/>
    <mergeCell ref="B3159:D3159"/>
    <mergeCell ref="B3151:D3151"/>
    <mergeCell ref="F3152:F3153"/>
    <mergeCell ref="G3152:J3152"/>
    <mergeCell ref="G3153:J3153"/>
    <mergeCell ref="G3155:I3155"/>
    <mergeCell ref="A3156:L3156"/>
    <mergeCell ref="G3176:I3176"/>
    <mergeCell ref="A3177:L3177"/>
    <mergeCell ref="C3178:D3178"/>
    <mergeCell ref="J3178:L3178"/>
    <mergeCell ref="B3179:D3179"/>
    <mergeCell ref="G3179:H3179"/>
    <mergeCell ref="I3179:J3179"/>
    <mergeCell ref="K3179:L3179"/>
    <mergeCell ref="B3169:D3169"/>
    <mergeCell ref="B3170:D3170"/>
    <mergeCell ref="B3171:D3171"/>
    <mergeCell ref="B3172:D3172"/>
    <mergeCell ref="F3173:F3174"/>
    <mergeCell ref="G3173:J3173"/>
    <mergeCell ref="G3174:J3174"/>
    <mergeCell ref="A3166:L3166"/>
    <mergeCell ref="C3167:D3167"/>
    <mergeCell ref="J3167:L3167"/>
    <mergeCell ref="B3168:D3168"/>
    <mergeCell ref="G3168:H3168"/>
    <mergeCell ref="K3168:L3168"/>
    <mergeCell ref="B3189:D3189"/>
    <mergeCell ref="B3190:D3190"/>
    <mergeCell ref="F3191:F3192"/>
    <mergeCell ref="G3191:J3191"/>
    <mergeCell ref="G3192:J3192"/>
    <mergeCell ref="G3194:I3194"/>
    <mergeCell ref="B3184:D3184"/>
    <mergeCell ref="G3184:H3184"/>
    <mergeCell ref="K3184:L3184"/>
    <mergeCell ref="B3185:D3185"/>
    <mergeCell ref="B3186:D3186"/>
    <mergeCell ref="B3187:D3187"/>
    <mergeCell ref="B3180:D3180"/>
    <mergeCell ref="G3180:H3180"/>
    <mergeCell ref="I3180:J3180"/>
    <mergeCell ref="B3181:D3181"/>
    <mergeCell ref="A3182:L3182"/>
    <mergeCell ref="C3183:D3183"/>
    <mergeCell ref="J3183:L3183"/>
    <mergeCell ref="B3203:D3203"/>
    <mergeCell ref="G3203:H3203"/>
    <mergeCell ref="K3203:L3203"/>
    <mergeCell ref="B3204:D3204"/>
    <mergeCell ref="B3205:D3205"/>
    <mergeCell ref="B3206:D3206"/>
    <mergeCell ref="B3199:D3199"/>
    <mergeCell ref="I3199:J3199"/>
    <mergeCell ref="B3200:D3200"/>
    <mergeCell ref="A3201:L3201"/>
    <mergeCell ref="C3202:D3202"/>
    <mergeCell ref="J3202:L3202"/>
    <mergeCell ref="G3195:I3195"/>
    <mergeCell ref="A3196:L3196"/>
    <mergeCell ref="C3197:D3197"/>
    <mergeCell ref="J3197:L3197"/>
    <mergeCell ref="B3198:D3198"/>
    <mergeCell ref="G3198:H3198"/>
    <mergeCell ref="I3198:J3198"/>
    <mergeCell ref="K3198:L3198"/>
    <mergeCell ref="B3216:D3216"/>
    <mergeCell ref="I3216:J3216"/>
    <mergeCell ref="B3217:D3217"/>
    <mergeCell ref="A3218:L3218"/>
    <mergeCell ref="C3219:D3219"/>
    <mergeCell ref="J3219:L3219"/>
    <mergeCell ref="A3213:L3213"/>
    <mergeCell ref="C3214:D3214"/>
    <mergeCell ref="J3214:L3214"/>
    <mergeCell ref="B3215:D3215"/>
    <mergeCell ref="G3215:H3215"/>
    <mergeCell ref="I3215:J3215"/>
    <mergeCell ref="K3215:L3215"/>
    <mergeCell ref="F3207:F3208"/>
    <mergeCell ref="G3207:J3207"/>
    <mergeCell ref="G3208:J3208"/>
    <mergeCell ref="G3210:I3210"/>
    <mergeCell ref="F3211:I3211"/>
    <mergeCell ref="G3212:I3212"/>
    <mergeCell ref="C3230:D3230"/>
    <mergeCell ref="J3230:L3230"/>
    <mergeCell ref="B3231:D3231"/>
    <mergeCell ref="G3231:H3231"/>
    <mergeCell ref="K3231:L3231"/>
    <mergeCell ref="B3232:D3232"/>
    <mergeCell ref="G3232:H3232"/>
    <mergeCell ref="B3224:D3224"/>
    <mergeCell ref="F3225:F3226"/>
    <mergeCell ref="G3225:J3225"/>
    <mergeCell ref="G3226:J3226"/>
    <mergeCell ref="G3228:I3228"/>
    <mergeCell ref="A3229:L3229"/>
    <mergeCell ref="B3220:D3220"/>
    <mergeCell ref="G3220:H3220"/>
    <mergeCell ref="K3220:L3220"/>
    <mergeCell ref="B3221:D3221"/>
    <mergeCell ref="B3222:D3222"/>
    <mergeCell ref="B3223:D3223"/>
    <mergeCell ref="G3242:I3242"/>
    <mergeCell ref="A3243:L3243"/>
    <mergeCell ref="C3244:D3244"/>
    <mergeCell ref="J3244:L3244"/>
    <mergeCell ref="B3245:D3245"/>
    <mergeCell ref="G3245:H3245"/>
    <mergeCell ref="K3245:L3245"/>
    <mergeCell ref="B3236:D3236"/>
    <mergeCell ref="F3237:F3238"/>
    <mergeCell ref="G3237:J3237"/>
    <mergeCell ref="G3238:J3238"/>
    <mergeCell ref="G3240:I3240"/>
    <mergeCell ref="F3241:I3241"/>
    <mergeCell ref="A3233:L3233"/>
    <mergeCell ref="C3234:D3234"/>
    <mergeCell ref="J3234:L3234"/>
    <mergeCell ref="B3235:D3235"/>
    <mergeCell ref="G3235:H3235"/>
    <mergeCell ref="K3235:L3235"/>
    <mergeCell ref="B3258:D3258"/>
    <mergeCell ref="I3258:J3258"/>
    <mergeCell ref="B3259:D3259"/>
    <mergeCell ref="A3260:L3260"/>
    <mergeCell ref="C3261:D3261"/>
    <mergeCell ref="J3261:L3261"/>
    <mergeCell ref="F3253:I3253"/>
    <mergeCell ref="G3254:I3254"/>
    <mergeCell ref="A3255:L3255"/>
    <mergeCell ref="C3256:D3256"/>
    <mergeCell ref="J3256:L3256"/>
    <mergeCell ref="B3257:D3257"/>
    <mergeCell ref="I3257:J3257"/>
    <mergeCell ref="K3257:L3257"/>
    <mergeCell ref="B3246:D3246"/>
    <mergeCell ref="B3247:D3247"/>
    <mergeCell ref="F3249:F3250"/>
    <mergeCell ref="G3249:J3249"/>
    <mergeCell ref="G3250:J3250"/>
    <mergeCell ref="G3252:I3252"/>
    <mergeCell ref="B3275:D3275"/>
    <mergeCell ref="G3275:H3275"/>
    <mergeCell ref="K3275:L3275"/>
    <mergeCell ref="B3276:D3276"/>
    <mergeCell ref="B3277:D3277"/>
    <mergeCell ref="F3279:F3280"/>
    <mergeCell ref="G3279:J3279"/>
    <mergeCell ref="G3280:J3280"/>
    <mergeCell ref="G3270:I3270"/>
    <mergeCell ref="F3271:I3271"/>
    <mergeCell ref="G3272:I3272"/>
    <mergeCell ref="A3273:L3273"/>
    <mergeCell ref="C3274:D3274"/>
    <mergeCell ref="J3274:L3274"/>
    <mergeCell ref="B3262:D3262"/>
    <mergeCell ref="G3262:H3262"/>
    <mergeCell ref="B3263:D3263"/>
    <mergeCell ref="B3264:D3264"/>
    <mergeCell ref="B3265:D3265"/>
    <mergeCell ref="F3267:F3268"/>
    <mergeCell ref="G3267:J3267"/>
    <mergeCell ref="G3268:J3268"/>
    <mergeCell ref="F3293:I3293"/>
    <mergeCell ref="G3294:I3294"/>
    <mergeCell ref="A3295:L3295"/>
    <mergeCell ref="C3296:D3296"/>
    <mergeCell ref="J3296:L3296"/>
    <mergeCell ref="B3297:D3297"/>
    <mergeCell ref="G3297:H3297"/>
    <mergeCell ref="B3286:D3286"/>
    <mergeCell ref="B3287:D3287"/>
    <mergeCell ref="F3289:F3290"/>
    <mergeCell ref="G3289:J3289"/>
    <mergeCell ref="G3290:J3290"/>
    <mergeCell ref="G3292:I3292"/>
    <mergeCell ref="G3282:I3282"/>
    <mergeCell ref="A3283:L3283"/>
    <mergeCell ref="C3284:D3284"/>
    <mergeCell ref="J3284:L3284"/>
    <mergeCell ref="B3285:D3285"/>
    <mergeCell ref="G3285:H3285"/>
    <mergeCell ref="G3310:I3310"/>
    <mergeCell ref="A3311:L3311"/>
    <mergeCell ref="C3312:D3312"/>
    <mergeCell ref="J3312:L3312"/>
    <mergeCell ref="B3313:D3313"/>
    <mergeCell ref="G3313:H3313"/>
    <mergeCell ref="I3313:J3313"/>
    <mergeCell ref="K3313:L3313"/>
    <mergeCell ref="B3304:D3304"/>
    <mergeCell ref="F3305:F3306"/>
    <mergeCell ref="G3305:J3305"/>
    <mergeCell ref="G3306:J3306"/>
    <mergeCell ref="G3308:I3308"/>
    <mergeCell ref="F3309:I3309"/>
    <mergeCell ref="B3298:D3298"/>
    <mergeCell ref="B3299:D3299"/>
    <mergeCell ref="B3300:D3300"/>
    <mergeCell ref="B3301:D3301"/>
    <mergeCell ref="B3302:D3302"/>
    <mergeCell ref="B3303:D3303"/>
    <mergeCell ref="F3323:F3324"/>
    <mergeCell ref="G3323:J3323"/>
    <mergeCell ref="G3324:J3324"/>
    <mergeCell ref="G3326:I3326"/>
    <mergeCell ref="F3327:I3327"/>
    <mergeCell ref="G3328:I3328"/>
    <mergeCell ref="B3318:D3318"/>
    <mergeCell ref="G3318:H3318"/>
    <mergeCell ref="K3318:L3318"/>
    <mergeCell ref="B3319:D3319"/>
    <mergeCell ref="B3320:D3320"/>
    <mergeCell ref="B3321:D3321"/>
    <mergeCell ref="B3314:D3314"/>
    <mergeCell ref="I3314:J3314"/>
    <mergeCell ref="B3315:D3315"/>
    <mergeCell ref="A3316:L3316"/>
    <mergeCell ref="C3317:D3317"/>
    <mergeCell ref="J3317:L3317"/>
    <mergeCell ref="G3340:I3340"/>
    <mergeCell ref="A3341:L3341"/>
    <mergeCell ref="C3342:D3342"/>
    <mergeCell ref="J3342:L3342"/>
    <mergeCell ref="B3343:D3343"/>
    <mergeCell ref="G3343:H3343"/>
    <mergeCell ref="B3333:D3333"/>
    <mergeCell ref="F3335:F3336"/>
    <mergeCell ref="G3335:J3335"/>
    <mergeCell ref="G3336:J3336"/>
    <mergeCell ref="G3338:I3338"/>
    <mergeCell ref="F3339:I3339"/>
    <mergeCell ref="A3329:L3329"/>
    <mergeCell ref="C3330:D3330"/>
    <mergeCell ref="J3330:L3330"/>
    <mergeCell ref="B3331:D3331"/>
    <mergeCell ref="G3331:H3331"/>
    <mergeCell ref="B3332:D3332"/>
    <mergeCell ref="B3356:D3356"/>
    <mergeCell ref="B3357:D3357"/>
    <mergeCell ref="F3359:F3360"/>
    <mergeCell ref="G3359:J3359"/>
    <mergeCell ref="G3360:J3360"/>
    <mergeCell ref="G3362:I3362"/>
    <mergeCell ref="F3351:I3351"/>
    <mergeCell ref="G3352:I3352"/>
    <mergeCell ref="A3353:L3353"/>
    <mergeCell ref="C3354:D3354"/>
    <mergeCell ref="J3354:L3354"/>
    <mergeCell ref="B3355:D3355"/>
    <mergeCell ref="G3355:H3355"/>
    <mergeCell ref="B3344:D3344"/>
    <mergeCell ref="B3345:D3345"/>
    <mergeCell ref="F3347:F3348"/>
    <mergeCell ref="G3347:J3347"/>
    <mergeCell ref="G3348:J3348"/>
    <mergeCell ref="G3350:I3350"/>
    <mergeCell ref="G3374:I3374"/>
    <mergeCell ref="A3375:L3375"/>
    <mergeCell ref="C3376:D3376"/>
    <mergeCell ref="J3376:L3376"/>
    <mergeCell ref="B3377:D3377"/>
    <mergeCell ref="G3377:H3377"/>
    <mergeCell ref="B3367:D3367"/>
    <mergeCell ref="F3369:F3370"/>
    <mergeCell ref="G3369:J3369"/>
    <mergeCell ref="G3370:J3370"/>
    <mergeCell ref="G3372:I3372"/>
    <mergeCell ref="F3373:I3373"/>
    <mergeCell ref="A3363:L3363"/>
    <mergeCell ref="C3364:D3364"/>
    <mergeCell ref="J3364:L3364"/>
    <mergeCell ref="B3365:D3365"/>
    <mergeCell ref="G3365:H3365"/>
    <mergeCell ref="B3366:D3366"/>
    <mergeCell ref="B3389:D3389"/>
    <mergeCell ref="F3391:F3392"/>
    <mergeCell ref="G3391:J3391"/>
    <mergeCell ref="G3392:J3392"/>
    <mergeCell ref="G3394:I3394"/>
    <mergeCell ref="A3395:L3395"/>
    <mergeCell ref="A3385:L3385"/>
    <mergeCell ref="C3386:D3386"/>
    <mergeCell ref="J3386:L3386"/>
    <mergeCell ref="B3387:D3387"/>
    <mergeCell ref="G3387:H3387"/>
    <mergeCell ref="B3388:D3388"/>
    <mergeCell ref="B3378:D3378"/>
    <mergeCell ref="B3379:D3379"/>
    <mergeCell ref="F3381:F3382"/>
    <mergeCell ref="G3381:J3381"/>
    <mergeCell ref="G3382:J3382"/>
    <mergeCell ref="G3384:I3384"/>
    <mergeCell ref="B3407:D3407"/>
    <mergeCell ref="G3407:H3407"/>
    <mergeCell ref="B3408:D3408"/>
    <mergeCell ref="B3409:D3409"/>
    <mergeCell ref="B3410:D3410"/>
    <mergeCell ref="F3411:F3412"/>
    <mergeCell ref="G3411:J3411"/>
    <mergeCell ref="G3412:J3412"/>
    <mergeCell ref="B3400:D3400"/>
    <mergeCell ref="F3401:F3402"/>
    <mergeCell ref="G3401:J3401"/>
    <mergeCell ref="G3402:J3402"/>
    <mergeCell ref="A3405:L3405"/>
    <mergeCell ref="C3406:D3406"/>
    <mergeCell ref="J3406:L3406"/>
    <mergeCell ref="C3396:D3396"/>
    <mergeCell ref="J3396:L3396"/>
    <mergeCell ref="B3397:D3397"/>
    <mergeCell ref="G3397:H3397"/>
    <mergeCell ref="B3398:D3398"/>
    <mergeCell ref="B3399:D3399"/>
    <mergeCell ref="A3422:L3422"/>
    <mergeCell ref="C3423:D3423"/>
    <mergeCell ref="J3423:L3423"/>
    <mergeCell ref="B3424:D3424"/>
    <mergeCell ref="G3424:H3424"/>
    <mergeCell ref="B3425:D3425"/>
    <mergeCell ref="B3419:D3419"/>
    <mergeCell ref="G3419:H3419"/>
    <mergeCell ref="I3419:J3419"/>
    <mergeCell ref="B3420:D3420"/>
    <mergeCell ref="I3420:J3420"/>
    <mergeCell ref="B3421:D3421"/>
    <mergeCell ref="G3414:I3414"/>
    <mergeCell ref="F3415:I3415"/>
    <mergeCell ref="G3416:I3416"/>
    <mergeCell ref="A3417:L3417"/>
    <mergeCell ref="C3418:D3418"/>
    <mergeCell ref="J3418:L3418"/>
    <mergeCell ref="B3437:D3437"/>
    <mergeCell ref="B3438:D3438"/>
    <mergeCell ref="B3439:D3439"/>
    <mergeCell ref="B3440:D3440"/>
    <mergeCell ref="F3441:F3442"/>
    <mergeCell ref="G3441:J3441"/>
    <mergeCell ref="G3442:J3442"/>
    <mergeCell ref="F3432:I3432"/>
    <mergeCell ref="G3433:I3433"/>
    <mergeCell ref="A3434:L3434"/>
    <mergeCell ref="C3435:D3435"/>
    <mergeCell ref="J3435:L3435"/>
    <mergeCell ref="B3436:D3436"/>
    <mergeCell ref="G3436:H3436"/>
    <mergeCell ref="B3426:D3426"/>
    <mergeCell ref="B3427:D3427"/>
    <mergeCell ref="F3428:F3429"/>
    <mergeCell ref="G3428:J3428"/>
    <mergeCell ref="G3429:J3429"/>
    <mergeCell ref="G3431:I3431"/>
    <mergeCell ref="G3454:I3454"/>
    <mergeCell ref="A3455:L3455"/>
    <mergeCell ref="C3456:D3456"/>
    <mergeCell ref="J3456:L3456"/>
    <mergeCell ref="B3457:D3457"/>
    <mergeCell ref="G3457:H3457"/>
    <mergeCell ref="I3457:J3457"/>
    <mergeCell ref="B3448:D3448"/>
    <mergeCell ref="B3449:D3449"/>
    <mergeCell ref="B3450:D3450"/>
    <mergeCell ref="F3451:F3452"/>
    <mergeCell ref="G3451:J3451"/>
    <mergeCell ref="G3452:J3452"/>
    <mergeCell ref="G3444:I3444"/>
    <mergeCell ref="A3445:L3445"/>
    <mergeCell ref="C3446:D3446"/>
    <mergeCell ref="J3446:L3446"/>
    <mergeCell ref="B3447:D3447"/>
    <mergeCell ref="G3447:H3447"/>
    <mergeCell ref="B3467:D3467"/>
    <mergeCell ref="F3468:F3469"/>
    <mergeCell ref="G3468:J3468"/>
    <mergeCell ref="G3469:J3469"/>
    <mergeCell ref="G3471:I3471"/>
    <mergeCell ref="A3472:L3472"/>
    <mergeCell ref="C3463:D3463"/>
    <mergeCell ref="J3463:L3463"/>
    <mergeCell ref="B3464:D3464"/>
    <mergeCell ref="G3464:H3464"/>
    <mergeCell ref="B3465:D3465"/>
    <mergeCell ref="B3466:D3466"/>
    <mergeCell ref="B3458:D3458"/>
    <mergeCell ref="I3458:J3458"/>
    <mergeCell ref="B3459:D3459"/>
    <mergeCell ref="I3459:J3459"/>
    <mergeCell ref="B3461:D3461"/>
    <mergeCell ref="A3462:L3462"/>
    <mergeCell ref="B3484:D3484"/>
    <mergeCell ref="G3484:H3484"/>
    <mergeCell ref="B3485:D3485"/>
    <mergeCell ref="F3486:F3487"/>
    <mergeCell ref="G3486:J3486"/>
    <mergeCell ref="G3487:J3487"/>
    <mergeCell ref="B3478:D3478"/>
    <mergeCell ref="G3479:I3479"/>
    <mergeCell ref="F3480:I3480"/>
    <mergeCell ref="G3481:I3481"/>
    <mergeCell ref="A3482:L3482"/>
    <mergeCell ref="C3483:D3483"/>
    <mergeCell ref="J3483:L3483"/>
    <mergeCell ref="C3473:D3473"/>
    <mergeCell ref="J3473:L3473"/>
    <mergeCell ref="B3474:D3474"/>
    <mergeCell ref="G3474:H3474"/>
    <mergeCell ref="B3475:D3475"/>
    <mergeCell ref="F3476:F3477"/>
    <mergeCell ref="G3476:J3476"/>
    <mergeCell ref="G3477:J3477"/>
    <mergeCell ref="G3499:I3499"/>
    <mergeCell ref="F3500:I3500"/>
    <mergeCell ref="G3501:I3501"/>
    <mergeCell ref="A3502:L3502"/>
    <mergeCell ref="C3503:D3503"/>
    <mergeCell ref="J3503:L3503"/>
    <mergeCell ref="B3494:D3494"/>
    <mergeCell ref="G3494:H3494"/>
    <mergeCell ref="B3495:D3495"/>
    <mergeCell ref="F3496:F3497"/>
    <mergeCell ref="G3496:J3496"/>
    <mergeCell ref="G3497:J3497"/>
    <mergeCell ref="G3489:I3489"/>
    <mergeCell ref="F3490:I3490"/>
    <mergeCell ref="G3491:I3491"/>
    <mergeCell ref="A3492:L3492"/>
    <mergeCell ref="C3493:D3493"/>
    <mergeCell ref="J3493:L3493"/>
    <mergeCell ref="B3516:D3516"/>
    <mergeCell ref="G3516:H3516"/>
    <mergeCell ref="I3516:J3516"/>
    <mergeCell ref="B3517:D3517"/>
    <mergeCell ref="I3517:J3517"/>
    <mergeCell ref="B3518:D3518"/>
    <mergeCell ref="I3518:J3518"/>
    <mergeCell ref="G3511:I3511"/>
    <mergeCell ref="F3512:I3512"/>
    <mergeCell ref="G3513:I3513"/>
    <mergeCell ref="A3514:L3514"/>
    <mergeCell ref="C3515:D3515"/>
    <mergeCell ref="J3515:L3515"/>
    <mergeCell ref="B3504:D3504"/>
    <mergeCell ref="G3504:H3504"/>
    <mergeCell ref="B3505:D3505"/>
    <mergeCell ref="B3506:D3506"/>
    <mergeCell ref="B3507:D3507"/>
    <mergeCell ref="F3508:F3509"/>
    <mergeCell ref="G3508:J3508"/>
    <mergeCell ref="G3509:J3509"/>
    <mergeCell ref="F3530:I3530"/>
    <mergeCell ref="G3531:I3531"/>
    <mergeCell ref="A3532:L3532"/>
    <mergeCell ref="C3533:D3533"/>
    <mergeCell ref="J3533:L3533"/>
    <mergeCell ref="B3534:D3534"/>
    <mergeCell ref="G3534:H3534"/>
    <mergeCell ref="B3523:D3523"/>
    <mergeCell ref="B3524:D3524"/>
    <mergeCell ref="F3526:F3527"/>
    <mergeCell ref="G3526:J3526"/>
    <mergeCell ref="G3527:J3527"/>
    <mergeCell ref="G3529:I3529"/>
    <mergeCell ref="B3519:D3519"/>
    <mergeCell ref="A3520:L3520"/>
    <mergeCell ref="C3521:D3521"/>
    <mergeCell ref="J3521:L3521"/>
    <mergeCell ref="B3522:D3522"/>
    <mergeCell ref="G3522:H3522"/>
    <mergeCell ref="A3547:L3547"/>
    <mergeCell ref="C3548:D3548"/>
    <mergeCell ref="J3548:L3548"/>
    <mergeCell ref="B3549:D3549"/>
    <mergeCell ref="G3549:H3549"/>
    <mergeCell ref="I3549:J3549"/>
    <mergeCell ref="F3541:F3542"/>
    <mergeCell ref="G3541:J3541"/>
    <mergeCell ref="G3542:J3542"/>
    <mergeCell ref="G3544:I3544"/>
    <mergeCell ref="F3545:I3545"/>
    <mergeCell ref="G3546:I3546"/>
    <mergeCell ref="B3535:D3535"/>
    <mergeCell ref="B3536:D3536"/>
    <mergeCell ref="B3537:D3537"/>
    <mergeCell ref="B3538:D3538"/>
    <mergeCell ref="B3539:D3539"/>
    <mergeCell ref="B3540:D3540"/>
    <mergeCell ref="B3557:D3557"/>
    <mergeCell ref="G3557:H3557"/>
    <mergeCell ref="B3558:D3558"/>
    <mergeCell ref="B3559:D3559"/>
    <mergeCell ref="B3560:D3560"/>
    <mergeCell ref="B3561:D3561"/>
    <mergeCell ref="B3553:D3553"/>
    <mergeCell ref="I3553:J3553"/>
    <mergeCell ref="B3554:D3554"/>
    <mergeCell ref="A3555:L3555"/>
    <mergeCell ref="C3556:D3556"/>
    <mergeCell ref="J3556:L3556"/>
    <mergeCell ref="B3550:D3550"/>
    <mergeCell ref="I3550:J3550"/>
    <mergeCell ref="B3551:D3551"/>
    <mergeCell ref="I3551:J3551"/>
    <mergeCell ref="B3552:D3552"/>
    <mergeCell ref="I3552:J3552"/>
    <mergeCell ref="B3574:D3574"/>
    <mergeCell ref="B3575:D3575"/>
    <mergeCell ref="F3577:F3578"/>
    <mergeCell ref="G3577:J3577"/>
    <mergeCell ref="G3578:J3578"/>
    <mergeCell ref="A3581:L3581"/>
    <mergeCell ref="G3569:I3569"/>
    <mergeCell ref="A3570:L3570"/>
    <mergeCell ref="C3571:D3571"/>
    <mergeCell ref="J3571:L3571"/>
    <mergeCell ref="B3572:D3572"/>
    <mergeCell ref="G3572:H3572"/>
    <mergeCell ref="B3562:D3562"/>
    <mergeCell ref="B3563:D3563"/>
    <mergeCell ref="B3564:D3564"/>
    <mergeCell ref="B3565:D3565"/>
    <mergeCell ref="F3566:F3567"/>
    <mergeCell ref="G3566:J3566"/>
    <mergeCell ref="G3567:J3567"/>
    <mergeCell ref="B3593:D3593"/>
    <mergeCell ref="G3593:H3593"/>
    <mergeCell ref="B3594:D3594"/>
    <mergeCell ref="F3595:F3596"/>
    <mergeCell ref="G3595:J3595"/>
    <mergeCell ref="G3596:J3596"/>
    <mergeCell ref="G3588:I3588"/>
    <mergeCell ref="F3589:I3589"/>
    <mergeCell ref="G3590:I3590"/>
    <mergeCell ref="A3591:L3591"/>
    <mergeCell ref="C3592:D3592"/>
    <mergeCell ref="J3592:L3592"/>
    <mergeCell ref="C3582:D3582"/>
    <mergeCell ref="J3582:L3582"/>
    <mergeCell ref="B3583:D3583"/>
    <mergeCell ref="G3583:H3583"/>
    <mergeCell ref="B3584:D3584"/>
    <mergeCell ref="F3585:F3586"/>
    <mergeCell ref="G3585:J3585"/>
    <mergeCell ref="G3586:J3586"/>
    <mergeCell ref="C3606:D3606"/>
    <mergeCell ref="J3606:L3606"/>
    <mergeCell ref="B3607:D3607"/>
    <mergeCell ref="G3607:H3607"/>
    <mergeCell ref="B3608:D3608"/>
    <mergeCell ref="B3609:D3609"/>
    <mergeCell ref="B3603:D3603"/>
    <mergeCell ref="G3603:H3603"/>
    <mergeCell ref="K3603:L3603"/>
    <mergeCell ref="B3604:D3604"/>
    <mergeCell ref="G3604:H3604"/>
    <mergeCell ref="A3605:L3605"/>
    <mergeCell ref="G3598:I3598"/>
    <mergeCell ref="F3599:I3599"/>
    <mergeCell ref="G3600:I3600"/>
    <mergeCell ref="A3601:L3601"/>
    <mergeCell ref="C3602:D3602"/>
    <mergeCell ref="J3602:L3602"/>
    <mergeCell ref="B3620:D3620"/>
    <mergeCell ref="F3621:F3622"/>
    <mergeCell ref="G3621:J3621"/>
    <mergeCell ref="G3622:J3622"/>
    <mergeCell ref="G3624:I3624"/>
    <mergeCell ref="F3625:I3625"/>
    <mergeCell ref="A3616:L3616"/>
    <mergeCell ref="C3617:D3617"/>
    <mergeCell ref="J3617:L3617"/>
    <mergeCell ref="B3618:D3618"/>
    <mergeCell ref="G3618:H3618"/>
    <mergeCell ref="B3619:D3619"/>
    <mergeCell ref="F3610:F3611"/>
    <mergeCell ref="G3610:J3610"/>
    <mergeCell ref="G3611:J3611"/>
    <mergeCell ref="G3613:I3613"/>
    <mergeCell ref="F3614:I3614"/>
    <mergeCell ref="G3615:I3615"/>
    <mergeCell ref="B3636:D3636"/>
    <mergeCell ref="B3637:D3637"/>
    <mergeCell ref="B3638:D3638"/>
    <mergeCell ref="B3639:D3639"/>
    <mergeCell ref="F3640:F3641"/>
    <mergeCell ref="G3640:J3640"/>
    <mergeCell ref="G3641:J3641"/>
    <mergeCell ref="B3630:D3630"/>
    <mergeCell ref="B3631:D3631"/>
    <mergeCell ref="B3632:D3632"/>
    <mergeCell ref="B3633:D3633"/>
    <mergeCell ref="B3634:D3634"/>
    <mergeCell ref="B3635:D3635"/>
    <mergeCell ref="G3626:I3626"/>
    <mergeCell ref="A3627:L3627"/>
    <mergeCell ref="C3628:D3628"/>
    <mergeCell ref="J3628:L3628"/>
    <mergeCell ref="B3629:D3629"/>
    <mergeCell ref="G3629:H3629"/>
    <mergeCell ref="B3651:D3651"/>
    <mergeCell ref="G3651:H3651"/>
    <mergeCell ref="I3651:J3651"/>
    <mergeCell ref="B3652:D3652"/>
    <mergeCell ref="I3652:J3652"/>
    <mergeCell ref="B3653:D3653"/>
    <mergeCell ref="B3647:D3647"/>
    <mergeCell ref="I3647:J3647"/>
    <mergeCell ref="B3648:D3648"/>
    <mergeCell ref="A3649:L3649"/>
    <mergeCell ref="C3650:D3650"/>
    <mergeCell ref="J3650:L3650"/>
    <mergeCell ref="G3643:I3643"/>
    <mergeCell ref="A3644:L3644"/>
    <mergeCell ref="C3645:D3645"/>
    <mergeCell ref="J3645:L3645"/>
    <mergeCell ref="B3646:D3646"/>
    <mergeCell ref="G3646:H3646"/>
    <mergeCell ref="I3646:J3646"/>
    <mergeCell ref="B3664:D3664"/>
    <mergeCell ref="G3665:I3665"/>
    <mergeCell ref="F3666:I3666"/>
    <mergeCell ref="G3667:I3667"/>
    <mergeCell ref="A3668:L3668"/>
    <mergeCell ref="C3669:D3669"/>
    <mergeCell ref="J3669:L3669"/>
    <mergeCell ref="B3658:D3658"/>
    <mergeCell ref="B3659:D3659"/>
    <mergeCell ref="B3660:D3660"/>
    <mergeCell ref="B3661:D3661"/>
    <mergeCell ref="F3662:F3663"/>
    <mergeCell ref="G3662:J3662"/>
    <mergeCell ref="G3663:J3663"/>
    <mergeCell ref="A3654:L3654"/>
    <mergeCell ref="C3655:D3655"/>
    <mergeCell ref="J3655:L3655"/>
    <mergeCell ref="B3656:D3656"/>
    <mergeCell ref="G3656:H3656"/>
    <mergeCell ref="B3657:D3657"/>
    <mergeCell ref="B3679:D3679"/>
    <mergeCell ref="B3680:D3680"/>
    <mergeCell ref="F3681:F3682"/>
    <mergeCell ref="G3681:J3681"/>
    <mergeCell ref="G3682:J3682"/>
    <mergeCell ref="G3684:I3684"/>
    <mergeCell ref="B3674:D3674"/>
    <mergeCell ref="A3676:L3676"/>
    <mergeCell ref="C3677:D3677"/>
    <mergeCell ref="J3677:L3677"/>
    <mergeCell ref="B3678:D3678"/>
    <mergeCell ref="G3678:H3678"/>
    <mergeCell ref="B3670:D3670"/>
    <mergeCell ref="G3670:H3670"/>
    <mergeCell ref="B3671:D3671"/>
    <mergeCell ref="F3672:F3673"/>
    <mergeCell ref="G3672:J3672"/>
    <mergeCell ref="G3673:J3673"/>
    <mergeCell ref="G3696:I3696"/>
    <mergeCell ref="A3697:L3697"/>
    <mergeCell ref="C3698:D3698"/>
    <mergeCell ref="J3698:L3698"/>
    <mergeCell ref="B3699:D3699"/>
    <mergeCell ref="G3699:H3699"/>
    <mergeCell ref="B3690:D3690"/>
    <mergeCell ref="F3691:F3692"/>
    <mergeCell ref="G3691:J3691"/>
    <mergeCell ref="G3692:J3692"/>
    <mergeCell ref="G3694:I3694"/>
    <mergeCell ref="F3695:I3695"/>
    <mergeCell ref="F3685:I3685"/>
    <mergeCell ref="G3686:I3686"/>
    <mergeCell ref="A3687:L3687"/>
    <mergeCell ref="C3688:D3688"/>
    <mergeCell ref="J3688:L3688"/>
    <mergeCell ref="B3689:D3689"/>
    <mergeCell ref="G3689:H3689"/>
    <mergeCell ref="B3712:D3712"/>
    <mergeCell ref="B3713:D3713"/>
    <mergeCell ref="B3714:D3714"/>
    <mergeCell ref="B3715:D3715"/>
    <mergeCell ref="B3716:D3716"/>
    <mergeCell ref="B3717:D3717"/>
    <mergeCell ref="B3706:D3706"/>
    <mergeCell ref="B3707:D3707"/>
    <mergeCell ref="B3708:D3708"/>
    <mergeCell ref="B3709:D3709"/>
    <mergeCell ref="B3710:D3710"/>
    <mergeCell ref="B3711:D3711"/>
    <mergeCell ref="B3700:D3700"/>
    <mergeCell ref="B3701:D3701"/>
    <mergeCell ref="B3702:D3702"/>
    <mergeCell ref="B3703:D3703"/>
    <mergeCell ref="B3704:D3704"/>
    <mergeCell ref="B3705:D3705"/>
    <mergeCell ref="B3729:D3729"/>
    <mergeCell ref="G3729:H3729"/>
    <mergeCell ref="B3730:D3730"/>
    <mergeCell ref="B3731:D3731"/>
    <mergeCell ref="B3732:D3732"/>
    <mergeCell ref="F3733:F3734"/>
    <mergeCell ref="G3733:J3733"/>
    <mergeCell ref="G3734:J3734"/>
    <mergeCell ref="F3723:F3724"/>
    <mergeCell ref="G3723:J3723"/>
    <mergeCell ref="G3724:J3724"/>
    <mergeCell ref="G3726:I3726"/>
    <mergeCell ref="A3727:L3727"/>
    <mergeCell ref="C3728:D3728"/>
    <mergeCell ref="J3728:L3728"/>
    <mergeCell ref="B3718:D3718"/>
    <mergeCell ref="B3719:D3719"/>
    <mergeCell ref="B3720:D3720"/>
    <mergeCell ref="B3721:D3721"/>
    <mergeCell ref="I3721:J3721"/>
    <mergeCell ref="B3722:D3722"/>
    <mergeCell ref="I3722:J3722"/>
    <mergeCell ref="B3744:D3744"/>
    <mergeCell ref="G3744:H3744"/>
    <mergeCell ref="K3744:L3744"/>
    <mergeCell ref="B3745:D3745"/>
    <mergeCell ref="G3745:H3745"/>
    <mergeCell ref="A3746:L3746"/>
    <mergeCell ref="B3740:D3740"/>
    <mergeCell ref="G3740:H3740"/>
    <mergeCell ref="B3741:D3741"/>
    <mergeCell ref="G3741:I3741"/>
    <mergeCell ref="A3742:L3742"/>
    <mergeCell ref="C3743:D3743"/>
    <mergeCell ref="J3743:L3743"/>
    <mergeCell ref="B3735:D3735"/>
    <mergeCell ref="G3736:I3736"/>
    <mergeCell ref="A3737:L3737"/>
    <mergeCell ref="C3738:D3738"/>
    <mergeCell ref="J3738:L3738"/>
    <mergeCell ref="B3739:D3739"/>
    <mergeCell ref="G3739:H3739"/>
    <mergeCell ref="K3739:L3739"/>
    <mergeCell ref="C3757:D3757"/>
    <mergeCell ref="J3757:L3757"/>
    <mergeCell ref="B3758:D3758"/>
    <mergeCell ref="G3758:H3758"/>
    <mergeCell ref="B3759:D3759"/>
    <mergeCell ref="A3760:D3761"/>
    <mergeCell ref="I3760:J3760"/>
    <mergeCell ref="E3761:H3761"/>
    <mergeCell ref="B3752:D3752"/>
    <mergeCell ref="B3753:D3753"/>
    <mergeCell ref="G3753:I3753"/>
    <mergeCell ref="F3754:I3754"/>
    <mergeCell ref="G3755:I3755"/>
    <mergeCell ref="A3756:L3756"/>
    <mergeCell ref="C3747:D3747"/>
    <mergeCell ref="J3747:L3747"/>
    <mergeCell ref="B3748:D3748"/>
    <mergeCell ref="G3748:H3748"/>
    <mergeCell ref="B3749:D3749"/>
    <mergeCell ref="F3750:F3751"/>
    <mergeCell ref="G3750:J3750"/>
    <mergeCell ref="G3751:J3751"/>
    <mergeCell ref="B3770:D3770"/>
    <mergeCell ref="G3770:H3770"/>
    <mergeCell ref="I3770:J3770"/>
    <mergeCell ref="B3771:D3771"/>
    <mergeCell ref="I3771:J3771"/>
    <mergeCell ref="B3772:D3772"/>
    <mergeCell ref="I3772:J3772"/>
    <mergeCell ref="B3765:D3765"/>
    <mergeCell ref="I3765:J3765"/>
    <mergeCell ref="B3767:D3767"/>
    <mergeCell ref="A3768:L3768"/>
    <mergeCell ref="C3769:D3769"/>
    <mergeCell ref="J3769:L3769"/>
    <mergeCell ref="A3762:L3762"/>
    <mergeCell ref="C3763:D3763"/>
    <mergeCell ref="J3763:L3763"/>
    <mergeCell ref="B3764:D3764"/>
    <mergeCell ref="G3764:H3764"/>
    <mergeCell ref="I3764:J3764"/>
    <mergeCell ref="B3781:D3781"/>
    <mergeCell ref="F3782:F3783"/>
    <mergeCell ref="G3782:J3782"/>
    <mergeCell ref="G3783:J3783"/>
    <mergeCell ref="G3785:I3785"/>
    <mergeCell ref="F3786:I3786"/>
    <mergeCell ref="B3777:D3777"/>
    <mergeCell ref="A3778:L3778"/>
    <mergeCell ref="C3779:D3779"/>
    <mergeCell ref="J3779:L3779"/>
    <mergeCell ref="B3780:D3780"/>
    <mergeCell ref="G3780:H3780"/>
    <mergeCell ref="B3773:D3773"/>
    <mergeCell ref="I3773:J3773"/>
    <mergeCell ref="B3774:D3774"/>
    <mergeCell ref="I3774:J3774"/>
    <mergeCell ref="B3775:D3775"/>
    <mergeCell ref="I3775:J3775"/>
    <mergeCell ref="A3797:L3797"/>
    <mergeCell ref="C3798:D3798"/>
    <mergeCell ref="J3798:L3798"/>
    <mergeCell ref="B3799:D3799"/>
    <mergeCell ref="G3799:H3799"/>
    <mergeCell ref="B3800:D3800"/>
    <mergeCell ref="B3791:D3791"/>
    <mergeCell ref="F3792:F3793"/>
    <mergeCell ref="G3792:J3792"/>
    <mergeCell ref="G3793:J3793"/>
    <mergeCell ref="G3795:I3795"/>
    <mergeCell ref="G3796:I3796"/>
    <mergeCell ref="G3787:I3787"/>
    <mergeCell ref="A3788:L3788"/>
    <mergeCell ref="C3789:D3789"/>
    <mergeCell ref="J3789:L3789"/>
    <mergeCell ref="B3790:D3790"/>
    <mergeCell ref="G3790:H3790"/>
    <mergeCell ref="B3812:D3812"/>
    <mergeCell ref="I3812:J3812"/>
    <mergeCell ref="B3813:D3813"/>
    <mergeCell ref="I3813:J3813"/>
    <mergeCell ref="B3815:D3815"/>
    <mergeCell ref="A3816:L3816"/>
    <mergeCell ref="G3808:I3808"/>
    <mergeCell ref="A3809:L3809"/>
    <mergeCell ref="C3810:D3810"/>
    <mergeCell ref="J3810:L3810"/>
    <mergeCell ref="B3811:D3811"/>
    <mergeCell ref="G3811:H3811"/>
    <mergeCell ref="I3811:J3811"/>
    <mergeCell ref="B3801:D3801"/>
    <mergeCell ref="B3802:D3802"/>
    <mergeCell ref="B3803:D3803"/>
    <mergeCell ref="F3805:F3806"/>
    <mergeCell ref="G3805:J3805"/>
    <mergeCell ref="G3806:J3806"/>
    <mergeCell ref="B3825:D3825"/>
    <mergeCell ref="G3825:H3825"/>
    <mergeCell ref="I3825:J3825"/>
    <mergeCell ref="B3826:D3826"/>
    <mergeCell ref="I3826:J3826"/>
    <mergeCell ref="B3827:D3827"/>
    <mergeCell ref="I3827:J3827"/>
    <mergeCell ref="B3820:D3820"/>
    <mergeCell ref="I3820:J3820"/>
    <mergeCell ref="B3822:D3822"/>
    <mergeCell ref="A3823:L3823"/>
    <mergeCell ref="C3824:D3824"/>
    <mergeCell ref="J3824:L3824"/>
    <mergeCell ref="J3817:L3817"/>
    <mergeCell ref="B3818:D3818"/>
    <mergeCell ref="G3818:H3818"/>
    <mergeCell ref="I3818:J3818"/>
    <mergeCell ref="B3819:D3819"/>
    <mergeCell ref="I3819:J3819"/>
    <mergeCell ref="B3836:D3836"/>
    <mergeCell ref="B3837:D3837"/>
    <mergeCell ref="B3838:D3838"/>
    <mergeCell ref="B3839:D3839"/>
    <mergeCell ref="B3840:D3840"/>
    <mergeCell ref="B3841:D3841"/>
    <mergeCell ref="B3831:D3831"/>
    <mergeCell ref="B3832:D3832"/>
    <mergeCell ref="A3833:L3833"/>
    <mergeCell ref="C3834:D3834"/>
    <mergeCell ref="J3834:L3834"/>
    <mergeCell ref="B3835:D3835"/>
    <mergeCell ref="K3835:L3835"/>
    <mergeCell ref="B3828:D3828"/>
    <mergeCell ref="I3828:J3828"/>
    <mergeCell ref="B3829:D3829"/>
    <mergeCell ref="I3829:J3829"/>
    <mergeCell ref="B3830:D3830"/>
    <mergeCell ref="I3830:J3830"/>
    <mergeCell ref="A3868:D3871"/>
    <mergeCell ref="A3872:L3872"/>
    <mergeCell ref="C3873:D3873"/>
    <mergeCell ref="J3873:L3873"/>
    <mergeCell ref="B3874:D3874"/>
    <mergeCell ref="G3874:H3874"/>
    <mergeCell ref="I3874:J3874"/>
    <mergeCell ref="A3848:L3848"/>
    <mergeCell ref="C3849:D3849"/>
    <mergeCell ref="J3849:L3849"/>
    <mergeCell ref="B3850:D3850"/>
    <mergeCell ref="B3860:D3860"/>
    <mergeCell ref="B3863:D3863"/>
    <mergeCell ref="B3842:D3842"/>
    <mergeCell ref="B3843:D3843"/>
    <mergeCell ref="B3844:D3844"/>
    <mergeCell ref="B3845:D3845"/>
    <mergeCell ref="B3846:D3846"/>
    <mergeCell ref="A3847:L3847"/>
    <mergeCell ref="B3883:D3883"/>
    <mergeCell ref="B3884:D3884"/>
    <mergeCell ref="A3885:L3885"/>
    <mergeCell ref="C3886:D3886"/>
    <mergeCell ref="J3886:L3886"/>
    <mergeCell ref="B3887:D3887"/>
    <mergeCell ref="G3887:H3887"/>
    <mergeCell ref="B3880:D3880"/>
    <mergeCell ref="I3880:J3880"/>
    <mergeCell ref="B3881:D3881"/>
    <mergeCell ref="I3881:J3881"/>
    <mergeCell ref="B3882:D3882"/>
    <mergeCell ref="I3882:J3882"/>
    <mergeCell ref="B3875:D3875"/>
    <mergeCell ref="I3875:J3875"/>
    <mergeCell ref="A3877:L3877"/>
    <mergeCell ref="C3878:D3878"/>
    <mergeCell ref="J3878:L3878"/>
    <mergeCell ref="B3879:D3879"/>
    <mergeCell ref="G3879:H3879"/>
    <mergeCell ref="I3879:J3879"/>
    <mergeCell ref="A3900:L3900"/>
    <mergeCell ref="C3901:D3901"/>
    <mergeCell ref="J3901:L3901"/>
    <mergeCell ref="B3902:D3902"/>
    <mergeCell ref="G3902:H3902"/>
    <mergeCell ref="B3903:D3903"/>
    <mergeCell ref="H3903:I3903"/>
    <mergeCell ref="G3894:J3894"/>
    <mergeCell ref="G3895:J3895"/>
    <mergeCell ref="A3897:D3897"/>
    <mergeCell ref="G3897:I3897"/>
    <mergeCell ref="F3898:I3898"/>
    <mergeCell ref="G3899:I3899"/>
    <mergeCell ref="B3888:D3888"/>
    <mergeCell ref="B3889:D3889"/>
    <mergeCell ref="B3890:D3890"/>
    <mergeCell ref="B3891:D3891"/>
    <mergeCell ref="B3892:D3892"/>
    <mergeCell ref="F3894:F3895"/>
    <mergeCell ref="A3914:L3914"/>
    <mergeCell ref="A3915:C3915"/>
    <mergeCell ref="D3915:L3915"/>
    <mergeCell ref="A3916:C3916"/>
    <mergeCell ref="D3916:L3916"/>
    <mergeCell ref="A3917:C3917"/>
    <mergeCell ref="D3917:L3917"/>
    <mergeCell ref="B3910:D3910"/>
    <mergeCell ref="B3911:D3911"/>
    <mergeCell ref="H3911:I3911"/>
    <mergeCell ref="B3912:D3912"/>
    <mergeCell ref="G3912:I3912"/>
    <mergeCell ref="G3913:I3913"/>
    <mergeCell ref="B3904:D3904"/>
    <mergeCell ref="B3905:D3905"/>
    <mergeCell ref="B3906:D3906"/>
    <mergeCell ref="B3907:D3907"/>
    <mergeCell ref="F3908:F3909"/>
    <mergeCell ref="G3908:J3908"/>
    <mergeCell ref="G3909:J3909"/>
    <mergeCell ref="A3924:L3924"/>
    <mergeCell ref="C3925:D3925"/>
    <mergeCell ref="J3925:L3925"/>
    <mergeCell ref="B3926:D3926"/>
    <mergeCell ref="G3926:H3926"/>
    <mergeCell ref="I3926:J3926"/>
    <mergeCell ref="A3921:C3921"/>
    <mergeCell ref="D3921:L3921"/>
    <mergeCell ref="A3922:C3922"/>
    <mergeCell ref="D3922:L3922"/>
    <mergeCell ref="A3923:C3923"/>
    <mergeCell ref="D3923:L3923"/>
    <mergeCell ref="A3918:C3918"/>
    <mergeCell ref="D3918:L3918"/>
    <mergeCell ref="A3919:C3919"/>
    <mergeCell ref="D3919:L3919"/>
    <mergeCell ref="A3920:C3920"/>
    <mergeCell ref="D3920:L3920"/>
    <mergeCell ref="B3935:D3935"/>
    <mergeCell ref="I3935:J3935"/>
    <mergeCell ref="B3936:D3936"/>
    <mergeCell ref="I3936:J3936"/>
    <mergeCell ref="B3937:D3937"/>
    <mergeCell ref="I3937:J3937"/>
    <mergeCell ref="I3931:J3931"/>
    <mergeCell ref="B3932:L3932"/>
    <mergeCell ref="B3933:D3933"/>
    <mergeCell ref="I3933:J3933"/>
    <mergeCell ref="B3934:D3934"/>
    <mergeCell ref="I3934:J3934"/>
    <mergeCell ref="B3927:L3927"/>
    <mergeCell ref="B3928:D3928"/>
    <mergeCell ref="I3928:J3928"/>
    <mergeCell ref="B3929:D3929"/>
    <mergeCell ref="I3929:J3929"/>
    <mergeCell ref="B3930:D3930"/>
    <mergeCell ref="I3930:J3930"/>
    <mergeCell ref="A3947:L3947"/>
    <mergeCell ref="C3948:D3948"/>
    <mergeCell ref="J3948:L3948"/>
    <mergeCell ref="B3949:D3949"/>
    <mergeCell ref="G3949:H3949"/>
    <mergeCell ref="B3951:D3951"/>
    <mergeCell ref="B3942:D3942"/>
    <mergeCell ref="I3942:J3942"/>
    <mergeCell ref="B3943:D3943"/>
    <mergeCell ref="I3943:J3943"/>
    <mergeCell ref="I3944:J3944"/>
    <mergeCell ref="B3946:D3946"/>
    <mergeCell ref="I3938:J3938"/>
    <mergeCell ref="B3939:L3939"/>
    <mergeCell ref="B3940:D3940"/>
    <mergeCell ref="I3940:J3940"/>
    <mergeCell ref="B3941:D3941"/>
    <mergeCell ref="I3941:J3941"/>
    <mergeCell ref="B3964:D3964"/>
    <mergeCell ref="G3964:H3964"/>
    <mergeCell ref="B3965:D3965"/>
    <mergeCell ref="F3966:F3967"/>
    <mergeCell ref="G3966:J3966"/>
    <mergeCell ref="G3967:J3967"/>
    <mergeCell ref="G3959:I3959"/>
    <mergeCell ref="F3960:I3960"/>
    <mergeCell ref="G3961:I3961"/>
    <mergeCell ref="A3962:L3962"/>
    <mergeCell ref="C3963:D3963"/>
    <mergeCell ref="J3963:L3963"/>
    <mergeCell ref="B3952:D3952"/>
    <mergeCell ref="B3953:D3953"/>
    <mergeCell ref="B3954:D3954"/>
    <mergeCell ref="B3955:D3955"/>
    <mergeCell ref="F3956:F3957"/>
    <mergeCell ref="G3956:J3956"/>
    <mergeCell ref="G3957:J3957"/>
    <mergeCell ref="B3977:D3977"/>
    <mergeCell ref="I3977:J3977"/>
    <mergeCell ref="B3978:D3978"/>
    <mergeCell ref="A3980:L3980"/>
    <mergeCell ref="C3981:D3981"/>
    <mergeCell ref="J3981:L3981"/>
    <mergeCell ref="B3974:D3974"/>
    <mergeCell ref="G3974:H3974"/>
    <mergeCell ref="I3974:J3974"/>
    <mergeCell ref="B3975:D3975"/>
    <mergeCell ref="I3975:J3975"/>
    <mergeCell ref="B3976:D3976"/>
    <mergeCell ref="I3976:J3976"/>
    <mergeCell ref="G3969:I3969"/>
    <mergeCell ref="F3970:I3970"/>
    <mergeCell ref="G3971:I3971"/>
    <mergeCell ref="A3972:L3972"/>
    <mergeCell ref="C3973:D3973"/>
    <mergeCell ref="J3973:L3973"/>
    <mergeCell ref="B3992:D3992"/>
    <mergeCell ref="B3993:D3993"/>
    <mergeCell ref="B3994:D3994"/>
    <mergeCell ref="B3995:D3995"/>
    <mergeCell ref="F3996:F3997"/>
    <mergeCell ref="G3996:J3996"/>
    <mergeCell ref="G3997:J3997"/>
    <mergeCell ref="G3988:I3988"/>
    <mergeCell ref="A3989:L3989"/>
    <mergeCell ref="C3990:D3990"/>
    <mergeCell ref="J3990:L3990"/>
    <mergeCell ref="B3991:D3991"/>
    <mergeCell ref="G3991:H3991"/>
    <mergeCell ref="B3982:D3982"/>
    <mergeCell ref="G3982:H3982"/>
    <mergeCell ref="B3983:D3983"/>
    <mergeCell ref="B3984:D3984"/>
    <mergeCell ref="F3985:F3986"/>
    <mergeCell ref="G3985:J3985"/>
    <mergeCell ref="G3986:J3986"/>
    <mergeCell ref="A4010:L4010"/>
    <mergeCell ref="C4011:D4011"/>
    <mergeCell ref="J4011:L4011"/>
    <mergeCell ref="B4012:D4012"/>
    <mergeCell ref="G4012:H4012"/>
    <mergeCell ref="B4013:D4013"/>
    <mergeCell ref="B4004:D4004"/>
    <mergeCell ref="G4004:H4004"/>
    <mergeCell ref="B4005:D4005"/>
    <mergeCell ref="F4006:F4007"/>
    <mergeCell ref="G4006:J4006"/>
    <mergeCell ref="G4007:J4007"/>
    <mergeCell ref="G3999:I3999"/>
    <mergeCell ref="F4000:I4000"/>
    <mergeCell ref="G4001:I4001"/>
    <mergeCell ref="A4002:L4002"/>
    <mergeCell ref="C4003:D4003"/>
    <mergeCell ref="J4003:L4003"/>
    <mergeCell ref="G4025:I4025"/>
    <mergeCell ref="F4026:I4026"/>
    <mergeCell ref="G4027:I4027"/>
    <mergeCell ref="A4028:L4028"/>
    <mergeCell ref="C4029:D4029"/>
    <mergeCell ref="J4029:L4029"/>
    <mergeCell ref="B4020:D4020"/>
    <mergeCell ref="G4020:H4020"/>
    <mergeCell ref="B4021:D4021"/>
    <mergeCell ref="F4022:F4023"/>
    <mergeCell ref="G4022:J4022"/>
    <mergeCell ref="G4023:J4023"/>
    <mergeCell ref="F4014:F4015"/>
    <mergeCell ref="G4014:J4014"/>
    <mergeCell ref="G4015:J4015"/>
    <mergeCell ref="G4017:I4017"/>
    <mergeCell ref="A4018:L4018"/>
    <mergeCell ref="C4019:D4019"/>
    <mergeCell ref="J4019:L4019"/>
    <mergeCell ref="B4043:D4043"/>
    <mergeCell ref="G4043:H4043"/>
    <mergeCell ref="B4045:D4045"/>
    <mergeCell ref="B4046:D4046"/>
    <mergeCell ref="F4047:F4048"/>
    <mergeCell ref="G4047:J4047"/>
    <mergeCell ref="G4048:J4048"/>
    <mergeCell ref="G4038:I4038"/>
    <mergeCell ref="F4039:I4039"/>
    <mergeCell ref="G4040:I4040"/>
    <mergeCell ref="A4041:L4041"/>
    <mergeCell ref="C4042:D4042"/>
    <mergeCell ref="J4042:L4042"/>
    <mergeCell ref="B4030:D4030"/>
    <mergeCell ref="G4030:H4030"/>
    <mergeCell ref="B4033:D4033"/>
    <mergeCell ref="B4034:D4034"/>
    <mergeCell ref="F4035:F4036"/>
    <mergeCell ref="G4035:J4035"/>
    <mergeCell ref="G4036:J4036"/>
    <mergeCell ref="B4058:D4058"/>
    <mergeCell ref="A4059:L4059"/>
    <mergeCell ref="C4060:D4060"/>
    <mergeCell ref="J4060:L4060"/>
    <mergeCell ref="B4061:D4061"/>
    <mergeCell ref="G4061:H4061"/>
    <mergeCell ref="I4061:J4061"/>
    <mergeCell ref="B4054:D4054"/>
    <mergeCell ref="I4054:J4054"/>
    <mergeCell ref="B4055:D4055"/>
    <mergeCell ref="I4055:J4055"/>
    <mergeCell ref="B4056:D4056"/>
    <mergeCell ref="I4056:J4056"/>
    <mergeCell ref="G4050:I4050"/>
    <mergeCell ref="A4051:L4051"/>
    <mergeCell ref="C4052:D4052"/>
    <mergeCell ref="J4052:L4052"/>
    <mergeCell ref="B4053:D4053"/>
    <mergeCell ref="G4053:H4053"/>
    <mergeCell ref="I4053:J4053"/>
    <mergeCell ref="B4070:D4070"/>
    <mergeCell ref="G4070:H4070"/>
    <mergeCell ref="B4071:D4071"/>
    <mergeCell ref="B4072:D4072"/>
    <mergeCell ref="F4072:F4073"/>
    <mergeCell ref="G4072:J4072"/>
    <mergeCell ref="G4073:J4073"/>
    <mergeCell ref="B4065:D4065"/>
    <mergeCell ref="I4065:J4065"/>
    <mergeCell ref="B4066:D4066"/>
    <mergeCell ref="G4067:H4067"/>
    <mergeCell ref="A4068:L4068"/>
    <mergeCell ref="C4069:D4069"/>
    <mergeCell ref="J4069:L4069"/>
    <mergeCell ref="B4062:D4062"/>
    <mergeCell ref="I4062:J4062"/>
    <mergeCell ref="B4063:D4063"/>
    <mergeCell ref="I4063:J4063"/>
    <mergeCell ref="B4064:D4064"/>
    <mergeCell ref="G4064:H4064"/>
    <mergeCell ref="B4082:D4082"/>
    <mergeCell ref="B4083:D4083"/>
    <mergeCell ref="B4084:D4084"/>
    <mergeCell ref="B4085:D4085"/>
    <mergeCell ref="B4086:D4086"/>
    <mergeCell ref="F4087:F4088"/>
    <mergeCell ref="B4078:D4078"/>
    <mergeCell ref="G4078:H4078"/>
    <mergeCell ref="K4078:L4078"/>
    <mergeCell ref="B4079:D4079"/>
    <mergeCell ref="B4080:D4080"/>
    <mergeCell ref="B4081:D4081"/>
    <mergeCell ref="B4074:D4074"/>
    <mergeCell ref="B4075:D4075"/>
    <mergeCell ref="G4075:I4075"/>
    <mergeCell ref="A4076:L4076"/>
    <mergeCell ref="C4077:D4077"/>
    <mergeCell ref="J4077:L4077"/>
    <mergeCell ref="B4097:D4097"/>
    <mergeCell ref="B4098:D4098"/>
    <mergeCell ref="A4101:D4101"/>
    <mergeCell ref="G4101:I4101"/>
    <mergeCell ref="A4102:L4102"/>
    <mergeCell ref="C4103:D4103"/>
    <mergeCell ref="J4103:L4103"/>
    <mergeCell ref="C4094:D4094"/>
    <mergeCell ref="J4094:L4094"/>
    <mergeCell ref="B4095:D4095"/>
    <mergeCell ref="G4095:H4095"/>
    <mergeCell ref="K4095:L4095"/>
    <mergeCell ref="B4096:D4096"/>
    <mergeCell ref="G4087:J4087"/>
    <mergeCell ref="G4088:J4088"/>
    <mergeCell ref="G4090:I4090"/>
    <mergeCell ref="F4091:I4091"/>
    <mergeCell ref="G4092:I4092"/>
    <mergeCell ref="A4093:L4093"/>
    <mergeCell ref="B4112:D4112"/>
    <mergeCell ref="F4113:F4114"/>
    <mergeCell ref="G4113:J4113"/>
    <mergeCell ref="G4114:J4114"/>
    <mergeCell ref="B4115:D4115"/>
    <mergeCell ref="G4116:I4116"/>
    <mergeCell ref="A4107:L4108"/>
    <mergeCell ref="A4109:L4109"/>
    <mergeCell ref="C4110:D4110"/>
    <mergeCell ref="J4110:L4110"/>
    <mergeCell ref="B4111:D4111"/>
    <mergeCell ref="G4111:H4111"/>
    <mergeCell ref="K4111:L4111"/>
    <mergeCell ref="B4104:D4104"/>
    <mergeCell ref="G4104:H4104"/>
    <mergeCell ref="K4104:L4104"/>
    <mergeCell ref="B4105:D4105"/>
    <mergeCell ref="B4106:D4106"/>
    <mergeCell ref="E4106:H4106"/>
    <mergeCell ref="C4125:D4125"/>
    <mergeCell ref="J4125:L4125"/>
    <mergeCell ref="B4126:D4126"/>
    <mergeCell ref="G4126:H4126"/>
    <mergeCell ref="K4126:L4126"/>
    <mergeCell ref="B4127:D4127"/>
    <mergeCell ref="B4120:D4120"/>
    <mergeCell ref="I4120:J4120"/>
    <mergeCell ref="B4121:D4121"/>
    <mergeCell ref="I4121:J4121"/>
    <mergeCell ref="B4122:D4122"/>
    <mergeCell ref="A4124:L4124"/>
    <mergeCell ref="A4117:L4117"/>
    <mergeCell ref="C4118:D4118"/>
    <mergeCell ref="J4118:L4118"/>
    <mergeCell ref="B4119:D4119"/>
    <mergeCell ref="G4119:H4119"/>
    <mergeCell ref="I4119:J4119"/>
    <mergeCell ref="C4139:D4139"/>
    <mergeCell ref="I4139:J4139"/>
    <mergeCell ref="A4140:L4140"/>
    <mergeCell ref="C4141:D4141"/>
    <mergeCell ref="J4141:L4141"/>
    <mergeCell ref="B4142:D4142"/>
    <mergeCell ref="G4142:H4142"/>
    <mergeCell ref="I4142:J4142"/>
    <mergeCell ref="G4135:I4135"/>
    <mergeCell ref="A4136:L4136"/>
    <mergeCell ref="C4137:D4137"/>
    <mergeCell ref="J4137:L4137"/>
    <mergeCell ref="C4138:E4138"/>
    <mergeCell ref="I4138:J4138"/>
    <mergeCell ref="B4128:D4128"/>
    <mergeCell ref="F4130:F4131"/>
    <mergeCell ref="G4130:J4130"/>
    <mergeCell ref="G4131:J4131"/>
    <mergeCell ref="G4133:I4133"/>
    <mergeCell ref="F4134:I4134"/>
    <mergeCell ref="B4151:D4151"/>
    <mergeCell ref="I4151:J4151"/>
    <mergeCell ref="B4152:D4152"/>
    <mergeCell ref="I4152:J4152"/>
    <mergeCell ref="B4153:D4153"/>
    <mergeCell ref="I4153:J4153"/>
    <mergeCell ref="B4146:D4146"/>
    <mergeCell ref="G4147:H4147"/>
    <mergeCell ref="A4148:L4148"/>
    <mergeCell ref="C4149:D4149"/>
    <mergeCell ref="J4149:L4149"/>
    <mergeCell ref="B4150:D4150"/>
    <mergeCell ref="G4150:H4150"/>
    <mergeCell ref="I4150:J4150"/>
    <mergeCell ref="B4143:D4143"/>
    <mergeCell ref="I4143:J4143"/>
    <mergeCell ref="B4144:D4144"/>
    <mergeCell ref="I4144:J4144"/>
    <mergeCell ref="B4145:D4145"/>
    <mergeCell ref="I4145:J4145"/>
    <mergeCell ref="B4162:D4162"/>
    <mergeCell ref="I4162:J4162"/>
    <mergeCell ref="B4163:D4163"/>
    <mergeCell ref="A4164:L4164"/>
    <mergeCell ref="C4165:D4165"/>
    <mergeCell ref="J4165:L4165"/>
    <mergeCell ref="B4159:D4159"/>
    <mergeCell ref="I4159:J4159"/>
    <mergeCell ref="B4160:D4160"/>
    <mergeCell ref="I4160:J4160"/>
    <mergeCell ref="B4161:D4161"/>
    <mergeCell ref="I4161:J4161"/>
    <mergeCell ref="B4155:D4155"/>
    <mergeCell ref="A4156:L4156"/>
    <mergeCell ref="C4157:D4157"/>
    <mergeCell ref="J4157:L4157"/>
    <mergeCell ref="B4158:D4158"/>
    <mergeCell ref="G4158:H4158"/>
    <mergeCell ref="I4158:J4158"/>
    <mergeCell ref="K4158:L4158"/>
    <mergeCell ref="A4175:L4175"/>
    <mergeCell ref="C4176:D4176"/>
    <mergeCell ref="J4176:L4176"/>
    <mergeCell ref="B4177:D4177"/>
    <mergeCell ref="G4177:H4177"/>
    <mergeCell ref="I4177:J4177"/>
    <mergeCell ref="K4177:L4177"/>
    <mergeCell ref="B4170:D4170"/>
    <mergeCell ref="I4170:J4170"/>
    <mergeCell ref="B4171:D4171"/>
    <mergeCell ref="B4172:D4172"/>
    <mergeCell ref="A4173:L4173"/>
    <mergeCell ref="C4174:D4174"/>
    <mergeCell ref="J4174:L4174"/>
    <mergeCell ref="B4166:D4166"/>
    <mergeCell ref="G4166:H4166"/>
    <mergeCell ref="I4166:J4166"/>
    <mergeCell ref="B4167:D4167"/>
    <mergeCell ref="I4167:J4167"/>
    <mergeCell ref="B4168:D4168"/>
    <mergeCell ref="G4168:H4168"/>
    <mergeCell ref="I4168:J4168"/>
    <mergeCell ref="B4185:D4185"/>
    <mergeCell ref="G4185:H4185"/>
    <mergeCell ref="A4186:L4186"/>
    <mergeCell ref="C4187:D4187"/>
    <mergeCell ref="J4187:L4187"/>
    <mergeCell ref="B4188:D4188"/>
    <mergeCell ref="G4188:H4188"/>
    <mergeCell ref="K4188:L4188"/>
    <mergeCell ref="B4181:D4181"/>
    <mergeCell ref="A4182:L4182"/>
    <mergeCell ref="C4183:D4183"/>
    <mergeCell ref="J4183:L4183"/>
    <mergeCell ref="B4184:D4184"/>
    <mergeCell ref="G4184:H4184"/>
    <mergeCell ref="K4184:L4184"/>
    <mergeCell ref="B4178:D4178"/>
    <mergeCell ref="I4178:J4178"/>
    <mergeCell ref="B4179:D4179"/>
    <mergeCell ref="I4179:J4179"/>
    <mergeCell ref="B4180:D4180"/>
    <mergeCell ref="I4180:J4180"/>
    <mergeCell ref="A4201:L4201"/>
    <mergeCell ref="C4202:D4202"/>
    <mergeCell ref="J4202:L4202"/>
    <mergeCell ref="B4203:D4203"/>
    <mergeCell ref="G4203:H4203"/>
    <mergeCell ref="K4203:L4203"/>
    <mergeCell ref="G4196:I4196"/>
    <mergeCell ref="F4197:I4197"/>
    <mergeCell ref="G4198:I4198"/>
    <mergeCell ref="A4199:L4199"/>
    <mergeCell ref="C4200:D4200"/>
    <mergeCell ref="J4200:L4200"/>
    <mergeCell ref="B4189:D4189"/>
    <mergeCell ref="B4190:D4190"/>
    <mergeCell ref="B4191:D4191"/>
    <mergeCell ref="B4192:D4192"/>
    <mergeCell ref="F4193:F4194"/>
    <mergeCell ref="G4193:J4193"/>
    <mergeCell ref="G4194:J4194"/>
    <mergeCell ref="C4212:D4212"/>
    <mergeCell ref="J4212:L4212"/>
    <mergeCell ref="B4213:D4213"/>
    <mergeCell ref="G4213:H4213"/>
    <mergeCell ref="I4213:J4213"/>
    <mergeCell ref="K4213:L4213"/>
    <mergeCell ref="B4208:D4208"/>
    <mergeCell ref="I4208:J4208"/>
    <mergeCell ref="B4209:D4209"/>
    <mergeCell ref="I4209:J4209"/>
    <mergeCell ref="B4210:D4210"/>
    <mergeCell ref="A4211:L4211"/>
    <mergeCell ref="B4204:D4204"/>
    <mergeCell ref="G4204:H4204"/>
    <mergeCell ref="A4205:L4205"/>
    <mergeCell ref="C4206:D4206"/>
    <mergeCell ref="J4206:L4206"/>
    <mergeCell ref="B4207:D4207"/>
    <mergeCell ref="G4207:H4207"/>
    <mergeCell ref="I4207:J4207"/>
    <mergeCell ref="K4207:L4207"/>
    <mergeCell ref="B4223:D4223"/>
    <mergeCell ref="I4223:J4223"/>
    <mergeCell ref="B4224:D4224"/>
    <mergeCell ref="I4224:J4224"/>
    <mergeCell ref="B4225:D4225"/>
    <mergeCell ref="I4225:J4225"/>
    <mergeCell ref="B4218:D4218"/>
    <mergeCell ref="I4218:J4218"/>
    <mergeCell ref="B4219:D4219"/>
    <mergeCell ref="I4219:J4219"/>
    <mergeCell ref="B4221:D4221"/>
    <mergeCell ref="B4222:D4222"/>
    <mergeCell ref="I4222:J4222"/>
    <mergeCell ref="B4214:D4214"/>
    <mergeCell ref="B4215:D4215"/>
    <mergeCell ref="I4215:J4215"/>
    <mergeCell ref="B4216:D4216"/>
    <mergeCell ref="I4216:J4216"/>
    <mergeCell ref="B4217:D4217"/>
    <mergeCell ref="I4217:J4217"/>
    <mergeCell ref="B4235:D4235"/>
    <mergeCell ref="I4235:J4235"/>
    <mergeCell ref="B4236:D4236"/>
    <mergeCell ref="I4236:J4236"/>
    <mergeCell ref="B4237:D4237"/>
    <mergeCell ref="I4237:J4237"/>
    <mergeCell ref="A4231:D4231"/>
    <mergeCell ref="A4232:L4232"/>
    <mergeCell ref="C4233:D4233"/>
    <mergeCell ref="J4233:L4233"/>
    <mergeCell ref="B4234:D4234"/>
    <mergeCell ref="G4234:H4234"/>
    <mergeCell ref="I4234:J4234"/>
    <mergeCell ref="K4234:L4234"/>
    <mergeCell ref="B4228:D4228"/>
    <mergeCell ref="I4228:J4228"/>
    <mergeCell ref="B4229:D4229"/>
    <mergeCell ref="I4229:J4229"/>
    <mergeCell ref="B4230:D4230"/>
    <mergeCell ref="I4230:J4230"/>
    <mergeCell ref="B4249:D4249"/>
    <mergeCell ref="G4249:H4249"/>
    <mergeCell ref="K4249:L4249"/>
    <mergeCell ref="B4250:D4250"/>
    <mergeCell ref="F4251:F4252"/>
    <mergeCell ref="G4251:J4251"/>
    <mergeCell ref="G4252:J4252"/>
    <mergeCell ref="B4242:D4242"/>
    <mergeCell ref="F4243:F4244"/>
    <mergeCell ref="G4243:J4243"/>
    <mergeCell ref="G4244:J4244"/>
    <mergeCell ref="A4247:L4247"/>
    <mergeCell ref="C4248:D4248"/>
    <mergeCell ref="J4248:L4248"/>
    <mergeCell ref="B4238:D4238"/>
    <mergeCell ref="A4239:L4239"/>
    <mergeCell ref="C4240:D4240"/>
    <mergeCell ref="J4240:L4240"/>
    <mergeCell ref="B4241:D4241"/>
    <mergeCell ref="G4241:H4241"/>
    <mergeCell ref="K4241:L4241"/>
    <mergeCell ref="B4261:D4261"/>
    <mergeCell ref="I4261:J4261"/>
    <mergeCell ref="B4262:D4262"/>
    <mergeCell ref="I4262:J4262"/>
    <mergeCell ref="B4263:D4263"/>
    <mergeCell ref="I4263:J4263"/>
    <mergeCell ref="B4258:D4258"/>
    <mergeCell ref="I4258:J4258"/>
    <mergeCell ref="B4259:D4259"/>
    <mergeCell ref="I4259:J4259"/>
    <mergeCell ref="B4260:D4260"/>
    <mergeCell ref="I4260:J4260"/>
    <mergeCell ref="B4253:D4254"/>
    <mergeCell ref="G4254:I4254"/>
    <mergeCell ref="A4255:L4255"/>
    <mergeCell ref="C4256:D4256"/>
    <mergeCell ref="J4256:L4256"/>
    <mergeCell ref="B4257:D4257"/>
    <mergeCell ref="G4257:H4257"/>
    <mergeCell ref="I4257:J4257"/>
    <mergeCell ref="K4257:L4257"/>
    <mergeCell ref="B4270:D4270"/>
    <mergeCell ref="I4270:J4270"/>
    <mergeCell ref="B4271:D4271"/>
    <mergeCell ref="I4271:J4271"/>
    <mergeCell ref="B4272:D4272"/>
    <mergeCell ref="I4272:J4272"/>
    <mergeCell ref="C4268:D4268"/>
    <mergeCell ref="J4268:L4268"/>
    <mergeCell ref="B4269:D4269"/>
    <mergeCell ref="G4269:H4269"/>
    <mergeCell ref="I4269:J4269"/>
    <mergeCell ref="K4269:L4269"/>
    <mergeCell ref="B4264:D4264"/>
    <mergeCell ref="I4264:J4264"/>
    <mergeCell ref="B4265:D4265"/>
    <mergeCell ref="I4265:J4265"/>
    <mergeCell ref="B4266:D4266"/>
    <mergeCell ref="A4267:L4267"/>
    <mergeCell ref="B4280:D4280"/>
    <mergeCell ref="I4280:J4280"/>
    <mergeCell ref="B4281:D4281"/>
    <mergeCell ref="I4281:J4281"/>
    <mergeCell ref="A4283:L4283"/>
    <mergeCell ref="C4284:D4284"/>
    <mergeCell ref="J4284:L4284"/>
    <mergeCell ref="B4277:D4277"/>
    <mergeCell ref="I4277:J4277"/>
    <mergeCell ref="B4278:D4278"/>
    <mergeCell ref="I4278:J4278"/>
    <mergeCell ref="B4279:D4279"/>
    <mergeCell ref="I4279:J4279"/>
    <mergeCell ref="B4273:D4273"/>
    <mergeCell ref="A4274:L4274"/>
    <mergeCell ref="C4275:D4275"/>
    <mergeCell ref="J4275:L4275"/>
    <mergeCell ref="B4276:D4276"/>
    <mergeCell ref="G4276:H4276"/>
    <mergeCell ref="I4276:J4276"/>
    <mergeCell ref="K4276:L4276"/>
    <mergeCell ref="F4293:F4294"/>
    <mergeCell ref="G4293:J4293"/>
    <mergeCell ref="G4294:J4294"/>
    <mergeCell ref="G4296:I4296"/>
    <mergeCell ref="A4297:L4297"/>
    <mergeCell ref="C4298:D4298"/>
    <mergeCell ref="J4298:L4298"/>
    <mergeCell ref="B4287:D4287"/>
    <mergeCell ref="I4287:J4287"/>
    <mergeCell ref="A4289:L4289"/>
    <mergeCell ref="J4290:L4290"/>
    <mergeCell ref="K4291:L4291"/>
    <mergeCell ref="B4292:D4292"/>
    <mergeCell ref="B4285:D4285"/>
    <mergeCell ref="G4285:H4285"/>
    <mergeCell ref="I4285:J4285"/>
    <mergeCell ref="K4285:L4285"/>
    <mergeCell ref="B4286:D4286"/>
    <mergeCell ref="I4286:J4286"/>
    <mergeCell ref="B4304:D4304"/>
    <mergeCell ref="A4305:L4305"/>
    <mergeCell ref="C4306:D4306"/>
    <mergeCell ref="J4306:L4306"/>
    <mergeCell ref="B4307:D4307"/>
    <mergeCell ref="I4307:J4307"/>
    <mergeCell ref="K4307:L4307"/>
    <mergeCell ref="B4301:D4301"/>
    <mergeCell ref="I4301:J4301"/>
    <mergeCell ref="B4302:D4302"/>
    <mergeCell ref="I4302:J4302"/>
    <mergeCell ref="B4303:D4303"/>
    <mergeCell ref="I4303:J4303"/>
    <mergeCell ref="B4299:D4299"/>
    <mergeCell ref="G4299:H4299"/>
    <mergeCell ref="I4299:J4299"/>
    <mergeCell ref="K4299:L4299"/>
    <mergeCell ref="B4300:D4300"/>
    <mergeCell ref="I4300:J4300"/>
    <mergeCell ref="B4315:D4315"/>
    <mergeCell ref="I4315:J4315"/>
    <mergeCell ref="B4316:D4316"/>
    <mergeCell ref="I4316:J4316"/>
    <mergeCell ref="B4317:D4317"/>
    <mergeCell ref="I4317:J4317"/>
    <mergeCell ref="B4312:D4312"/>
    <mergeCell ref="I4312:J4312"/>
    <mergeCell ref="K4312:L4312"/>
    <mergeCell ref="B4313:D4313"/>
    <mergeCell ref="I4313:J4313"/>
    <mergeCell ref="B4314:D4314"/>
    <mergeCell ref="I4314:J4314"/>
    <mergeCell ref="B4308:D4308"/>
    <mergeCell ref="I4308:J4308"/>
    <mergeCell ref="B4309:D4309"/>
    <mergeCell ref="A4310:L4310"/>
    <mergeCell ref="C4311:D4311"/>
    <mergeCell ref="J4311:L4311"/>
    <mergeCell ref="C4326:D4326"/>
    <mergeCell ref="J4326:L4326"/>
    <mergeCell ref="B4327:D4327"/>
    <mergeCell ref="G4327:H4327"/>
    <mergeCell ref="I4327:J4327"/>
    <mergeCell ref="K4327:L4327"/>
    <mergeCell ref="B4321:D4321"/>
    <mergeCell ref="I4321:J4321"/>
    <mergeCell ref="B4323:D4323"/>
    <mergeCell ref="G4323:I4323"/>
    <mergeCell ref="G4324:I4324"/>
    <mergeCell ref="A4325:L4325"/>
    <mergeCell ref="B4318:D4318"/>
    <mergeCell ref="I4318:J4318"/>
    <mergeCell ref="B4319:D4319"/>
    <mergeCell ref="I4319:J4319"/>
    <mergeCell ref="B4320:D4320"/>
    <mergeCell ref="I4320:J4320"/>
    <mergeCell ref="B4337:D4337"/>
    <mergeCell ref="F4338:F4339"/>
    <mergeCell ref="G4338:J4338"/>
    <mergeCell ref="G4339:J4339"/>
    <mergeCell ref="G4341:I4341"/>
    <mergeCell ref="G4342:I4342"/>
    <mergeCell ref="B4333:D4333"/>
    <mergeCell ref="G4333:H4333"/>
    <mergeCell ref="A4334:L4334"/>
    <mergeCell ref="C4335:D4335"/>
    <mergeCell ref="J4335:L4335"/>
    <mergeCell ref="B4336:D4336"/>
    <mergeCell ref="G4336:H4336"/>
    <mergeCell ref="K4336:L4336"/>
    <mergeCell ref="B4328:D4328"/>
    <mergeCell ref="I4328:J4328"/>
    <mergeCell ref="A4330:L4330"/>
    <mergeCell ref="C4331:D4331"/>
    <mergeCell ref="J4331:L4331"/>
    <mergeCell ref="B4332:D4332"/>
    <mergeCell ref="G4332:H4332"/>
    <mergeCell ref="K4332:L4332"/>
    <mergeCell ref="B4350:D4350"/>
    <mergeCell ref="A4352:L4352"/>
    <mergeCell ref="C4353:D4353"/>
    <mergeCell ref="J4353:L4353"/>
    <mergeCell ref="B4354:D4354"/>
    <mergeCell ref="G4354:H4354"/>
    <mergeCell ref="K4354:L4354"/>
    <mergeCell ref="B4346:D4346"/>
    <mergeCell ref="I4346:J4346"/>
    <mergeCell ref="B4347:D4347"/>
    <mergeCell ref="I4347:J4347"/>
    <mergeCell ref="B4349:D4349"/>
    <mergeCell ref="I4349:J4349"/>
    <mergeCell ref="A4343:L4343"/>
    <mergeCell ref="C4344:D4344"/>
    <mergeCell ref="J4344:L4344"/>
    <mergeCell ref="B4345:D4345"/>
    <mergeCell ref="G4345:H4345"/>
    <mergeCell ref="I4345:J4345"/>
    <mergeCell ref="K4345:L4345"/>
    <mergeCell ref="B4365:D4365"/>
    <mergeCell ref="B4366:D4366"/>
    <mergeCell ref="B4367:D4367"/>
    <mergeCell ref="B4368:D4368"/>
    <mergeCell ref="B4369:D4369"/>
    <mergeCell ref="B4370:D4370"/>
    <mergeCell ref="G4360:I4360"/>
    <mergeCell ref="A4361:L4361"/>
    <mergeCell ref="C4362:D4362"/>
    <mergeCell ref="J4362:L4362"/>
    <mergeCell ref="B4363:D4363"/>
    <mergeCell ref="B4364:D4364"/>
    <mergeCell ref="B4355:D4355"/>
    <mergeCell ref="B4356:D4356"/>
    <mergeCell ref="B4357:D4357"/>
    <mergeCell ref="F4357:F4358"/>
    <mergeCell ref="G4357:J4357"/>
    <mergeCell ref="G4358:J4358"/>
    <mergeCell ref="B4381:D4381"/>
    <mergeCell ref="B4382:D4382"/>
    <mergeCell ref="B4383:D4383"/>
    <mergeCell ref="B4384:D4384"/>
    <mergeCell ref="B4385:D4385"/>
    <mergeCell ref="B4386:D4386"/>
    <mergeCell ref="E4377:G4377"/>
    <mergeCell ref="C4379:D4379"/>
    <mergeCell ref="J4379:L4379"/>
    <mergeCell ref="B4380:D4380"/>
    <mergeCell ref="G4380:H4380"/>
    <mergeCell ref="K4380:L4380"/>
    <mergeCell ref="B4371:D4371"/>
    <mergeCell ref="B4372:D4372"/>
    <mergeCell ref="B4373:D4373"/>
    <mergeCell ref="B4374:D4374"/>
    <mergeCell ref="B4375:D4375"/>
    <mergeCell ref="A4376:D4377"/>
    <mergeCell ref="B4395:D4395"/>
    <mergeCell ref="I4395:J4395"/>
    <mergeCell ref="B4396:D4396"/>
    <mergeCell ref="I4396:J4396"/>
    <mergeCell ref="B4397:D4397"/>
    <mergeCell ref="I4397:J4397"/>
    <mergeCell ref="C4393:D4393"/>
    <mergeCell ref="J4393:L4393"/>
    <mergeCell ref="B4394:D4394"/>
    <mergeCell ref="G4394:H4394"/>
    <mergeCell ref="I4394:J4394"/>
    <mergeCell ref="K4394:L4394"/>
    <mergeCell ref="B4387:D4387"/>
    <mergeCell ref="F4388:F4389"/>
    <mergeCell ref="G4388:J4388"/>
    <mergeCell ref="G4389:J4389"/>
    <mergeCell ref="G4391:I4391"/>
    <mergeCell ref="A4392:L4392"/>
    <mergeCell ref="B4405:D4405"/>
    <mergeCell ref="I4405:J4405"/>
    <mergeCell ref="B4406:D4406"/>
    <mergeCell ref="G4406:H4406"/>
    <mergeCell ref="I4406:J4406"/>
    <mergeCell ref="B4407:D4407"/>
    <mergeCell ref="I4407:J4407"/>
    <mergeCell ref="B4403:D4403"/>
    <mergeCell ref="G4403:H4403"/>
    <mergeCell ref="I4403:J4403"/>
    <mergeCell ref="K4403:L4403"/>
    <mergeCell ref="B4404:D4404"/>
    <mergeCell ref="I4404:J4404"/>
    <mergeCell ref="B4398:D4398"/>
    <mergeCell ref="I4398:J4398"/>
    <mergeCell ref="B4399:D4399"/>
    <mergeCell ref="B4400:C4400"/>
    <mergeCell ref="A4401:L4401"/>
    <mergeCell ref="C4402:D4402"/>
    <mergeCell ref="J4402:L4402"/>
    <mergeCell ref="B4418:D4418"/>
    <mergeCell ref="B4419:F4419"/>
    <mergeCell ref="G4419:I4419"/>
    <mergeCell ref="F4420:I4420"/>
    <mergeCell ref="G4421:I4421"/>
    <mergeCell ref="A4422:L4422"/>
    <mergeCell ref="B4413:D4413"/>
    <mergeCell ref="B4414:D4414"/>
    <mergeCell ref="B4415:D4415"/>
    <mergeCell ref="F4416:F4417"/>
    <mergeCell ref="G4416:J4416"/>
    <mergeCell ref="G4417:J4417"/>
    <mergeCell ref="B4408:D4408"/>
    <mergeCell ref="B4409:D4409"/>
    <mergeCell ref="A4410:L4410"/>
    <mergeCell ref="C4411:D4411"/>
    <mergeCell ref="J4411:L4411"/>
    <mergeCell ref="B4412:D4412"/>
    <mergeCell ref="G4412:H4412"/>
    <mergeCell ref="B4428:D4428"/>
    <mergeCell ref="B4429:D4429"/>
    <mergeCell ref="I4429:J4429"/>
    <mergeCell ref="B4430:D4430"/>
    <mergeCell ref="I4430:J4430"/>
    <mergeCell ref="B4431:D4431"/>
    <mergeCell ref="I4431:J4431"/>
    <mergeCell ref="B4425:D4425"/>
    <mergeCell ref="I4425:J4425"/>
    <mergeCell ref="B4426:D4426"/>
    <mergeCell ref="G4426:H4426"/>
    <mergeCell ref="I4426:J4426"/>
    <mergeCell ref="B4427:D4427"/>
    <mergeCell ref="I4427:J4427"/>
    <mergeCell ref="C4423:D4423"/>
    <mergeCell ref="J4423:L4423"/>
    <mergeCell ref="B4424:D4424"/>
    <mergeCell ref="G4424:H4424"/>
    <mergeCell ref="I4424:J4424"/>
    <mergeCell ref="K4424:L4424"/>
    <mergeCell ref="B4439:D4439"/>
    <mergeCell ref="I4439:J4439"/>
    <mergeCell ref="B4440:D4440"/>
    <mergeCell ref="B4441:D4441"/>
    <mergeCell ref="I4441:J4441"/>
    <mergeCell ref="B4442:D4442"/>
    <mergeCell ref="I4442:J4442"/>
    <mergeCell ref="B4437:D4437"/>
    <mergeCell ref="G4437:H4437"/>
    <mergeCell ref="I4437:J4437"/>
    <mergeCell ref="K4437:L4437"/>
    <mergeCell ref="B4438:D4438"/>
    <mergeCell ref="G4438:H4438"/>
    <mergeCell ref="I4438:J4438"/>
    <mergeCell ref="B4432:D4432"/>
    <mergeCell ref="I4432:J4432"/>
    <mergeCell ref="H4433:J4433"/>
    <mergeCell ref="A4435:L4435"/>
    <mergeCell ref="C4436:D4436"/>
    <mergeCell ref="J4436:L4436"/>
    <mergeCell ref="B4451:D4451"/>
    <mergeCell ref="G4451:H4451"/>
    <mergeCell ref="A4452:L4452"/>
    <mergeCell ref="C4453:D4453"/>
    <mergeCell ref="J4453:L4453"/>
    <mergeCell ref="B4454:D4454"/>
    <mergeCell ref="G4454:H4454"/>
    <mergeCell ref="K4454:L4454"/>
    <mergeCell ref="H4446:J4446"/>
    <mergeCell ref="A4448:L4448"/>
    <mergeCell ref="C4449:D4449"/>
    <mergeCell ref="J4449:L4449"/>
    <mergeCell ref="B4450:D4450"/>
    <mergeCell ref="G4450:H4450"/>
    <mergeCell ref="K4450:L4450"/>
    <mergeCell ref="B4443:D4443"/>
    <mergeCell ref="I4443:J4443"/>
    <mergeCell ref="B4444:D4444"/>
    <mergeCell ref="I4444:J4444"/>
    <mergeCell ref="B4445:D4445"/>
    <mergeCell ref="I4445:J4445"/>
    <mergeCell ref="G4465:J4465"/>
    <mergeCell ref="G4466:J4466"/>
    <mergeCell ref="G4468:I4468"/>
    <mergeCell ref="F4469:I4469"/>
    <mergeCell ref="G4470:I4470"/>
    <mergeCell ref="A4471:L4471"/>
    <mergeCell ref="B4459:D4459"/>
    <mergeCell ref="B4460:D4460"/>
    <mergeCell ref="B4461:D4461"/>
    <mergeCell ref="B4462:D4462"/>
    <mergeCell ref="B4463:D4463"/>
    <mergeCell ref="F4465:F4466"/>
    <mergeCell ref="B4455:D4455"/>
    <mergeCell ref="G4455:H4455"/>
    <mergeCell ref="A4456:L4456"/>
    <mergeCell ref="C4457:D4457"/>
    <mergeCell ref="J4457:L4457"/>
    <mergeCell ref="B4458:D4458"/>
    <mergeCell ref="G4458:H4458"/>
    <mergeCell ref="K4458:L4458"/>
    <mergeCell ref="B4478:D4478"/>
    <mergeCell ref="G4478:H4478"/>
    <mergeCell ref="A4479:L4479"/>
    <mergeCell ref="C4480:D4480"/>
    <mergeCell ref="J4480:L4480"/>
    <mergeCell ref="B4481:D4481"/>
    <mergeCell ref="G4481:H4481"/>
    <mergeCell ref="K4481:L4481"/>
    <mergeCell ref="A4475:L4475"/>
    <mergeCell ref="C4476:D4476"/>
    <mergeCell ref="J4476:L4476"/>
    <mergeCell ref="B4477:D4477"/>
    <mergeCell ref="G4477:H4477"/>
    <mergeCell ref="K4477:L4477"/>
    <mergeCell ref="C4472:D4472"/>
    <mergeCell ref="J4472:L4472"/>
    <mergeCell ref="B4473:D4473"/>
    <mergeCell ref="G4473:H4473"/>
    <mergeCell ref="K4473:L4473"/>
    <mergeCell ref="B4474:D4474"/>
    <mergeCell ref="G4474:H4474"/>
    <mergeCell ref="B4490:D4490"/>
    <mergeCell ref="I4490:J4490"/>
    <mergeCell ref="F4491:F4492"/>
    <mergeCell ref="G4491:J4491"/>
    <mergeCell ref="G4492:J4492"/>
    <mergeCell ref="G4494:I4494"/>
    <mergeCell ref="B4486:D4486"/>
    <mergeCell ref="G4486:H4486"/>
    <mergeCell ref="A4487:L4487"/>
    <mergeCell ref="C4488:D4488"/>
    <mergeCell ref="J4488:L4488"/>
    <mergeCell ref="B4489:D4489"/>
    <mergeCell ref="G4489:H4489"/>
    <mergeCell ref="I4489:J4489"/>
    <mergeCell ref="B4482:D4482"/>
    <mergeCell ref="G4482:H4482"/>
    <mergeCell ref="A4483:L4483"/>
    <mergeCell ref="C4484:D4484"/>
    <mergeCell ref="J4484:L4484"/>
    <mergeCell ref="B4485:D4485"/>
    <mergeCell ref="G4485:H4485"/>
    <mergeCell ref="K4485:L4485"/>
    <mergeCell ref="B4505:D4505"/>
    <mergeCell ref="B4506:D4506"/>
    <mergeCell ref="B4507:D4507"/>
    <mergeCell ref="F4509:F4510"/>
    <mergeCell ref="G4509:J4509"/>
    <mergeCell ref="G4510:J4510"/>
    <mergeCell ref="B4499:D4499"/>
    <mergeCell ref="B4500:D4500"/>
    <mergeCell ref="B4501:D4501"/>
    <mergeCell ref="B4502:D4502"/>
    <mergeCell ref="B4503:D4503"/>
    <mergeCell ref="B4504:D4504"/>
    <mergeCell ref="A4495:L4495"/>
    <mergeCell ref="C4496:D4496"/>
    <mergeCell ref="J4496:L4496"/>
    <mergeCell ref="B4497:D4497"/>
    <mergeCell ref="G4497:H4497"/>
    <mergeCell ref="B4498:D4498"/>
    <mergeCell ref="G4521:J4521"/>
    <mergeCell ref="G4522:J4522"/>
    <mergeCell ref="G4524:I4524"/>
    <mergeCell ref="F4525:I4525"/>
    <mergeCell ref="G4526:I4526"/>
    <mergeCell ref="A4527:L4527"/>
    <mergeCell ref="B4516:D4516"/>
    <mergeCell ref="B4517:D4517"/>
    <mergeCell ref="B4518:D4518"/>
    <mergeCell ref="B4519:D4519"/>
    <mergeCell ref="B4520:D4520"/>
    <mergeCell ref="F4521:F4522"/>
    <mergeCell ref="G4512:I4512"/>
    <mergeCell ref="A4513:L4513"/>
    <mergeCell ref="C4514:D4514"/>
    <mergeCell ref="J4514:L4514"/>
    <mergeCell ref="B4515:D4515"/>
    <mergeCell ref="G4515:H4515"/>
    <mergeCell ref="K4515:L4515"/>
    <mergeCell ref="C4537:D4537"/>
    <mergeCell ref="J4537:L4537"/>
    <mergeCell ref="B4538:D4538"/>
    <mergeCell ref="G4538:H4538"/>
    <mergeCell ref="K4538:L4538"/>
    <mergeCell ref="B4539:D4539"/>
    <mergeCell ref="F4531:F4532"/>
    <mergeCell ref="G4531:J4531"/>
    <mergeCell ref="G4532:J4532"/>
    <mergeCell ref="G4534:I4534"/>
    <mergeCell ref="G4535:I4535"/>
    <mergeCell ref="A4536:L4536"/>
    <mergeCell ref="C4528:D4528"/>
    <mergeCell ref="J4528:L4528"/>
    <mergeCell ref="B4529:D4529"/>
    <mergeCell ref="G4529:H4529"/>
    <mergeCell ref="K4529:L4529"/>
    <mergeCell ref="B4530:D4530"/>
    <mergeCell ref="B4549:D4549"/>
    <mergeCell ref="I4549:J4549"/>
    <mergeCell ref="A4552:L4552"/>
    <mergeCell ref="C4553:D4553"/>
    <mergeCell ref="J4553:L4553"/>
    <mergeCell ref="B4554:D4554"/>
    <mergeCell ref="G4554:H4554"/>
    <mergeCell ref="I4554:J4554"/>
    <mergeCell ref="K4554:L4554"/>
    <mergeCell ref="J4546:L4546"/>
    <mergeCell ref="B4547:D4547"/>
    <mergeCell ref="G4547:H4547"/>
    <mergeCell ref="I4547:J4547"/>
    <mergeCell ref="K4547:L4547"/>
    <mergeCell ref="B4548:D4548"/>
    <mergeCell ref="I4548:J4548"/>
    <mergeCell ref="F4540:F4541"/>
    <mergeCell ref="G4540:J4540"/>
    <mergeCell ref="G4541:J4541"/>
    <mergeCell ref="G4543:I4543"/>
    <mergeCell ref="G4544:I4544"/>
    <mergeCell ref="A4545:L4545"/>
    <mergeCell ref="F4563:F4564"/>
    <mergeCell ref="G4563:J4563"/>
    <mergeCell ref="G4564:J4564"/>
    <mergeCell ref="G4566:I4566"/>
    <mergeCell ref="A4567:L4567"/>
    <mergeCell ref="C4568:D4568"/>
    <mergeCell ref="J4568:L4568"/>
    <mergeCell ref="B4559:D4559"/>
    <mergeCell ref="G4559:H4559"/>
    <mergeCell ref="K4559:L4559"/>
    <mergeCell ref="B4560:D4560"/>
    <mergeCell ref="B4561:D4561"/>
    <mergeCell ref="B4562:D4562"/>
    <mergeCell ref="B4555:D4555"/>
    <mergeCell ref="I4555:J4555"/>
    <mergeCell ref="B4556:D4556"/>
    <mergeCell ref="A4557:L4557"/>
    <mergeCell ref="C4558:D4558"/>
    <mergeCell ref="J4558:L4558"/>
    <mergeCell ref="B4578:D4578"/>
    <mergeCell ref="G4578:H4578"/>
    <mergeCell ref="I4578:J4578"/>
    <mergeCell ref="K4578:L4578"/>
    <mergeCell ref="B4579:D4579"/>
    <mergeCell ref="I4579:J4579"/>
    <mergeCell ref="B4573:D4573"/>
    <mergeCell ref="G4574:I4574"/>
    <mergeCell ref="G4575:I4575"/>
    <mergeCell ref="A4576:L4576"/>
    <mergeCell ref="C4577:D4577"/>
    <mergeCell ref="J4577:L4577"/>
    <mergeCell ref="B4569:D4569"/>
    <mergeCell ref="G4569:H4569"/>
    <mergeCell ref="K4569:L4569"/>
    <mergeCell ref="B4570:D4570"/>
    <mergeCell ref="B4571:D4571"/>
    <mergeCell ref="F4571:F4572"/>
    <mergeCell ref="G4571:J4571"/>
    <mergeCell ref="G4572:J4572"/>
    <mergeCell ref="G4592:I4592"/>
    <mergeCell ref="F4593:I4593"/>
    <mergeCell ref="G4594:I4594"/>
    <mergeCell ref="A4595:L4595"/>
    <mergeCell ref="C4596:D4596"/>
    <mergeCell ref="J4596:L4596"/>
    <mergeCell ref="B4586:D4586"/>
    <mergeCell ref="B4587:D4587"/>
    <mergeCell ref="B4588:D4588"/>
    <mergeCell ref="B4589:D4589"/>
    <mergeCell ref="F4589:F4590"/>
    <mergeCell ref="G4589:J4589"/>
    <mergeCell ref="G4590:J4590"/>
    <mergeCell ref="B4580:D4580"/>
    <mergeCell ref="I4580:J4580"/>
    <mergeCell ref="A4583:L4583"/>
    <mergeCell ref="C4584:D4584"/>
    <mergeCell ref="J4584:L4584"/>
    <mergeCell ref="B4585:D4585"/>
    <mergeCell ref="G4585:H4585"/>
    <mergeCell ref="K4585:L4585"/>
    <mergeCell ref="C4607:D4607"/>
    <mergeCell ref="J4607:L4607"/>
    <mergeCell ref="B4608:D4608"/>
    <mergeCell ref="G4608:H4608"/>
    <mergeCell ref="I4608:J4608"/>
    <mergeCell ref="K4608:L4608"/>
    <mergeCell ref="B4602:D4602"/>
    <mergeCell ref="F4602:F4603"/>
    <mergeCell ref="G4602:J4602"/>
    <mergeCell ref="G4603:J4603"/>
    <mergeCell ref="G4605:I4605"/>
    <mergeCell ref="A4606:L4606"/>
    <mergeCell ref="B4597:D4597"/>
    <mergeCell ref="G4597:H4597"/>
    <mergeCell ref="K4597:L4597"/>
    <mergeCell ref="B4598:D4598"/>
    <mergeCell ref="B4599:D4599"/>
    <mergeCell ref="B4600:D4600"/>
    <mergeCell ref="B4620:D4620"/>
    <mergeCell ref="A4621:L4621"/>
    <mergeCell ref="A4617:L4617"/>
    <mergeCell ref="C4618:D4618"/>
    <mergeCell ref="J4618:L4618"/>
    <mergeCell ref="B4619:D4619"/>
    <mergeCell ref="G4619:H4619"/>
    <mergeCell ref="K4619:L4619"/>
    <mergeCell ref="C4614:D4614"/>
    <mergeCell ref="J4614:L4614"/>
    <mergeCell ref="B4615:D4615"/>
    <mergeCell ref="G4615:H4615"/>
    <mergeCell ref="K4615:L4615"/>
    <mergeCell ref="B4616:D4616"/>
    <mergeCell ref="B4609:D4609"/>
    <mergeCell ref="I4609:J4609"/>
    <mergeCell ref="B4610:D4610"/>
    <mergeCell ref="I4610:J4610"/>
    <mergeCell ref="B4611:D4611"/>
    <mergeCell ref="A4613:L4613"/>
  </mergeCells>
  <conditionalFormatting sqref="O3742:O3748 O3731:O3739 P3732:P3733 P3752:P3754 P3756:P3757">
    <cfRule type="duplicateValues" dxfId="175" priority="52"/>
  </conditionalFormatting>
  <conditionalFormatting sqref="O4334:O4335">
    <cfRule type="duplicateValues" dxfId="174" priority="147"/>
  </conditionalFormatting>
  <conditionalFormatting sqref="O4452:O4453">
    <cfRule type="duplicateValues" dxfId="173" priority="12"/>
  </conditionalFormatting>
  <conditionalFormatting sqref="O4456:O4457">
    <cfRule type="duplicateValues" dxfId="172" priority="11"/>
  </conditionalFormatting>
  <conditionalFormatting sqref="P79 P67 P56 P46 P36 P22 R10:R21 R25:R35 R40:R45 R49:R55 R59:R66 R71:R78">
    <cfRule type="duplicateValues" dxfId="171" priority="161"/>
  </conditionalFormatting>
  <conditionalFormatting sqref="P80">
    <cfRule type="duplicateValues" dxfId="170" priority="140"/>
  </conditionalFormatting>
  <conditionalFormatting sqref="P81:P83">
    <cfRule type="duplicateValues" dxfId="169" priority="162"/>
  </conditionalFormatting>
  <conditionalFormatting sqref="P94 R87:R93">
    <cfRule type="duplicateValues" dxfId="168" priority="6"/>
  </conditionalFormatting>
  <conditionalFormatting sqref="P95">
    <cfRule type="duplicateValues" dxfId="167" priority="163"/>
  </conditionalFormatting>
  <conditionalFormatting sqref="P98">
    <cfRule type="duplicateValues" dxfId="166" priority="164"/>
  </conditionalFormatting>
  <conditionalFormatting sqref="P108 R102:R104 R106:R107">
    <cfRule type="duplicateValues" dxfId="165" priority="5"/>
  </conditionalFormatting>
  <conditionalFormatting sqref="P111">
    <cfRule type="duplicateValues" dxfId="164" priority="142"/>
  </conditionalFormatting>
  <conditionalFormatting sqref="P121 R115:R120">
    <cfRule type="duplicateValues" dxfId="163" priority="3"/>
  </conditionalFormatting>
  <conditionalFormatting sqref="P130 R124:R129">
    <cfRule type="duplicateValues" dxfId="162" priority="2"/>
  </conditionalFormatting>
  <conditionalFormatting sqref="P132:P133">
    <cfRule type="duplicateValues" dxfId="161" priority="150"/>
  </conditionalFormatting>
  <conditionalFormatting sqref="P154:P159">
    <cfRule type="duplicateValues" dxfId="160" priority="149"/>
  </conditionalFormatting>
  <conditionalFormatting sqref="P162:P163 P169:P170 P172:P177">
    <cfRule type="duplicateValues" dxfId="159" priority="136"/>
  </conditionalFormatting>
  <conditionalFormatting sqref="P164">
    <cfRule type="duplicateValues" dxfId="158" priority="26"/>
  </conditionalFormatting>
  <conditionalFormatting sqref="P166:P167">
    <cfRule type="duplicateValues" dxfId="157" priority="24"/>
  </conditionalFormatting>
  <conditionalFormatting sqref="P181:P182 P185:P186 P188">
    <cfRule type="duplicateValues" dxfId="156" priority="139"/>
  </conditionalFormatting>
  <conditionalFormatting sqref="P183">
    <cfRule type="duplicateValues" dxfId="155" priority="22"/>
  </conditionalFormatting>
  <conditionalFormatting sqref="P196">
    <cfRule type="duplicateValues" dxfId="154" priority="138"/>
  </conditionalFormatting>
  <conditionalFormatting sqref="P236 P210 P225 P250">
    <cfRule type="duplicateValues" dxfId="153" priority="173"/>
  </conditionalFormatting>
  <conditionalFormatting sqref="P273">
    <cfRule type="duplicateValues" dxfId="152" priority="148"/>
  </conditionalFormatting>
  <conditionalFormatting sqref="P319:P325 P327">
    <cfRule type="duplicateValues" dxfId="151" priority="86"/>
  </conditionalFormatting>
  <conditionalFormatting sqref="P326">
    <cfRule type="duplicateValues" dxfId="150" priority="85"/>
  </conditionalFormatting>
  <conditionalFormatting sqref="P331:P332">
    <cfRule type="duplicateValues" dxfId="149" priority="39"/>
  </conditionalFormatting>
  <conditionalFormatting sqref="P348">
    <cfRule type="duplicateValues" dxfId="148" priority="171"/>
  </conditionalFormatting>
  <conditionalFormatting sqref="P352">
    <cfRule type="duplicateValues" dxfId="147" priority="172"/>
  </conditionalFormatting>
  <conditionalFormatting sqref="P356:P357">
    <cfRule type="duplicateValues" dxfId="146" priority="115"/>
  </conditionalFormatting>
  <conditionalFormatting sqref="P361:P362">
    <cfRule type="duplicateValues" dxfId="145" priority="83"/>
  </conditionalFormatting>
  <conditionalFormatting sqref="P366:P367">
    <cfRule type="duplicateValues" dxfId="144" priority="82"/>
  </conditionalFormatting>
  <conditionalFormatting sqref="P371 P373">
    <cfRule type="duplicateValues" dxfId="143" priority="114"/>
  </conditionalFormatting>
  <conditionalFormatting sqref="P377:P378">
    <cfRule type="duplicateValues" dxfId="142" priority="113"/>
  </conditionalFormatting>
  <conditionalFormatting sqref="P465">
    <cfRule type="duplicateValues" dxfId="141" priority="176"/>
  </conditionalFormatting>
  <conditionalFormatting sqref="P495:P496">
    <cfRule type="duplicateValues" dxfId="140" priority="112"/>
  </conditionalFormatting>
  <conditionalFormatting sqref="P517:P518">
    <cfRule type="duplicateValues" dxfId="139" priority="20"/>
  </conditionalFormatting>
  <conditionalFormatting sqref="P520">
    <cfRule type="duplicateValues" dxfId="138" priority="19"/>
  </conditionalFormatting>
  <conditionalFormatting sqref="P522:P525">
    <cfRule type="duplicateValues" dxfId="137" priority="131"/>
  </conditionalFormatting>
  <conditionalFormatting sqref="P527:P529">
    <cfRule type="duplicateValues" dxfId="136" priority="145"/>
  </conditionalFormatting>
  <conditionalFormatting sqref="P567 P569">
    <cfRule type="duplicateValues" dxfId="135" priority="111"/>
  </conditionalFormatting>
  <conditionalFormatting sqref="P588:P589">
    <cfRule type="duplicateValues" dxfId="134" priority="84"/>
  </conditionalFormatting>
  <conditionalFormatting sqref="P623:P624">
    <cfRule type="duplicateValues" dxfId="133" priority="110"/>
  </conditionalFormatting>
  <conditionalFormatting sqref="P662:P663">
    <cfRule type="duplicateValues" dxfId="132" priority="109"/>
  </conditionalFormatting>
  <conditionalFormatting sqref="P717:P718">
    <cfRule type="duplicateValues" dxfId="131" priority="81"/>
  </conditionalFormatting>
  <conditionalFormatting sqref="P733:P734">
    <cfRule type="duplicateValues" dxfId="130" priority="80"/>
  </conditionalFormatting>
  <conditionalFormatting sqref="P738:P739">
    <cfRule type="duplicateValues" dxfId="129" priority="79"/>
  </conditionalFormatting>
  <conditionalFormatting sqref="P745:P746">
    <cfRule type="duplicateValues" dxfId="128" priority="38"/>
  </conditionalFormatting>
  <conditionalFormatting sqref="P750:P752">
    <cfRule type="duplicateValues" dxfId="127" priority="108"/>
  </conditionalFormatting>
  <conditionalFormatting sqref="P756:P757">
    <cfRule type="duplicateValues" dxfId="126" priority="78"/>
  </conditionalFormatting>
  <conditionalFormatting sqref="P760:P761">
    <cfRule type="duplicateValues" dxfId="125" priority="76"/>
  </conditionalFormatting>
  <conditionalFormatting sqref="P765:P766">
    <cfRule type="duplicateValues" dxfId="124" priority="77"/>
  </conditionalFormatting>
  <conditionalFormatting sqref="P770:P771">
    <cfRule type="duplicateValues" dxfId="123" priority="42"/>
  </conditionalFormatting>
  <conditionalFormatting sqref="P775:P776">
    <cfRule type="duplicateValues" dxfId="122" priority="107"/>
  </conditionalFormatting>
  <conditionalFormatting sqref="P781:P782">
    <cfRule type="duplicateValues" dxfId="121" priority="75"/>
  </conditionalFormatting>
  <conditionalFormatting sqref="P786:P787">
    <cfRule type="duplicateValues" dxfId="120" priority="106"/>
  </conditionalFormatting>
  <conditionalFormatting sqref="P808:P809">
    <cfRule type="duplicateValues" dxfId="119" priority="105"/>
  </conditionalFormatting>
  <conditionalFormatting sqref="P813:P814">
    <cfRule type="duplicateValues" dxfId="118" priority="104"/>
  </conditionalFormatting>
  <conditionalFormatting sqref="P818 P820">
    <cfRule type="duplicateValues" dxfId="117" priority="103"/>
  </conditionalFormatting>
  <conditionalFormatting sqref="P1372">
    <cfRule type="duplicateValues" dxfId="116" priority="1"/>
  </conditionalFormatting>
  <conditionalFormatting sqref="P1391">
    <cfRule type="duplicateValues" dxfId="115" priority="51"/>
  </conditionalFormatting>
  <conditionalFormatting sqref="P1392:P1393">
    <cfRule type="duplicateValues" dxfId="114" priority="74"/>
  </conditionalFormatting>
  <conditionalFormatting sqref="P1394:P1402 P1405:P1407">
    <cfRule type="duplicateValues" dxfId="113" priority="34"/>
  </conditionalFormatting>
  <conditionalFormatting sqref="P1427:P1428">
    <cfRule type="duplicateValues" dxfId="112" priority="73"/>
  </conditionalFormatting>
  <conditionalFormatting sqref="P1435:P1436">
    <cfRule type="duplicateValues" dxfId="111" priority="121"/>
  </conditionalFormatting>
  <conditionalFormatting sqref="P1437:P1438">
    <cfRule type="duplicateValues" dxfId="110" priority="72"/>
  </conditionalFormatting>
  <conditionalFormatting sqref="P1446:P1447">
    <cfRule type="duplicateValues" dxfId="109" priority="102"/>
  </conditionalFormatting>
  <conditionalFormatting sqref="P1451 P1456">
    <cfRule type="duplicateValues" dxfId="108" priority="151"/>
  </conditionalFormatting>
  <conditionalFormatting sqref="P1452">
    <cfRule type="duplicateValues" dxfId="107" priority="10"/>
  </conditionalFormatting>
  <conditionalFormatting sqref="P1550:P1551">
    <cfRule type="duplicateValues" dxfId="106" priority="71"/>
  </conditionalFormatting>
  <conditionalFormatting sqref="P1581:P1582">
    <cfRule type="duplicateValues" dxfId="105" priority="50"/>
  </conditionalFormatting>
  <conditionalFormatting sqref="P1586:P1587">
    <cfRule type="duplicateValues" dxfId="104" priority="69"/>
  </conditionalFormatting>
  <conditionalFormatting sqref="P1591:P1592">
    <cfRule type="duplicateValues" dxfId="103" priority="70"/>
  </conditionalFormatting>
  <conditionalFormatting sqref="P1596:P1597">
    <cfRule type="duplicateValues" dxfId="102" priority="68"/>
  </conditionalFormatting>
  <conditionalFormatting sqref="P1603:P1604">
    <cfRule type="duplicateValues" dxfId="101" priority="67"/>
  </conditionalFormatting>
  <conditionalFormatting sqref="P1613">
    <cfRule type="duplicateValues" dxfId="100" priority="132"/>
  </conditionalFormatting>
  <conditionalFormatting sqref="P1618:P1619">
    <cfRule type="duplicateValues" dxfId="99" priority="101"/>
  </conditionalFormatting>
  <conditionalFormatting sqref="P1620">
    <cfRule type="duplicateValues" dxfId="98" priority="167"/>
  </conditionalFormatting>
  <conditionalFormatting sqref="P1693:P1694 P1691">
    <cfRule type="duplicateValues" dxfId="97" priority="168"/>
  </conditionalFormatting>
  <conditionalFormatting sqref="P1698">
    <cfRule type="duplicateValues" dxfId="96" priority="169"/>
  </conditionalFormatting>
  <conditionalFormatting sqref="P1708:P1709">
    <cfRule type="duplicateValues" dxfId="95" priority="66"/>
  </conditionalFormatting>
  <conditionalFormatting sqref="P1713">
    <cfRule type="duplicateValues" dxfId="94" priority="170"/>
  </conditionalFormatting>
  <conditionalFormatting sqref="P1718:P1719">
    <cfRule type="duplicateValues" dxfId="93" priority="122"/>
  </conditionalFormatting>
  <conditionalFormatting sqref="P1722:P1723">
    <cfRule type="duplicateValues" dxfId="92" priority="37"/>
  </conditionalFormatting>
  <conditionalFormatting sqref="P1725:P1726">
    <cfRule type="duplicateValues" dxfId="91" priority="100"/>
  </conditionalFormatting>
  <conditionalFormatting sqref="P1859:P1861">
    <cfRule type="duplicateValues" dxfId="90" priority="99"/>
  </conditionalFormatting>
  <conditionalFormatting sqref="P1978 P1980">
    <cfRule type="duplicateValues" dxfId="89" priority="98"/>
  </conditionalFormatting>
  <conditionalFormatting sqref="P1989:P1990">
    <cfRule type="duplicateValues" dxfId="88" priority="97"/>
  </conditionalFormatting>
  <conditionalFormatting sqref="P2186:P2187">
    <cfRule type="duplicateValues" dxfId="87" priority="96"/>
  </conditionalFormatting>
  <conditionalFormatting sqref="P2193:P2194">
    <cfRule type="duplicateValues" dxfId="86" priority="95"/>
  </conditionalFormatting>
  <conditionalFormatting sqref="P2197:P2200">
    <cfRule type="duplicateValues" dxfId="85" priority="152"/>
  </conditionalFormatting>
  <conditionalFormatting sqref="P2205:P2206 P2208:P2212">
    <cfRule type="duplicateValues" dxfId="84" priority="154"/>
  </conditionalFormatting>
  <conditionalFormatting sqref="P2213:P2218">
    <cfRule type="duplicateValues" dxfId="83" priority="153"/>
  </conditionalFormatting>
  <conditionalFormatting sqref="P2220">
    <cfRule type="duplicateValues" dxfId="82" priority="30"/>
  </conditionalFormatting>
  <conditionalFormatting sqref="P2221 P2232 P2234:P2236">
    <cfRule type="duplicateValues" dxfId="81" priority="129"/>
  </conditionalFormatting>
  <conditionalFormatting sqref="P2222:P2224 P2226:P2231">
    <cfRule type="duplicateValues" dxfId="80" priority="133"/>
  </conditionalFormatting>
  <conditionalFormatting sqref="P2238:P2240">
    <cfRule type="duplicateValues" dxfId="79" priority="18"/>
  </conditionalFormatting>
  <conditionalFormatting sqref="P2242:P2244">
    <cfRule type="duplicateValues" dxfId="78" priority="17"/>
  </conditionalFormatting>
  <conditionalFormatting sqref="P2246:P2249 P2252:P2257">
    <cfRule type="duplicateValues" dxfId="77" priority="143"/>
  </conditionalFormatting>
  <conditionalFormatting sqref="P2258">
    <cfRule type="duplicateValues" dxfId="76" priority="16"/>
  </conditionalFormatting>
  <conditionalFormatting sqref="P2262">
    <cfRule type="duplicateValues" dxfId="75" priority="15"/>
  </conditionalFormatting>
  <conditionalFormatting sqref="P2263:P2264">
    <cfRule type="duplicateValues" dxfId="74" priority="94"/>
  </conditionalFormatting>
  <conditionalFormatting sqref="P2280:P2281">
    <cfRule type="duplicateValues" dxfId="73" priority="123"/>
  </conditionalFormatting>
  <conditionalFormatting sqref="P2289">
    <cfRule type="duplicateValues" dxfId="72" priority="14"/>
  </conditionalFormatting>
  <conditionalFormatting sqref="P2362:P2365">
    <cfRule type="duplicateValues" dxfId="71" priority="119"/>
  </conditionalFormatting>
  <conditionalFormatting sqref="P2368:P2369">
    <cfRule type="duplicateValues" dxfId="70" priority="124"/>
  </conditionalFormatting>
  <conditionalFormatting sqref="P2388">
    <cfRule type="duplicateValues" dxfId="69" priority="156"/>
  </conditionalFormatting>
  <conditionalFormatting sqref="P2422:P2423">
    <cfRule type="duplicateValues" dxfId="68" priority="65"/>
  </conditionalFormatting>
  <conditionalFormatting sqref="P2514:P2515">
    <cfRule type="duplicateValues" dxfId="67" priority="64"/>
  </conditionalFormatting>
  <conditionalFormatting sqref="P2519:P2520">
    <cfRule type="duplicateValues" dxfId="66" priority="61"/>
  </conditionalFormatting>
  <conditionalFormatting sqref="P2524:P2525">
    <cfRule type="duplicateValues" dxfId="65" priority="60"/>
  </conditionalFormatting>
  <conditionalFormatting sqref="P2529:P2530">
    <cfRule type="duplicateValues" dxfId="64" priority="63"/>
  </conditionalFormatting>
  <conditionalFormatting sqref="P2534 P2536">
    <cfRule type="duplicateValues" dxfId="63" priority="62"/>
  </conditionalFormatting>
  <conditionalFormatting sqref="P2547:P2549">
    <cfRule type="duplicateValues" dxfId="62" priority="32"/>
  </conditionalFormatting>
  <conditionalFormatting sqref="P2553:P2554">
    <cfRule type="duplicateValues" dxfId="61" priority="33"/>
  </conditionalFormatting>
  <conditionalFormatting sqref="P2564">
    <cfRule type="duplicateValues" dxfId="60" priority="118"/>
  </conditionalFormatting>
  <conditionalFormatting sqref="P2567 P2569">
    <cfRule type="duplicateValues" dxfId="59" priority="93"/>
  </conditionalFormatting>
  <conditionalFormatting sqref="P2573:P2574">
    <cfRule type="duplicateValues" dxfId="58" priority="117"/>
  </conditionalFormatting>
  <conditionalFormatting sqref="P2578:P2579 P2581">
    <cfRule type="duplicateValues" dxfId="57" priority="116"/>
  </conditionalFormatting>
  <conditionalFormatting sqref="P2586:P2587">
    <cfRule type="duplicateValues" dxfId="56" priority="92"/>
  </conditionalFormatting>
  <conditionalFormatting sqref="P2680:P2681">
    <cfRule type="duplicateValues" dxfId="55" priority="135"/>
  </conditionalFormatting>
  <conditionalFormatting sqref="P2686">
    <cfRule type="duplicateValues" dxfId="54" priority="134"/>
  </conditionalFormatting>
  <conditionalFormatting sqref="P2690:P2691">
    <cfRule type="duplicateValues" dxfId="53" priority="59"/>
  </conditionalFormatting>
  <conditionalFormatting sqref="P2695:P2696">
    <cfRule type="duplicateValues" dxfId="52" priority="58"/>
  </conditionalFormatting>
  <conditionalFormatting sqref="P2724:P2725">
    <cfRule type="duplicateValues" dxfId="51" priority="57"/>
  </conditionalFormatting>
  <conditionalFormatting sqref="P2730 P2732">
    <cfRule type="duplicateValues" dxfId="50" priority="56"/>
  </conditionalFormatting>
  <conditionalFormatting sqref="P2802:P2803">
    <cfRule type="duplicateValues" dxfId="49" priority="55"/>
  </conditionalFormatting>
  <conditionalFormatting sqref="P2808:P2809">
    <cfRule type="duplicateValues" dxfId="48" priority="54"/>
  </conditionalFormatting>
  <conditionalFormatting sqref="P2841:P2842">
    <cfRule type="duplicateValues" dxfId="47" priority="126"/>
  </conditionalFormatting>
  <conditionalFormatting sqref="P2846:P2847">
    <cfRule type="duplicateValues" dxfId="46" priority="144"/>
  </conditionalFormatting>
  <conditionalFormatting sqref="P3102:P3103">
    <cfRule type="duplicateValues" dxfId="45" priority="127"/>
  </conditionalFormatting>
  <conditionalFormatting sqref="P3139:P3140">
    <cfRule type="duplicateValues" dxfId="44" priority="47"/>
  </conditionalFormatting>
  <conditionalFormatting sqref="P3162 P3164 P3166">
    <cfRule type="duplicateValues" dxfId="43" priority="36"/>
  </conditionalFormatting>
  <conditionalFormatting sqref="P3213">
    <cfRule type="duplicateValues" dxfId="42" priority="174"/>
  </conditionalFormatting>
  <conditionalFormatting sqref="P3321:P3322">
    <cfRule type="duplicateValues" dxfId="41" priority="46"/>
  </conditionalFormatting>
  <conditionalFormatting sqref="P3369:P3370">
    <cfRule type="duplicateValues" dxfId="40" priority="91"/>
  </conditionalFormatting>
  <conditionalFormatting sqref="P3412:P3413">
    <cfRule type="duplicateValues" dxfId="39" priority="90"/>
  </conditionalFormatting>
  <conditionalFormatting sqref="P3448:P3449">
    <cfRule type="duplicateValues" dxfId="38" priority="89"/>
  </conditionalFormatting>
  <conditionalFormatting sqref="P3645:P3654">
    <cfRule type="duplicateValues" dxfId="37" priority="157"/>
  </conditionalFormatting>
  <conditionalFormatting sqref="P3664:P3666 P3538:P3539">
    <cfRule type="duplicateValues" dxfId="36" priority="88"/>
  </conditionalFormatting>
  <conditionalFormatting sqref="P3716:P3717 P3675:P3676">
    <cfRule type="duplicateValues" dxfId="35" priority="128"/>
  </conditionalFormatting>
  <conditionalFormatting sqref="P3721:P3722">
    <cfRule type="duplicateValues" dxfId="34" priority="155"/>
  </conditionalFormatting>
  <conditionalFormatting sqref="P3766">
    <cfRule type="duplicateValues" dxfId="33" priority="9"/>
  </conditionalFormatting>
  <conditionalFormatting sqref="P3767">
    <cfRule type="duplicateValues" dxfId="32" priority="8"/>
  </conditionalFormatting>
  <conditionalFormatting sqref="P3768">
    <cfRule type="duplicateValues" dxfId="31" priority="7"/>
  </conditionalFormatting>
  <conditionalFormatting sqref="P3769:P3771 O3757 O3759:O3762 P3759:P3760 P3763:P3765">
    <cfRule type="duplicateValues" dxfId="30" priority="158"/>
  </conditionalFormatting>
  <conditionalFormatting sqref="P3772:P3773 P3730:P3731">
    <cfRule type="duplicateValues" dxfId="29" priority="120"/>
  </conditionalFormatting>
  <conditionalFormatting sqref="P3777">
    <cfRule type="duplicateValues" dxfId="28" priority="49"/>
  </conditionalFormatting>
  <conditionalFormatting sqref="P3778">
    <cfRule type="duplicateValues" dxfId="27" priority="48"/>
  </conditionalFormatting>
  <conditionalFormatting sqref="P3803:P3804">
    <cfRule type="duplicateValues" dxfId="26" priority="13"/>
  </conditionalFormatting>
  <conditionalFormatting sqref="P3830:P3841 P3776 P3779:P3780">
    <cfRule type="duplicateValues" dxfId="25" priority="130"/>
  </conditionalFormatting>
  <conditionalFormatting sqref="P3938:P3939 P3848">
    <cfRule type="duplicateValues" dxfId="24" priority="159"/>
  </conditionalFormatting>
  <conditionalFormatting sqref="P4050:P4051 P3943:P3944">
    <cfRule type="duplicateValues" dxfId="23" priority="165"/>
  </conditionalFormatting>
  <conditionalFormatting sqref="P4064:P4065 P4055:P4058 P4060">
    <cfRule type="duplicateValues" dxfId="22" priority="87"/>
  </conditionalFormatting>
  <conditionalFormatting sqref="P4068">
    <cfRule type="duplicateValues" dxfId="21" priority="166"/>
  </conditionalFormatting>
  <conditionalFormatting sqref="P4097">
    <cfRule type="duplicateValues" dxfId="20" priority="146"/>
  </conditionalFormatting>
  <conditionalFormatting sqref="P4100:P4101">
    <cfRule type="duplicateValues" dxfId="19" priority="35"/>
  </conditionalFormatting>
  <conditionalFormatting sqref="P4103:P4105 P4095:P4096">
    <cfRule type="duplicateValues" dxfId="18" priority="41"/>
  </conditionalFormatting>
  <conditionalFormatting sqref="P4107">
    <cfRule type="duplicateValues" dxfId="17" priority="21"/>
  </conditionalFormatting>
  <conditionalFormatting sqref="P4112:P4113">
    <cfRule type="duplicateValues" dxfId="16" priority="40"/>
  </conditionalFormatting>
  <conditionalFormatting sqref="P4117 P4067">
    <cfRule type="duplicateValues" dxfId="15" priority="175"/>
  </conditionalFormatting>
  <conditionalFormatting sqref="P4120 P4122">
    <cfRule type="duplicateValues" dxfId="14" priority="125"/>
  </conditionalFormatting>
  <conditionalFormatting sqref="P4245:P4246">
    <cfRule type="duplicateValues" dxfId="13" priority="53"/>
  </conditionalFormatting>
  <conditionalFormatting sqref="P4282:P4284">
    <cfRule type="duplicateValues" dxfId="12" priority="160"/>
  </conditionalFormatting>
  <conditionalFormatting sqref="R96:R97">
    <cfRule type="duplicateValues" dxfId="11" priority="141"/>
  </conditionalFormatting>
  <conditionalFormatting sqref="R105">
    <cfRule type="duplicateValues" dxfId="10" priority="4"/>
  </conditionalFormatting>
  <conditionalFormatting sqref="R131">
    <cfRule type="duplicateValues" dxfId="9" priority="27"/>
  </conditionalFormatting>
  <conditionalFormatting sqref="R134:R135">
    <cfRule type="duplicateValues" dxfId="8" priority="28"/>
  </conditionalFormatting>
  <conditionalFormatting sqref="R165">
    <cfRule type="duplicateValues" dxfId="7" priority="137"/>
  </conditionalFormatting>
  <conditionalFormatting sqref="R171">
    <cfRule type="duplicateValues" dxfId="6" priority="45"/>
  </conditionalFormatting>
  <conditionalFormatting sqref="R184">
    <cfRule type="duplicateValues" dxfId="5" priority="23"/>
  </conditionalFormatting>
  <conditionalFormatting sqref="R187">
    <cfRule type="duplicateValues" dxfId="4" priority="44"/>
  </conditionalFormatting>
  <conditionalFormatting sqref="R2207">
    <cfRule type="duplicateValues" dxfId="3" priority="31"/>
  </conditionalFormatting>
  <conditionalFormatting sqref="R2225">
    <cfRule type="duplicateValues" dxfId="2" priority="29"/>
  </conditionalFormatting>
  <conditionalFormatting sqref="R2250:R2251">
    <cfRule type="duplicateValues" dxfId="1" priority="43"/>
  </conditionalFormatting>
  <conditionalFormatting sqref="AD168">
    <cfRule type="duplicateValues" dxfId="0" priority="25"/>
  </conditionalFormatting>
  <pageMargins left="0.5" right="0.5" top="0.55000000000000004" bottom="0.5" header="0.05" footer="0.3"/>
  <pageSetup fitToHeight="0" orientation="landscape" r:id="rId1"/>
  <headerFooter differentFirst="1">
    <oddFooter>&amp;C&amp;P</oddFooter>
  </headerFooter>
  <rowBreaks count="17" manualBreakCount="17">
    <brk id="317" max="16383" man="1"/>
    <brk id="382" max="16383" man="1"/>
    <brk id="595" max="16383" man="1"/>
    <brk id="811" max="16383" man="1"/>
    <brk id="1843" max="16383" man="1"/>
    <brk id="2563" max="16383" man="1"/>
    <brk id="2781" max="16383" man="1"/>
    <brk id="2833" max="16383" man="1"/>
    <brk id="2995" max="16383" man="1"/>
    <brk id="3056" max="16383" man="1"/>
    <brk id="3413" max="16383" man="1"/>
    <brk id="3505" max="16383" man="1"/>
    <brk id="3663" max="16383" man="1"/>
    <brk id="3779" max="16383" man="1"/>
    <brk id="4164" max="16383" man="1"/>
    <brk id="4289" max="16383" man="1"/>
    <brk id="4337" max="16383" man="1"/>
  </rowBreaks>
  <drawing r:id="rId2"/>
  <legacyDrawing r:id="rId3"/>
  <oleObjects>
    <mc:AlternateContent xmlns:mc="http://schemas.openxmlformats.org/markup-compatibility/2006">
      <mc:Choice Requires="x14">
        <oleObject progId="Acrobat Document" dvAspect="DVASPECT_ICON" shapeId="1025" r:id="rId4">
          <objectPr defaultSize="0" autoPict="0" altText="FAC 1511 Study" r:id="rId5">
            <anchor moveWithCells="1">
              <from>
                <xdr:col>0</xdr:col>
                <xdr:colOff>276225</xdr:colOff>
                <xdr:row>672</xdr:row>
                <xdr:rowOff>333375</xdr:rowOff>
              </from>
              <to>
                <xdr:col>1</xdr:col>
                <xdr:colOff>0</xdr:colOff>
                <xdr:row>672</xdr:row>
                <xdr:rowOff>1143000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autoPict="0" altText="FAC 2131 RUC _FY2011 CNIC Study" r:id="rId7">
            <anchor moveWithCells="1">
              <from>
                <xdr:col>0</xdr:col>
                <xdr:colOff>219075</xdr:colOff>
                <xdr:row>1596</xdr:row>
                <xdr:rowOff>447675</xdr:rowOff>
              </from>
              <to>
                <xdr:col>1</xdr:col>
                <xdr:colOff>0</xdr:colOff>
                <xdr:row>1598</xdr:row>
                <xdr:rowOff>338138</xdr:rowOff>
              </to>
            </anchor>
          </objectPr>
        </oleObject>
      </mc:Choice>
      <mc:Fallback>
        <oleObject progId="Acrobat Document" dvAspect="DVASPECT_ICON"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1696-4736-4134-A1BA-FD5EE327C12E}">
  <sheetPr>
    <pageSetUpPr fitToPage="1"/>
  </sheetPr>
  <dimension ref="A1:S32"/>
  <sheetViews>
    <sheetView zoomScale="85" zoomScaleNormal="85" workbookViewId="0">
      <selection activeCell="F25" sqref="F25"/>
    </sheetView>
  </sheetViews>
  <sheetFormatPr defaultColWidth="9.1328125" defaultRowHeight="14.25" x14ac:dyDescent="0.45"/>
  <cols>
    <col min="1" max="1" width="30.265625" style="2" customWidth="1"/>
    <col min="2" max="2" width="12" style="2" customWidth="1"/>
    <col min="3" max="3" width="11.3984375" style="2" customWidth="1"/>
    <col min="4" max="4" width="16.59765625" style="2" customWidth="1"/>
    <col min="5" max="5" width="15.3984375" style="2" customWidth="1"/>
    <col min="6" max="6" width="23.59765625" style="2" customWidth="1"/>
    <col min="7" max="7" width="19.86328125" style="2" customWidth="1"/>
    <col min="8" max="8" width="14" style="2" customWidth="1"/>
    <col min="9" max="9" width="15.3984375" style="2" customWidth="1"/>
    <col min="10" max="10" width="16.1328125" style="2" customWidth="1"/>
    <col min="11" max="16384" width="9.1328125" style="2"/>
  </cols>
  <sheetData>
    <row r="1" spans="1:19" ht="30" customHeight="1" x14ac:dyDescent="0.45">
      <c r="A1" s="1497" t="s">
        <v>2486</v>
      </c>
      <c r="B1" s="1498"/>
      <c r="C1" s="1498"/>
      <c r="D1" s="1498"/>
      <c r="E1" s="1498"/>
      <c r="F1" s="1499"/>
      <c r="M1" s="26"/>
      <c r="O1" s="27"/>
      <c r="P1" s="26"/>
      <c r="S1" s="28"/>
    </row>
    <row r="2" spans="1:19" ht="109.5" customHeight="1" x14ac:dyDescent="0.45">
      <c r="A2" s="1500" t="s">
        <v>2487</v>
      </c>
      <c r="B2" s="1406"/>
      <c r="C2" s="1406"/>
      <c r="D2" s="1406"/>
      <c r="E2" s="1406"/>
      <c r="F2" s="1501"/>
      <c r="G2" s="886"/>
      <c r="H2" s="63"/>
      <c r="I2" s="63"/>
      <c r="J2" s="63"/>
      <c r="K2" s="144"/>
      <c r="M2" s="26"/>
      <c r="O2" s="27"/>
      <c r="P2" s="26"/>
      <c r="S2" s="28"/>
    </row>
    <row r="3" spans="1:19" ht="59.45" customHeight="1" x14ac:dyDescent="0.55000000000000004">
      <c r="A3" s="485" t="s">
        <v>2488</v>
      </c>
      <c r="B3" s="19" t="s">
        <v>2489</v>
      </c>
      <c r="C3" s="19" t="s">
        <v>2490</v>
      </c>
      <c r="D3" s="887" t="s">
        <v>2491</v>
      </c>
      <c r="E3" s="888" t="s">
        <v>2492</v>
      </c>
      <c r="F3" s="889" t="s">
        <v>2493</v>
      </c>
      <c r="G3" s="890"/>
      <c r="H3" s="416"/>
      <c r="I3" s="891"/>
      <c r="J3" s="26"/>
      <c r="L3" s="26"/>
      <c r="N3" s="27"/>
      <c r="O3" s="26"/>
      <c r="R3" s="28"/>
    </row>
    <row r="4" spans="1:19" ht="30" customHeight="1" x14ac:dyDescent="0.45">
      <c r="A4" s="892"/>
      <c r="B4" s="893">
        <v>39356</v>
      </c>
      <c r="C4" s="105">
        <v>2008</v>
      </c>
      <c r="D4" s="872">
        <v>100</v>
      </c>
      <c r="E4" s="894"/>
      <c r="F4" s="895">
        <f t="shared" ref="F4:F18" si="0">$D$19/D4</f>
        <v>1.6555629516459143</v>
      </c>
      <c r="G4" s="896"/>
      <c r="H4" s="491"/>
      <c r="I4" s="891"/>
      <c r="J4" s="26"/>
      <c r="L4" s="26"/>
      <c r="N4" s="27"/>
      <c r="O4" s="26"/>
      <c r="R4" s="28"/>
    </row>
    <row r="5" spans="1:19" ht="30" customHeight="1" x14ac:dyDescent="0.45">
      <c r="A5" s="892"/>
      <c r="B5" s="893">
        <v>39722</v>
      </c>
      <c r="C5" s="105">
        <v>2009</v>
      </c>
      <c r="D5" s="872">
        <v>104.36687965350772</v>
      </c>
      <c r="E5" s="897"/>
      <c r="F5" s="895">
        <f t="shared" si="0"/>
        <v>1.5862915104315582</v>
      </c>
      <c r="G5" s="896"/>
      <c r="H5" s="416"/>
      <c r="I5" s="891"/>
      <c r="J5" s="26"/>
      <c r="L5" s="26"/>
      <c r="N5" s="27"/>
      <c r="O5" s="26"/>
      <c r="R5" s="28"/>
    </row>
    <row r="6" spans="1:19" ht="30" customHeight="1" x14ac:dyDescent="0.45">
      <c r="A6" s="892"/>
      <c r="B6" s="893">
        <v>40087</v>
      </c>
      <c r="C6" s="105">
        <v>2010</v>
      </c>
      <c r="D6" s="872">
        <v>96.617868698058075</v>
      </c>
      <c r="E6" s="897"/>
      <c r="F6" s="895">
        <f t="shared" si="0"/>
        <v>1.713516323589934</v>
      </c>
      <c r="G6" s="896"/>
      <c r="H6" s="416"/>
      <c r="I6" s="891"/>
      <c r="J6" s="26"/>
      <c r="L6" s="26"/>
      <c r="N6" s="27"/>
      <c r="O6" s="26"/>
      <c r="R6" s="28"/>
    </row>
    <row r="7" spans="1:19" ht="30" customHeight="1" x14ac:dyDescent="0.45">
      <c r="A7" s="892"/>
      <c r="B7" s="893">
        <v>40452</v>
      </c>
      <c r="C7" s="105">
        <v>2011</v>
      </c>
      <c r="D7" s="872">
        <v>96.536202508912254</v>
      </c>
      <c r="E7" s="897"/>
      <c r="F7" s="895">
        <f t="shared" si="0"/>
        <v>1.7149658973720996</v>
      </c>
      <c r="G7" s="896"/>
      <c r="H7" s="416"/>
      <c r="I7" s="891"/>
      <c r="J7" s="26"/>
      <c r="L7" s="26"/>
      <c r="N7" s="27"/>
      <c r="O7" s="26"/>
      <c r="R7" s="28"/>
    </row>
    <row r="8" spans="1:19" ht="30" customHeight="1" x14ac:dyDescent="0.45">
      <c r="A8" s="898" t="s">
        <v>2494</v>
      </c>
      <c r="B8" s="893">
        <v>40817</v>
      </c>
      <c r="C8" s="47">
        <v>2012</v>
      </c>
      <c r="D8" s="498">
        <v>98.94055747581173</v>
      </c>
      <c r="E8" s="899"/>
      <c r="F8" s="895">
        <f t="shared" si="0"/>
        <v>1.6732905027856291</v>
      </c>
      <c r="G8" s="900"/>
      <c r="H8" s="901"/>
      <c r="M8" s="3"/>
    </row>
    <row r="9" spans="1:19" ht="30" customHeight="1" x14ac:dyDescent="0.45">
      <c r="A9" s="898" t="s">
        <v>2495</v>
      </c>
      <c r="B9" s="893">
        <v>41183</v>
      </c>
      <c r="C9" s="47">
        <v>2013</v>
      </c>
      <c r="D9" s="498">
        <v>100.79382698088115</v>
      </c>
      <c r="E9" s="899"/>
      <c r="F9" s="895">
        <f t="shared" si="0"/>
        <v>1.6425241517617404</v>
      </c>
      <c r="G9" s="900"/>
      <c r="H9" s="901"/>
      <c r="M9" s="3"/>
    </row>
    <row r="10" spans="1:19" ht="30" customHeight="1" x14ac:dyDescent="0.45">
      <c r="A10" s="898" t="s">
        <v>2496</v>
      </c>
      <c r="B10" s="893">
        <v>41548</v>
      </c>
      <c r="C10" s="47">
        <v>2014</v>
      </c>
      <c r="D10" s="498">
        <v>104.48176215518485</v>
      </c>
      <c r="E10" s="899"/>
      <c r="F10" s="895">
        <f t="shared" si="0"/>
        <v>1.5845473099763927</v>
      </c>
      <c r="G10" s="900"/>
      <c r="H10" s="901"/>
      <c r="M10" s="3"/>
    </row>
    <row r="11" spans="1:19" ht="30" customHeight="1" x14ac:dyDescent="0.55000000000000004">
      <c r="A11" s="898" t="s">
        <v>2497</v>
      </c>
      <c r="B11" s="893">
        <v>41913</v>
      </c>
      <c r="C11" s="47">
        <v>2015</v>
      </c>
      <c r="D11" s="498">
        <v>108.68748981038418</v>
      </c>
      <c r="E11" s="899"/>
      <c r="F11" s="895">
        <f t="shared" si="0"/>
        <v>1.5232323007313939</v>
      </c>
      <c r="G11" s="902"/>
      <c r="H11" s="901"/>
      <c r="M11" s="3"/>
    </row>
    <row r="12" spans="1:19" ht="30" customHeight="1" x14ac:dyDescent="0.55000000000000004">
      <c r="A12" s="898" t="s">
        <v>2498</v>
      </c>
      <c r="B12" s="893">
        <v>42278</v>
      </c>
      <c r="C12" s="47">
        <v>2016</v>
      </c>
      <c r="D12" s="498">
        <v>113.08118566321927</v>
      </c>
      <c r="E12" s="899"/>
      <c r="F12" s="895">
        <f t="shared" si="0"/>
        <v>1.4640481013141711</v>
      </c>
      <c r="G12" s="902"/>
      <c r="H12" s="901"/>
      <c r="M12" s="3"/>
    </row>
    <row r="13" spans="1:19" ht="30" customHeight="1" x14ac:dyDescent="0.55000000000000004">
      <c r="A13" s="898" t="s">
        <v>2499</v>
      </c>
      <c r="B13" s="893">
        <v>42644</v>
      </c>
      <c r="C13" s="47">
        <v>2017</v>
      </c>
      <c r="D13" s="498">
        <v>117.49476449153478</v>
      </c>
      <c r="E13" s="903"/>
      <c r="F13" s="895">
        <f t="shared" si="0"/>
        <v>1.4090525299662979</v>
      </c>
      <c r="G13" s="902"/>
      <c r="H13" s="901"/>
      <c r="M13" s="3"/>
    </row>
    <row r="14" spans="1:19" ht="30" customHeight="1" x14ac:dyDescent="0.55000000000000004">
      <c r="A14" s="898" t="s">
        <v>2500</v>
      </c>
      <c r="B14" s="893">
        <v>43009</v>
      </c>
      <c r="C14" s="47">
        <v>2018</v>
      </c>
      <c r="D14" s="498">
        <v>122.22543173834799</v>
      </c>
      <c r="E14" s="904"/>
      <c r="F14" s="895">
        <f t="shared" si="0"/>
        <v>1.3545159367405897</v>
      </c>
      <c r="G14" s="902"/>
      <c r="H14" s="901"/>
      <c r="I14" s="901"/>
      <c r="M14" s="3"/>
    </row>
    <row r="15" spans="1:19" ht="30" customHeight="1" x14ac:dyDescent="0.55000000000000004">
      <c r="A15" s="898" t="s">
        <v>2501</v>
      </c>
      <c r="B15" s="893">
        <v>43374</v>
      </c>
      <c r="C15" s="47">
        <v>2019</v>
      </c>
      <c r="D15" s="498">
        <v>128.94182119951699</v>
      </c>
      <c r="E15" s="904"/>
      <c r="F15" s="895">
        <f t="shared" si="0"/>
        <v>1.2839611975731238</v>
      </c>
      <c r="G15" s="902"/>
      <c r="H15" s="901"/>
      <c r="I15" s="901"/>
      <c r="M15" s="3"/>
    </row>
    <row r="16" spans="1:19" ht="30" customHeight="1" x14ac:dyDescent="0.55000000000000004">
      <c r="A16" s="898" t="s">
        <v>2502</v>
      </c>
      <c r="B16" s="905">
        <v>43739</v>
      </c>
      <c r="C16" s="47">
        <v>2020</v>
      </c>
      <c r="D16" s="906">
        <v>134.83448125817947</v>
      </c>
      <c r="E16" s="904"/>
      <c r="F16" s="895">
        <f t="shared" si="0"/>
        <v>1.2278483487290333</v>
      </c>
      <c r="G16" s="902"/>
      <c r="H16" s="901"/>
      <c r="I16" s="901"/>
      <c r="K16" s="3"/>
    </row>
    <row r="17" spans="1:14" ht="30" customHeight="1" x14ac:dyDescent="0.55000000000000004">
      <c r="A17" s="907" t="s">
        <v>2503</v>
      </c>
      <c r="B17" s="905">
        <v>44105</v>
      </c>
      <c r="C17" s="222">
        <v>2021</v>
      </c>
      <c r="D17" s="498">
        <v>136.2290415488477</v>
      </c>
      <c r="E17" s="904"/>
      <c r="F17" s="895">
        <f t="shared" si="0"/>
        <v>1.2152790130673263</v>
      </c>
      <c r="G17" s="902"/>
      <c r="N17" s="3"/>
    </row>
    <row r="18" spans="1:14" ht="30" customHeight="1" x14ac:dyDescent="0.55000000000000004">
      <c r="A18" s="908" t="s">
        <v>2504</v>
      </c>
      <c r="B18" s="909">
        <v>44470</v>
      </c>
      <c r="C18" s="211">
        <v>2022</v>
      </c>
      <c r="D18" s="498">
        <v>147.63153588617521</v>
      </c>
      <c r="E18" s="910"/>
      <c r="F18" s="895">
        <f t="shared" si="0"/>
        <v>1.1214155171577724</v>
      </c>
      <c r="G18" s="902"/>
      <c r="N18" s="3"/>
    </row>
    <row r="19" spans="1:14" ht="30" customHeight="1" x14ac:dyDescent="0.45">
      <c r="A19" s="908" t="s">
        <v>2505</v>
      </c>
      <c r="B19" s="909">
        <v>44835</v>
      </c>
      <c r="C19" s="211">
        <v>2023</v>
      </c>
      <c r="D19" s="365">
        <v>165.55629516459143</v>
      </c>
      <c r="E19" s="911">
        <v>1</v>
      </c>
      <c r="F19" s="912">
        <v>1</v>
      </c>
      <c r="N19" s="3"/>
    </row>
    <row r="20" spans="1:14" ht="30" customHeight="1" x14ac:dyDescent="0.45">
      <c r="A20" s="908" t="s">
        <v>2506</v>
      </c>
      <c r="B20" s="909">
        <v>45200</v>
      </c>
      <c r="C20" s="211">
        <v>2024</v>
      </c>
      <c r="D20" s="899"/>
      <c r="E20" s="913">
        <v>1.0229999999999999</v>
      </c>
      <c r="F20" s="912">
        <f t="shared" ref="F20:F25" si="1">F19/E20</f>
        <v>0.97751710654936474</v>
      </c>
      <c r="G20" s="901"/>
      <c r="N20" s="3"/>
    </row>
    <row r="21" spans="1:14" ht="30" customHeight="1" x14ac:dyDescent="0.45">
      <c r="A21" s="908" t="s">
        <v>2507</v>
      </c>
      <c r="B21" s="909">
        <v>45566</v>
      </c>
      <c r="C21" s="222">
        <v>2025</v>
      </c>
      <c r="D21" s="899"/>
      <c r="E21" s="913">
        <v>1.0209999999999999</v>
      </c>
      <c r="F21" s="912">
        <f t="shared" si="1"/>
        <v>0.957411465768232</v>
      </c>
      <c r="G21" s="901"/>
      <c r="N21" s="3"/>
    </row>
    <row r="22" spans="1:14" ht="30" customHeight="1" x14ac:dyDescent="0.45">
      <c r="A22" s="908" t="s">
        <v>2508</v>
      </c>
      <c r="B22" s="909">
        <v>45931</v>
      </c>
      <c r="C22" s="222">
        <v>2026</v>
      </c>
      <c r="D22" s="899"/>
      <c r="E22" s="913">
        <v>1.0209999999999999</v>
      </c>
      <c r="F22" s="912">
        <f t="shared" si="1"/>
        <v>0.93771935922451721</v>
      </c>
      <c r="G22" s="901"/>
      <c r="N22" s="3"/>
    </row>
    <row r="23" spans="1:14" ht="30" customHeight="1" x14ac:dyDescent="0.45">
      <c r="A23" s="908"/>
      <c r="B23" s="150"/>
      <c r="C23" s="47">
        <v>2027</v>
      </c>
      <c r="D23" s="899"/>
      <c r="E23" s="913">
        <v>1.0209999999999999</v>
      </c>
      <c r="F23" s="912">
        <f t="shared" si="1"/>
        <v>0.91843228131686316</v>
      </c>
      <c r="G23" s="901"/>
      <c r="N23" s="3"/>
    </row>
    <row r="24" spans="1:14" ht="30" customHeight="1" x14ac:dyDescent="0.45">
      <c r="A24" s="907"/>
      <c r="B24" s="150"/>
      <c r="C24" s="26">
        <v>2028</v>
      </c>
      <c r="D24" s="899"/>
      <c r="E24" s="913">
        <v>1.0209999999999999</v>
      </c>
      <c r="F24" s="912">
        <f t="shared" si="1"/>
        <v>0.89954190138772105</v>
      </c>
      <c r="G24" s="901"/>
      <c r="N24" s="3"/>
    </row>
    <row r="25" spans="1:14" ht="30" customHeight="1" x14ac:dyDescent="0.45">
      <c r="A25" s="914"/>
      <c r="B25" s="42"/>
      <c r="C25" s="47">
        <v>2029</v>
      </c>
      <c r="D25" s="899"/>
      <c r="E25" s="913">
        <v>1.02</v>
      </c>
      <c r="F25" s="912">
        <f t="shared" si="1"/>
        <v>0.88190382488992258</v>
      </c>
      <c r="G25" s="901"/>
      <c r="N25" s="3"/>
    </row>
    <row r="26" spans="1:14" ht="12.75" customHeight="1" thickBot="1" x14ac:dyDescent="0.5">
      <c r="A26" s="915"/>
      <c r="B26" s="916"/>
      <c r="C26" s="917"/>
      <c r="D26" s="916"/>
      <c r="E26" s="918"/>
      <c r="F26" s="919"/>
      <c r="N26" s="3"/>
    </row>
    <row r="27" spans="1:14" ht="14.65" thickBot="1" x14ac:dyDescent="0.5">
      <c r="A27" s="1502" t="s">
        <v>2509</v>
      </c>
      <c r="B27" s="1503"/>
      <c r="C27" s="1503"/>
      <c r="D27" s="1503"/>
      <c r="E27" s="1503"/>
      <c r="F27" s="1504"/>
    </row>
    <row r="28" spans="1:14" ht="19.5" customHeight="1" thickBot="1" x14ac:dyDescent="0.5">
      <c r="A28" s="1494" t="s">
        <v>2510</v>
      </c>
      <c r="B28" s="1495"/>
      <c r="C28" s="1495"/>
      <c r="D28" s="1495"/>
      <c r="E28" s="1495"/>
      <c r="F28" s="1496"/>
      <c r="G28" s="920"/>
    </row>
    <row r="29" spans="1:14" ht="125.25" customHeight="1" thickBot="1" x14ac:dyDescent="0.5">
      <c r="A29" s="1494" t="s">
        <v>2511</v>
      </c>
      <c r="B29" s="1495"/>
      <c r="C29" s="1495"/>
      <c r="D29" s="1495"/>
      <c r="E29" s="1495"/>
      <c r="F29" s="1496"/>
      <c r="G29" s="920"/>
    </row>
    <row r="30" spans="1:14" ht="41.25" customHeight="1" thickBot="1" x14ac:dyDescent="0.5">
      <c r="A30" s="1494" t="s">
        <v>2512</v>
      </c>
      <c r="B30" s="1495"/>
      <c r="C30" s="1495"/>
      <c r="D30" s="1495"/>
      <c r="E30" s="1495"/>
      <c r="F30" s="1496"/>
      <c r="G30" s="920"/>
    </row>
    <row r="31" spans="1:14" ht="40.5" customHeight="1" thickBot="1" x14ac:dyDescent="0.5">
      <c r="A31" s="1494" t="s">
        <v>2513</v>
      </c>
      <c r="B31" s="1495"/>
      <c r="C31" s="1495"/>
      <c r="D31" s="1495"/>
      <c r="E31" s="1495"/>
      <c r="F31" s="1496"/>
      <c r="G31" s="920"/>
    </row>
    <row r="32" spans="1:14" ht="53.25" customHeight="1" thickBot="1" x14ac:dyDescent="0.5">
      <c r="A32" s="1494" t="s">
        <v>2514</v>
      </c>
      <c r="B32" s="1495"/>
      <c r="C32" s="1495"/>
      <c r="D32" s="1495"/>
      <c r="E32" s="1495"/>
      <c r="F32" s="1496"/>
      <c r="G32" s="920"/>
    </row>
  </sheetData>
  <mergeCells count="8">
    <mergeCell ref="A31:F31"/>
    <mergeCell ref="A32:F32"/>
    <mergeCell ref="A1:F1"/>
    <mergeCell ref="A2:F2"/>
    <mergeCell ref="A27:F27"/>
    <mergeCell ref="A28:F28"/>
    <mergeCell ref="A29:F29"/>
    <mergeCell ref="A30:F30"/>
  </mergeCells>
  <pageMargins left="0.7" right="0.7" top="0.75" bottom="0.75" header="0.3" footer="0.3"/>
  <pageSetup scale="64" orientation="portrait" horizontalDpi="360" verticalDpi="36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3265-9D86-45F8-9BF5-BEB267F555F7}">
  <sheetPr>
    <pageSetUpPr fitToPage="1"/>
  </sheetPr>
  <dimension ref="A1:IM546"/>
  <sheetViews>
    <sheetView zoomScale="90" zoomScaleNormal="115" workbookViewId="0">
      <pane ySplit="3" topLeftCell="A61" activePane="bottomLeft" state="frozen"/>
      <selection activeCell="G11" sqref="G11"/>
      <selection pane="bottomLeft" activeCell="H8" sqref="H8"/>
    </sheetView>
  </sheetViews>
  <sheetFormatPr defaultColWidth="8.86328125" defaultRowHeight="14.25" x14ac:dyDescent="0.45"/>
  <cols>
    <col min="1" max="1" width="7.59765625" style="2" customWidth="1"/>
    <col min="2" max="2" width="54.3984375" style="2" customWidth="1"/>
    <col min="3" max="3" width="7.1328125" style="2" customWidth="1"/>
    <col min="4" max="4" width="7.86328125" style="2" customWidth="1"/>
    <col min="5" max="5" width="13.59765625" style="2" customWidth="1"/>
    <col min="6" max="6" width="11.86328125" style="2" customWidth="1"/>
    <col min="7" max="8" width="11.1328125" style="2" customWidth="1"/>
    <col min="9" max="9" width="9.86328125" style="2" customWidth="1"/>
    <col min="10" max="10" width="9.3984375" style="2" customWidth="1"/>
    <col min="11" max="11" width="10.3984375" style="2" customWidth="1"/>
    <col min="12" max="12" width="10" style="2" customWidth="1"/>
    <col min="13" max="13" width="9.86328125" style="2" customWidth="1"/>
    <col min="14" max="14" width="9.1328125" style="2" customWidth="1"/>
    <col min="15" max="15" width="14.86328125" style="2" customWidth="1"/>
    <col min="16" max="16" width="13.59765625" style="2" customWidth="1"/>
    <col min="17" max="17" width="12.86328125" style="2" customWidth="1"/>
    <col min="18" max="18" width="12.1328125" style="954" customWidth="1"/>
    <col min="19" max="44" width="8.86328125" style="2"/>
    <col min="45" max="45" width="8.86328125" style="953"/>
    <col min="46" max="227" width="8.86328125" style="2"/>
    <col min="228" max="228" width="5.86328125" style="2" customWidth="1"/>
    <col min="229" max="229" width="42.86328125" style="2" customWidth="1"/>
    <col min="230" max="230" width="3.3984375" style="2" customWidth="1"/>
    <col min="231" max="232" width="15.86328125" style="2" customWidth="1"/>
    <col min="233" max="233" width="6.59765625" style="2" customWidth="1"/>
    <col min="234" max="234" width="92" style="2" customWidth="1"/>
    <col min="235" max="16384" width="8.86328125" style="2"/>
  </cols>
  <sheetData>
    <row r="1" spans="1:247" ht="26.25" customHeight="1" thickBot="1" x14ac:dyDescent="0.6">
      <c r="A1" s="1505" t="s">
        <v>2515</v>
      </c>
      <c r="B1" s="1505"/>
      <c r="C1" s="1505"/>
      <c r="D1" s="1506"/>
      <c r="E1" s="1507" t="s">
        <v>2516</v>
      </c>
      <c r="F1" s="1508"/>
      <c r="G1" s="1509"/>
      <c r="H1" s="1510" t="s">
        <v>2517</v>
      </c>
      <c r="I1" s="1511"/>
      <c r="J1" s="1511"/>
      <c r="K1" s="1511"/>
      <c r="L1" s="1511"/>
      <c r="M1" s="1511"/>
      <c r="N1" s="1511"/>
      <c r="O1" s="921" t="s">
        <v>2518</v>
      </c>
      <c r="P1" s="1512" t="s">
        <v>2519</v>
      </c>
      <c r="Q1" s="1509"/>
      <c r="R1" s="922"/>
      <c r="AS1" s="2"/>
    </row>
    <row r="2" spans="1:247" ht="72.75" customHeight="1" x14ac:dyDescent="0.45">
      <c r="A2" s="1505"/>
      <c r="B2" s="1505"/>
      <c r="C2" s="1505"/>
      <c r="D2" s="1506"/>
      <c r="E2" s="175" t="s">
        <v>2520</v>
      </c>
      <c r="F2" s="19" t="s">
        <v>2521</v>
      </c>
      <c r="G2" s="889" t="s">
        <v>2522</v>
      </c>
      <c r="H2" s="22" t="s">
        <v>2523</v>
      </c>
      <c r="I2" s="19" t="s">
        <v>2524</v>
      </c>
      <c r="J2" s="19" t="s">
        <v>2525</v>
      </c>
      <c r="K2" s="19" t="s">
        <v>2526</v>
      </c>
      <c r="L2" s="19" t="s">
        <v>2527</v>
      </c>
      <c r="M2" s="19" t="s">
        <v>2528</v>
      </c>
      <c r="N2" s="21" t="s">
        <v>2529</v>
      </c>
      <c r="O2" s="923" t="s">
        <v>2530</v>
      </c>
      <c r="P2" s="22" t="s">
        <v>2531</v>
      </c>
      <c r="Q2" s="889" t="s">
        <v>2532</v>
      </c>
      <c r="R2" s="924" t="s">
        <v>2533</v>
      </c>
      <c r="S2" s="925"/>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c r="BZ2" s="926"/>
      <c r="CA2" s="926"/>
      <c r="CB2" s="926"/>
      <c r="CC2" s="926"/>
      <c r="CD2" s="926"/>
      <c r="CE2" s="926"/>
      <c r="CF2" s="926"/>
      <c r="CG2" s="926"/>
      <c r="CH2" s="926"/>
      <c r="CI2" s="926"/>
      <c r="CJ2" s="926"/>
      <c r="CK2" s="926"/>
      <c r="CL2" s="926"/>
      <c r="CM2" s="926"/>
      <c r="CN2" s="926"/>
      <c r="CO2" s="926"/>
      <c r="CP2" s="926"/>
      <c r="CQ2" s="926"/>
      <c r="CR2" s="926"/>
      <c r="CS2" s="926"/>
      <c r="CT2" s="926"/>
      <c r="CU2" s="926"/>
      <c r="CV2" s="926"/>
      <c r="CW2" s="926"/>
      <c r="CX2" s="926"/>
      <c r="CY2" s="926"/>
      <c r="CZ2" s="926"/>
      <c r="DA2" s="926"/>
      <c r="DB2" s="926"/>
      <c r="DC2" s="926"/>
      <c r="DD2" s="926"/>
      <c r="DE2" s="926"/>
      <c r="DF2" s="926"/>
      <c r="DG2" s="926"/>
      <c r="DH2" s="926"/>
      <c r="DI2" s="926"/>
      <c r="DJ2" s="926"/>
      <c r="DK2" s="926"/>
      <c r="DL2" s="926"/>
      <c r="DM2" s="926"/>
      <c r="DN2" s="926"/>
      <c r="DO2" s="926"/>
      <c r="DP2" s="926"/>
      <c r="DQ2" s="926"/>
      <c r="DR2" s="926"/>
      <c r="DS2" s="926"/>
      <c r="DT2" s="926"/>
      <c r="DU2" s="926"/>
      <c r="DV2" s="926"/>
      <c r="DW2" s="926"/>
      <c r="DX2" s="926"/>
      <c r="DY2" s="926"/>
      <c r="DZ2" s="926"/>
      <c r="EA2" s="926"/>
      <c r="EB2" s="926"/>
      <c r="EC2" s="926"/>
      <c r="ED2" s="926"/>
      <c r="EE2" s="926"/>
      <c r="EF2" s="926"/>
      <c r="EG2" s="926"/>
      <c r="EH2" s="926"/>
      <c r="EI2" s="926"/>
      <c r="EJ2" s="926"/>
      <c r="EK2" s="926"/>
      <c r="EL2" s="926"/>
      <c r="EM2" s="926"/>
      <c r="EN2" s="926"/>
      <c r="EO2" s="926"/>
      <c r="EP2" s="926"/>
      <c r="EQ2" s="926"/>
      <c r="ER2" s="926"/>
      <c r="ES2" s="926"/>
      <c r="ET2" s="926"/>
      <c r="EU2" s="926"/>
      <c r="EV2" s="926"/>
      <c r="EW2" s="926"/>
      <c r="EX2" s="926"/>
      <c r="EY2" s="926"/>
      <c r="EZ2" s="926"/>
      <c r="FA2" s="926"/>
      <c r="FB2" s="926"/>
      <c r="FC2" s="926"/>
      <c r="FD2" s="926"/>
      <c r="FE2" s="926"/>
      <c r="FF2" s="926"/>
      <c r="FG2" s="926"/>
      <c r="FH2" s="926"/>
      <c r="FI2" s="926"/>
      <c r="FJ2" s="926"/>
      <c r="FK2" s="926"/>
      <c r="FL2" s="926"/>
      <c r="FM2" s="926"/>
      <c r="FN2" s="926"/>
      <c r="FO2" s="926"/>
      <c r="FP2" s="926"/>
      <c r="FQ2" s="926"/>
      <c r="FR2" s="926"/>
      <c r="FS2" s="926"/>
      <c r="FT2" s="926"/>
      <c r="FU2" s="926"/>
      <c r="FV2" s="926"/>
      <c r="FW2" s="926"/>
      <c r="FX2" s="926"/>
      <c r="FY2" s="926"/>
      <c r="FZ2" s="926"/>
      <c r="GA2" s="926"/>
      <c r="GB2" s="926"/>
      <c r="GC2" s="926"/>
      <c r="GD2" s="926"/>
      <c r="GE2" s="926"/>
      <c r="GF2" s="926"/>
      <c r="GG2" s="926"/>
      <c r="GH2" s="926"/>
      <c r="GI2" s="926"/>
      <c r="GJ2" s="926"/>
      <c r="GK2" s="926"/>
      <c r="GL2" s="926"/>
      <c r="GM2" s="926"/>
      <c r="GN2" s="926"/>
      <c r="GO2" s="926"/>
      <c r="GP2" s="926"/>
      <c r="GQ2" s="926"/>
      <c r="GR2" s="926"/>
      <c r="GS2" s="926"/>
      <c r="GT2" s="926"/>
      <c r="GU2" s="926"/>
      <c r="GV2" s="926"/>
      <c r="GW2" s="926"/>
      <c r="GX2" s="926"/>
      <c r="GY2" s="926"/>
      <c r="GZ2" s="926"/>
      <c r="HA2" s="926"/>
      <c r="HB2" s="926"/>
      <c r="HC2" s="926"/>
      <c r="HD2" s="926"/>
      <c r="HE2" s="926"/>
      <c r="HF2" s="926"/>
      <c r="HG2" s="926"/>
      <c r="HH2" s="926"/>
      <c r="HI2" s="926"/>
      <c r="HJ2" s="926"/>
      <c r="HK2" s="926"/>
      <c r="HL2" s="926"/>
      <c r="HM2" s="926"/>
      <c r="HN2" s="926"/>
      <c r="HO2" s="926"/>
      <c r="HP2" s="926"/>
      <c r="HQ2" s="926"/>
      <c r="HR2" s="926"/>
      <c r="HS2" s="926"/>
      <c r="HT2" s="926"/>
      <c r="HU2" s="926"/>
      <c r="HV2" s="926"/>
      <c r="HW2" s="926"/>
      <c r="HX2" s="926"/>
      <c r="HY2" s="926"/>
      <c r="HZ2" s="926"/>
      <c r="IA2" s="926"/>
      <c r="IB2" s="926"/>
      <c r="IC2" s="926"/>
      <c r="ID2" s="926"/>
      <c r="IE2" s="926"/>
      <c r="IF2" s="926"/>
      <c r="IG2" s="926"/>
      <c r="IH2" s="926"/>
      <c r="II2" s="926"/>
      <c r="IJ2" s="926"/>
      <c r="IK2" s="926"/>
      <c r="IL2" s="926"/>
      <c r="IM2" s="926"/>
    </row>
    <row r="3" spans="1:247" ht="48.75" customHeight="1" thickBot="1" x14ac:dyDescent="0.5">
      <c r="A3" s="927" t="s">
        <v>300</v>
      </c>
      <c r="B3" s="928" t="s">
        <v>2534</v>
      </c>
      <c r="C3" s="929" t="s">
        <v>79</v>
      </c>
      <c r="D3" s="930" t="s">
        <v>2535</v>
      </c>
      <c r="E3" s="931">
        <v>1.0740000000000001</v>
      </c>
      <c r="F3" s="932">
        <v>1.0209999999999999</v>
      </c>
      <c r="G3" s="930">
        <v>1.0269999999999999</v>
      </c>
      <c r="H3" s="931">
        <v>1.0029999999999999</v>
      </c>
      <c r="I3" s="933">
        <v>1.0289999999999999</v>
      </c>
      <c r="J3" s="933">
        <v>1.0049999999999999</v>
      </c>
      <c r="K3" s="934">
        <v>1.026</v>
      </c>
      <c r="L3" s="933">
        <v>1.0129999999999999</v>
      </c>
      <c r="M3" s="933">
        <v>1.0029999999999999</v>
      </c>
      <c r="N3" s="930">
        <v>1.0029999999999999</v>
      </c>
      <c r="O3" s="935">
        <v>1.0209999999999999</v>
      </c>
      <c r="P3" s="931">
        <v>1.032</v>
      </c>
      <c r="Q3" s="930">
        <v>1.0349999999999999</v>
      </c>
      <c r="R3" s="936"/>
      <c r="S3" s="937"/>
      <c r="T3" s="938"/>
      <c r="U3" s="938"/>
      <c r="V3" s="938"/>
      <c r="W3" s="938"/>
      <c r="X3" s="938"/>
      <c r="Y3" s="938"/>
      <c r="Z3" s="938"/>
      <c r="AA3" s="938"/>
      <c r="AB3" s="938"/>
      <c r="AC3" s="938"/>
      <c r="AD3" s="938"/>
      <c r="AE3" s="938"/>
      <c r="AF3" s="938"/>
      <c r="AG3" s="938"/>
      <c r="AH3" s="938"/>
      <c r="AI3" s="938"/>
      <c r="AJ3" s="938"/>
      <c r="AK3" s="938"/>
      <c r="AL3" s="938"/>
      <c r="AM3" s="938"/>
      <c r="AN3" s="938"/>
      <c r="AO3" s="938"/>
      <c r="AP3" s="938"/>
      <c r="AQ3" s="938"/>
      <c r="AR3" s="938"/>
      <c r="AS3" s="938"/>
      <c r="AT3" s="938"/>
      <c r="AU3" s="938"/>
      <c r="AV3" s="938"/>
      <c r="AW3" s="938"/>
      <c r="AX3" s="938"/>
      <c r="AY3" s="938"/>
      <c r="AZ3" s="938"/>
      <c r="BA3" s="938"/>
      <c r="BB3" s="938"/>
      <c r="BC3" s="938"/>
      <c r="BD3" s="938"/>
      <c r="BE3" s="938"/>
      <c r="BF3" s="938"/>
      <c r="BG3" s="938"/>
      <c r="BH3" s="938"/>
      <c r="BI3" s="938"/>
      <c r="BJ3" s="938"/>
      <c r="BK3" s="938"/>
      <c r="BL3" s="938"/>
      <c r="BM3" s="938"/>
      <c r="BN3" s="938"/>
      <c r="BO3" s="938"/>
      <c r="BP3" s="938"/>
      <c r="BQ3" s="938"/>
      <c r="BR3" s="938"/>
      <c r="BS3" s="938"/>
      <c r="BT3" s="938"/>
      <c r="BU3" s="938"/>
      <c r="BV3" s="938"/>
      <c r="BW3" s="938"/>
      <c r="BX3" s="938"/>
      <c r="BY3" s="938"/>
      <c r="BZ3" s="938"/>
      <c r="CA3" s="938"/>
      <c r="CB3" s="938"/>
      <c r="CC3" s="938"/>
      <c r="CD3" s="938"/>
      <c r="CE3" s="938"/>
      <c r="CF3" s="938"/>
      <c r="CG3" s="938"/>
      <c r="CH3" s="938"/>
      <c r="CI3" s="938"/>
      <c r="CJ3" s="938"/>
      <c r="CK3" s="938"/>
      <c r="CL3" s="938"/>
      <c r="CM3" s="938"/>
      <c r="CN3" s="938"/>
      <c r="CO3" s="938"/>
      <c r="CP3" s="938"/>
      <c r="CQ3" s="938"/>
      <c r="CR3" s="938"/>
      <c r="CS3" s="938"/>
      <c r="CT3" s="938"/>
      <c r="CU3" s="938"/>
      <c r="CV3" s="938"/>
      <c r="CW3" s="938"/>
      <c r="CX3" s="938"/>
      <c r="CY3" s="938"/>
      <c r="CZ3" s="938"/>
      <c r="DA3" s="938"/>
      <c r="DB3" s="938"/>
      <c r="DC3" s="938"/>
      <c r="DD3" s="938"/>
      <c r="DE3" s="938"/>
      <c r="DF3" s="938"/>
      <c r="DG3" s="938"/>
      <c r="DH3" s="938"/>
      <c r="DI3" s="938"/>
      <c r="DJ3" s="938"/>
      <c r="DK3" s="938"/>
      <c r="DL3" s="938"/>
      <c r="DM3" s="938"/>
      <c r="DN3" s="938"/>
      <c r="DO3" s="938"/>
      <c r="DP3" s="938"/>
      <c r="DQ3" s="938"/>
      <c r="DR3" s="938"/>
      <c r="DS3" s="938"/>
      <c r="DT3" s="938"/>
      <c r="DU3" s="938"/>
      <c r="DV3" s="938"/>
      <c r="DW3" s="938"/>
      <c r="DX3" s="938"/>
      <c r="DY3" s="938"/>
      <c r="DZ3" s="938"/>
      <c r="EA3" s="938"/>
      <c r="EB3" s="938"/>
      <c r="EC3" s="938"/>
      <c r="ED3" s="938"/>
      <c r="EE3" s="938"/>
      <c r="EF3" s="938"/>
      <c r="EG3" s="938"/>
      <c r="EH3" s="938"/>
      <c r="EI3" s="938"/>
      <c r="EJ3" s="938"/>
      <c r="EK3" s="938"/>
      <c r="EL3" s="938"/>
      <c r="EM3" s="938"/>
      <c r="EN3" s="938"/>
      <c r="EO3" s="938"/>
      <c r="EP3" s="938"/>
      <c r="EQ3" s="938"/>
      <c r="ER3" s="938"/>
      <c r="ES3" s="938"/>
      <c r="ET3" s="938"/>
      <c r="EU3" s="938"/>
      <c r="EV3" s="938"/>
      <c r="EW3" s="938"/>
      <c r="EX3" s="938"/>
      <c r="EY3" s="938"/>
      <c r="EZ3" s="938"/>
      <c r="FA3" s="938"/>
      <c r="FB3" s="938"/>
      <c r="FC3" s="938"/>
      <c r="FD3" s="938"/>
      <c r="FE3" s="938"/>
      <c r="FF3" s="938"/>
      <c r="FG3" s="938"/>
      <c r="FH3" s="938"/>
      <c r="FI3" s="938"/>
      <c r="FJ3" s="938"/>
      <c r="FK3" s="938"/>
      <c r="FL3" s="938"/>
      <c r="FM3" s="938"/>
      <c r="FN3" s="938"/>
      <c r="FO3" s="938"/>
      <c r="FP3" s="938"/>
      <c r="FQ3" s="938"/>
      <c r="FR3" s="938"/>
      <c r="FS3" s="938"/>
      <c r="FT3" s="938"/>
      <c r="FU3" s="938"/>
      <c r="FV3" s="938"/>
      <c r="FW3" s="938"/>
      <c r="FX3" s="938"/>
      <c r="FY3" s="938"/>
      <c r="FZ3" s="938"/>
      <c r="GA3" s="938"/>
      <c r="GB3" s="938"/>
      <c r="GC3" s="938"/>
      <c r="GD3" s="938"/>
      <c r="GE3" s="938"/>
      <c r="GF3" s="938"/>
      <c r="GG3" s="938"/>
      <c r="GH3" s="938"/>
      <c r="GI3" s="938"/>
      <c r="GJ3" s="938"/>
      <c r="GK3" s="938"/>
      <c r="GL3" s="938"/>
      <c r="GM3" s="938"/>
      <c r="GN3" s="938"/>
      <c r="GO3" s="938"/>
      <c r="GP3" s="938"/>
      <c r="GQ3" s="938"/>
      <c r="GR3" s="938"/>
      <c r="GS3" s="938"/>
      <c r="GT3" s="938"/>
      <c r="GU3" s="938"/>
      <c r="GV3" s="938"/>
      <c r="GW3" s="938"/>
      <c r="GX3" s="938"/>
      <c r="GY3" s="938"/>
      <c r="GZ3" s="938"/>
      <c r="HA3" s="938"/>
      <c r="HB3" s="938"/>
      <c r="HC3" s="938"/>
      <c r="HD3" s="938"/>
      <c r="HE3" s="938"/>
      <c r="HF3" s="938"/>
      <c r="HG3" s="938"/>
      <c r="HH3" s="938"/>
      <c r="HI3" s="938"/>
      <c r="HJ3" s="938"/>
      <c r="HK3" s="938"/>
      <c r="HL3" s="938"/>
      <c r="HM3" s="938"/>
      <c r="HN3" s="938"/>
      <c r="HO3" s="938"/>
      <c r="HP3" s="938"/>
      <c r="HQ3" s="938"/>
      <c r="HR3" s="938"/>
      <c r="HS3" s="938"/>
      <c r="HT3" s="938"/>
      <c r="HU3" s="938"/>
      <c r="HV3" s="938"/>
      <c r="HW3" s="938"/>
      <c r="HX3" s="938"/>
      <c r="HY3" s="938"/>
      <c r="HZ3" s="938"/>
      <c r="IA3" s="938"/>
      <c r="IB3" s="938"/>
      <c r="IC3" s="938"/>
      <c r="ID3" s="938"/>
      <c r="IE3" s="938"/>
      <c r="IF3" s="938"/>
      <c r="IG3" s="938"/>
      <c r="IH3" s="938"/>
      <c r="II3" s="938"/>
      <c r="IJ3" s="938"/>
      <c r="IK3" s="938"/>
      <c r="IL3" s="938"/>
      <c r="IM3" s="938"/>
    </row>
    <row r="4" spans="1:247" x14ac:dyDescent="0.45">
      <c r="A4" s="441">
        <v>1321</v>
      </c>
      <c r="B4" s="939" t="s">
        <v>2536</v>
      </c>
      <c r="C4" s="47" t="s">
        <v>88</v>
      </c>
      <c r="D4" s="449" t="s">
        <v>2537</v>
      </c>
      <c r="E4" s="940"/>
      <c r="F4" s="941">
        <f t="shared" ref="F4:F132" si="0">+$F$3</f>
        <v>1.0209999999999999</v>
      </c>
      <c r="G4" s="942"/>
      <c r="H4" s="940"/>
      <c r="I4" s="941"/>
      <c r="J4" s="941"/>
      <c r="K4" s="941"/>
      <c r="L4" s="941"/>
      <c r="M4" s="941"/>
      <c r="N4" s="943"/>
      <c r="O4" s="944"/>
      <c r="P4" s="940"/>
      <c r="Q4" s="943"/>
      <c r="R4" s="945">
        <f t="shared" ref="R4:R132" si="1">PRODUCT(E4:Q4)</f>
        <v>1.0209999999999999</v>
      </c>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c r="BZ4" s="926"/>
      <c r="CA4" s="926"/>
      <c r="CB4" s="926"/>
      <c r="CC4" s="926"/>
      <c r="CD4" s="926"/>
      <c r="CE4" s="926"/>
      <c r="CF4" s="926"/>
      <c r="CG4" s="926"/>
      <c r="CH4" s="926"/>
      <c r="CI4" s="926"/>
      <c r="CJ4" s="926"/>
      <c r="CK4" s="926"/>
      <c r="CL4" s="926"/>
      <c r="CM4" s="926"/>
      <c r="CN4" s="926"/>
      <c r="CO4" s="926"/>
      <c r="CP4" s="926"/>
      <c r="CQ4" s="926"/>
      <c r="CR4" s="926"/>
      <c r="CS4" s="926"/>
      <c r="CT4" s="926"/>
      <c r="CU4" s="926"/>
      <c r="CV4" s="926"/>
      <c r="CW4" s="926"/>
      <c r="CX4" s="926"/>
      <c r="CY4" s="926"/>
      <c r="CZ4" s="926"/>
      <c r="DA4" s="926"/>
      <c r="DB4" s="926"/>
      <c r="DC4" s="926"/>
      <c r="DD4" s="926"/>
      <c r="DE4" s="926"/>
      <c r="DF4" s="926"/>
      <c r="DG4" s="926"/>
      <c r="DH4" s="926"/>
      <c r="DI4" s="926"/>
      <c r="DJ4" s="926"/>
      <c r="DK4" s="926"/>
      <c r="DL4" s="926"/>
      <c r="DM4" s="926"/>
      <c r="DN4" s="926"/>
      <c r="DO4" s="926"/>
      <c r="DP4" s="926"/>
      <c r="DQ4" s="926"/>
      <c r="DR4" s="926"/>
      <c r="DS4" s="926"/>
      <c r="DT4" s="926"/>
      <c r="DU4" s="926"/>
      <c r="DV4" s="926"/>
      <c r="DW4" s="926"/>
      <c r="DX4" s="926"/>
      <c r="DY4" s="926"/>
      <c r="DZ4" s="926"/>
      <c r="EA4" s="926"/>
      <c r="EB4" s="926"/>
      <c r="EC4" s="926"/>
      <c r="ED4" s="926"/>
      <c r="EE4" s="926"/>
      <c r="EF4" s="926"/>
      <c r="EG4" s="926"/>
      <c r="EH4" s="926"/>
      <c r="EI4" s="926"/>
      <c r="EJ4" s="926"/>
      <c r="EK4" s="926"/>
      <c r="EL4" s="926"/>
      <c r="EM4" s="926"/>
      <c r="EN4" s="926"/>
      <c r="EO4" s="926"/>
      <c r="EP4" s="926"/>
      <c r="EQ4" s="926"/>
      <c r="ER4" s="926"/>
      <c r="ES4" s="926"/>
      <c r="ET4" s="926"/>
      <c r="EU4" s="926"/>
      <c r="EV4" s="926"/>
      <c r="EW4" s="926"/>
      <c r="EX4" s="926"/>
      <c r="EY4" s="926"/>
      <c r="EZ4" s="926"/>
      <c r="FA4" s="926"/>
      <c r="FB4" s="926"/>
      <c r="FC4" s="926"/>
      <c r="FD4" s="926"/>
      <c r="FE4" s="926"/>
      <c r="FF4" s="926"/>
      <c r="FG4" s="926"/>
      <c r="FH4" s="926"/>
      <c r="FI4" s="926"/>
      <c r="FJ4" s="926"/>
      <c r="FK4" s="926"/>
      <c r="FL4" s="926"/>
      <c r="FM4" s="926"/>
      <c r="FN4" s="926"/>
      <c r="FO4" s="926"/>
      <c r="FP4" s="926"/>
      <c r="FQ4" s="926"/>
      <c r="FR4" s="926"/>
      <c r="FS4" s="926"/>
      <c r="FT4" s="926"/>
      <c r="FU4" s="926"/>
      <c r="FV4" s="926"/>
      <c r="FW4" s="926"/>
      <c r="FX4" s="926"/>
      <c r="FY4" s="926"/>
      <c r="FZ4" s="926"/>
      <c r="GA4" s="926"/>
      <c r="GB4" s="926"/>
      <c r="GC4" s="926"/>
      <c r="GD4" s="926"/>
      <c r="GE4" s="926"/>
      <c r="GF4" s="926"/>
      <c r="GG4" s="926"/>
      <c r="GH4" s="926"/>
      <c r="GI4" s="926"/>
      <c r="GJ4" s="926"/>
      <c r="GK4" s="926"/>
      <c r="GL4" s="926"/>
      <c r="GM4" s="926"/>
      <c r="GN4" s="926"/>
      <c r="GO4" s="926"/>
      <c r="GP4" s="926"/>
      <c r="GQ4" s="926"/>
      <c r="GR4" s="926"/>
      <c r="GS4" s="926"/>
      <c r="GT4" s="926"/>
      <c r="GU4" s="926"/>
      <c r="GV4" s="926"/>
      <c r="GW4" s="926"/>
      <c r="GX4" s="926"/>
      <c r="GY4" s="926"/>
      <c r="GZ4" s="926"/>
      <c r="HA4" s="926"/>
      <c r="HB4" s="926"/>
      <c r="HC4" s="926"/>
      <c r="HD4" s="926"/>
      <c r="HE4" s="926"/>
      <c r="HF4" s="926"/>
      <c r="HG4" s="926"/>
      <c r="HH4" s="926"/>
      <c r="HI4" s="926"/>
      <c r="HJ4" s="926"/>
      <c r="HK4" s="926"/>
      <c r="HL4" s="926"/>
      <c r="HM4" s="926"/>
      <c r="HN4" s="926"/>
      <c r="HO4" s="926"/>
      <c r="HP4" s="926"/>
      <c r="HQ4" s="926"/>
      <c r="HR4" s="926"/>
      <c r="HS4" s="926"/>
      <c r="HT4" s="926"/>
      <c r="HU4" s="926"/>
      <c r="HV4" s="926"/>
      <c r="HW4" s="926"/>
      <c r="HX4" s="926"/>
      <c r="HY4" s="926"/>
      <c r="HZ4" s="926"/>
      <c r="IA4" s="926"/>
      <c r="IB4" s="926"/>
      <c r="IC4" s="926"/>
      <c r="ID4" s="926"/>
      <c r="IE4" s="926"/>
      <c r="IF4" s="926"/>
      <c r="IG4" s="926"/>
      <c r="IH4" s="926"/>
      <c r="II4" s="926"/>
      <c r="IJ4" s="926"/>
      <c r="IK4" s="926"/>
      <c r="IL4" s="926"/>
      <c r="IM4" s="926"/>
    </row>
    <row r="5" spans="1:247" x14ac:dyDescent="0.45">
      <c r="A5" s="441">
        <v>1341</v>
      </c>
      <c r="B5" s="939" t="s">
        <v>2538</v>
      </c>
      <c r="C5" s="47" t="s">
        <v>88</v>
      </c>
      <c r="D5" s="449" t="s">
        <v>2537</v>
      </c>
      <c r="E5" s="946"/>
      <c r="F5" s="941">
        <f t="shared" si="0"/>
        <v>1.0209999999999999</v>
      </c>
      <c r="G5" s="947"/>
      <c r="H5" s="946"/>
      <c r="I5" s="948"/>
      <c r="J5" s="948"/>
      <c r="K5" s="948"/>
      <c r="L5" s="948"/>
      <c r="M5" s="948"/>
      <c r="N5" s="947"/>
      <c r="O5" s="949"/>
      <c r="P5" s="946"/>
      <c r="Q5" s="947"/>
      <c r="R5" s="950">
        <f t="shared" si="1"/>
        <v>1.0209999999999999</v>
      </c>
      <c r="S5" s="926"/>
      <c r="T5" s="926"/>
      <c r="U5" s="926"/>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row>
    <row r="6" spans="1:247" x14ac:dyDescent="0.45">
      <c r="A6" s="441">
        <v>1351</v>
      </c>
      <c r="B6" s="939" t="s">
        <v>2539</v>
      </c>
      <c r="C6" s="47" t="s">
        <v>302</v>
      </c>
      <c r="D6" s="449" t="s">
        <v>2540</v>
      </c>
      <c r="E6" s="946"/>
      <c r="F6" s="941">
        <f t="shared" si="0"/>
        <v>1.0209999999999999</v>
      </c>
      <c r="G6" s="947"/>
      <c r="H6" s="946"/>
      <c r="I6" s="948"/>
      <c r="J6" s="948"/>
      <c r="K6" s="948"/>
      <c r="L6" s="948"/>
      <c r="M6" s="948"/>
      <c r="N6" s="947"/>
      <c r="O6" s="949"/>
      <c r="P6" s="946"/>
      <c r="Q6" s="947"/>
      <c r="R6" s="950">
        <f t="shared" si="1"/>
        <v>1.0209999999999999</v>
      </c>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c r="AY6" s="926"/>
      <c r="AZ6" s="926"/>
      <c r="BA6" s="926"/>
      <c r="BB6" s="926"/>
      <c r="BC6" s="926"/>
      <c r="BD6" s="926"/>
      <c r="BE6" s="926"/>
      <c r="BF6" s="926"/>
      <c r="BG6" s="926"/>
      <c r="BH6" s="926"/>
      <c r="BI6" s="926"/>
      <c r="BJ6" s="926"/>
      <c r="BK6" s="926"/>
      <c r="BL6" s="926"/>
      <c r="BM6" s="926"/>
      <c r="BN6" s="926"/>
      <c r="BO6" s="926"/>
      <c r="BP6" s="926"/>
      <c r="BQ6" s="926"/>
      <c r="BR6" s="926"/>
      <c r="BS6" s="926"/>
      <c r="BT6" s="926"/>
      <c r="BU6" s="926"/>
      <c r="BV6" s="926"/>
      <c r="BW6" s="926"/>
      <c r="BX6" s="926"/>
      <c r="BY6" s="926"/>
      <c r="BZ6" s="926"/>
      <c r="CA6" s="926"/>
      <c r="CB6" s="926"/>
      <c r="CC6" s="926"/>
      <c r="CD6" s="926"/>
      <c r="CE6" s="926"/>
      <c r="CF6" s="926"/>
      <c r="CG6" s="926"/>
      <c r="CH6" s="926"/>
      <c r="CI6" s="926"/>
      <c r="CJ6" s="926"/>
      <c r="CK6" s="926"/>
      <c r="CL6" s="926"/>
      <c r="CM6" s="926"/>
      <c r="CN6" s="926"/>
      <c r="CO6" s="926"/>
      <c r="CP6" s="926"/>
      <c r="CQ6" s="926"/>
      <c r="CR6" s="926"/>
      <c r="CS6" s="926"/>
      <c r="CT6" s="926"/>
      <c r="CU6" s="926"/>
      <c r="CV6" s="926"/>
      <c r="CW6" s="926"/>
      <c r="CX6" s="926"/>
      <c r="CY6" s="926"/>
      <c r="CZ6" s="926"/>
      <c r="DA6" s="926"/>
      <c r="DB6" s="926"/>
      <c r="DC6" s="926"/>
      <c r="DD6" s="926"/>
      <c r="DE6" s="926"/>
      <c r="DF6" s="926"/>
      <c r="DG6" s="926"/>
      <c r="DH6" s="926"/>
      <c r="DI6" s="926"/>
      <c r="DJ6" s="926"/>
      <c r="DK6" s="926"/>
      <c r="DL6" s="926"/>
      <c r="DM6" s="926"/>
      <c r="DN6" s="926"/>
      <c r="DO6" s="926"/>
      <c r="DP6" s="926"/>
      <c r="DQ6" s="926"/>
      <c r="DR6" s="926"/>
      <c r="DS6" s="926"/>
      <c r="DT6" s="926"/>
      <c r="DU6" s="926"/>
      <c r="DV6" s="926"/>
      <c r="DW6" s="926"/>
      <c r="DX6" s="926"/>
      <c r="DY6" s="926"/>
      <c r="DZ6" s="926"/>
      <c r="EA6" s="926"/>
      <c r="EB6" s="926"/>
      <c r="EC6" s="926"/>
      <c r="ED6" s="926"/>
      <c r="EE6" s="926"/>
      <c r="EF6" s="926"/>
      <c r="EG6" s="926"/>
      <c r="EH6" s="926"/>
      <c r="EI6" s="926"/>
      <c r="EJ6" s="926"/>
      <c r="EK6" s="926"/>
      <c r="EL6" s="926"/>
      <c r="EM6" s="926"/>
      <c r="EN6" s="926"/>
      <c r="EO6" s="926"/>
      <c r="EP6" s="926"/>
      <c r="EQ6" s="926"/>
      <c r="ER6" s="926"/>
      <c r="ES6" s="926"/>
      <c r="ET6" s="926"/>
      <c r="EU6" s="926"/>
      <c r="EV6" s="926"/>
      <c r="EW6" s="926"/>
      <c r="EX6" s="926"/>
      <c r="EY6" s="926"/>
      <c r="EZ6" s="926"/>
      <c r="FA6" s="926"/>
      <c r="FB6" s="926"/>
      <c r="FC6" s="926"/>
      <c r="FD6" s="926"/>
      <c r="FE6" s="926"/>
      <c r="FF6" s="926"/>
      <c r="FG6" s="926"/>
      <c r="FH6" s="926"/>
      <c r="FI6" s="926"/>
      <c r="FJ6" s="926"/>
      <c r="FK6" s="926"/>
      <c r="FL6" s="926"/>
      <c r="FM6" s="926"/>
      <c r="FN6" s="926"/>
      <c r="FO6" s="926"/>
      <c r="FP6" s="926"/>
      <c r="FQ6" s="926"/>
      <c r="FR6" s="926"/>
      <c r="FS6" s="926"/>
      <c r="FT6" s="926"/>
      <c r="FU6" s="926"/>
      <c r="FV6" s="926"/>
      <c r="FW6" s="926"/>
      <c r="FX6" s="926"/>
      <c r="FY6" s="926"/>
      <c r="FZ6" s="926"/>
      <c r="GA6" s="926"/>
      <c r="GB6" s="926"/>
      <c r="GC6" s="926"/>
      <c r="GD6" s="926"/>
      <c r="GE6" s="926"/>
      <c r="GF6" s="926"/>
      <c r="GG6" s="926"/>
      <c r="GH6" s="926"/>
      <c r="GI6" s="926"/>
      <c r="GJ6" s="926"/>
      <c r="GK6" s="926"/>
      <c r="GL6" s="926"/>
      <c r="GM6" s="926"/>
      <c r="GN6" s="926"/>
      <c r="GO6" s="926"/>
      <c r="GP6" s="926"/>
      <c r="GQ6" s="926"/>
      <c r="GR6" s="926"/>
      <c r="GS6" s="926"/>
      <c r="GT6" s="926"/>
      <c r="GU6" s="926"/>
      <c r="GV6" s="926"/>
      <c r="GW6" s="926"/>
      <c r="GX6" s="926"/>
      <c r="GY6" s="926"/>
      <c r="GZ6" s="926"/>
      <c r="HA6" s="926"/>
      <c r="HB6" s="926"/>
      <c r="HC6" s="926"/>
      <c r="HD6" s="926"/>
      <c r="HE6" s="926"/>
      <c r="HF6" s="926"/>
      <c r="HG6" s="926"/>
      <c r="HH6" s="926"/>
      <c r="HI6" s="926"/>
      <c r="HJ6" s="926"/>
      <c r="HK6" s="926"/>
      <c r="HL6" s="926"/>
      <c r="HM6" s="926"/>
      <c r="HN6" s="926"/>
      <c r="HO6" s="926"/>
      <c r="HP6" s="926"/>
      <c r="HQ6" s="926"/>
      <c r="HR6" s="926"/>
      <c r="HS6" s="926"/>
      <c r="HT6" s="926"/>
      <c r="HU6" s="926"/>
      <c r="HV6" s="926"/>
      <c r="HW6" s="926"/>
      <c r="HX6" s="926"/>
      <c r="HY6" s="926"/>
      <c r="HZ6" s="926"/>
      <c r="IA6" s="926"/>
      <c r="IB6" s="926"/>
      <c r="IC6" s="926"/>
      <c r="ID6" s="926"/>
      <c r="IE6" s="926"/>
      <c r="IF6" s="926"/>
      <c r="IG6" s="926"/>
      <c r="IH6" s="926"/>
      <c r="II6" s="926"/>
      <c r="IJ6" s="926"/>
      <c r="IK6" s="926"/>
      <c r="IL6" s="926"/>
      <c r="IM6" s="926"/>
    </row>
    <row r="7" spans="1:247" x14ac:dyDescent="0.45">
      <c r="A7" s="441">
        <v>1362</v>
      </c>
      <c r="B7" s="939" t="s">
        <v>2541</v>
      </c>
      <c r="C7" s="47" t="s">
        <v>88</v>
      </c>
      <c r="D7" s="449" t="s">
        <v>2537</v>
      </c>
      <c r="E7" s="946"/>
      <c r="F7" s="941">
        <f t="shared" si="0"/>
        <v>1.0209999999999999</v>
      </c>
      <c r="G7" s="947"/>
      <c r="H7" s="946"/>
      <c r="I7" s="948"/>
      <c r="J7" s="948"/>
      <c r="K7" s="948"/>
      <c r="L7" s="948"/>
      <c r="M7" s="948"/>
      <c r="N7" s="947"/>
      <c r="O7" s="949"/>
      <c r="P7" s="946"/>
      <c r="Q7" s="947"/>
      <c r="R7" s="950">
        <f t="shared" si="1"/>
        <v>1.0209999999999999</v>
      </c>
      <c r="S7" s="926"/>
      <c r="T7" s="926"/>
      <c r="U7" s="926"/>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6"/>
      <c r="AV7" s="926"/>
      <c r="AW7" s="926"/>
      <c r="AX7" s="926"/>
      <c r="AY7" s="926"/>
      <c r="AZ7" s="926"/>
      <c r="BA7" s="926"/>
      <c r="BB7" s="926"/>
      <c r="BC7" s="926"/>
      <c r="BD7" s="926"/>
      <c r="BE7" s="926"/>
      <c r="BF7" s="926"/>
      <c r="BG7" s="926"/>
      <c r="BH7" s="926"/>
      <c r="BI7" s="926"/>
      <c r="BJ7" s="926"/>
      <c r="BK7" s="926"/>
      <c r="BL7" s="926"/>
      <c r="BM7" s="926"/>
      <c r="BN7" s="926"/>
      <c r="BO7" s="926"/>
      <c r="BP7" s="926"/>
      <c r="BQ7" s="926"/>
      <c r="BR7" s="926"/>
      <c r="BS7" s="926"/>
      <c r="BT7" s="926"/>
      <c r="BU7" s="926"/>
      <c r="BV7" s="926"/>
      <c r="BW7" s="926"/>
      <c r="BX7" s="926"/>
      <c r="BY7" s="926"/>
      <c r="BZ7" s="926"/>
      <c r="CA7" s="926"/>
      <c r="CB7" s="926"/>
      <c r="CC7" s="926"/>
      <c r="CD7" s="926"/>
      <c r="CE7" s="926"/>
      <c r="CF7" s="926"/>
      <c r="CG7" s="926"/>
      <c r="CH7" s="926"/>
      <c r="CI7" s="926"/>
      <c r="CJ7" s="926"/>
      <c r="CK7" s="926"/>
      <c r="CL7" s="926"/>
      <c r="CM7" s="926"/>
      <c r="CN7" s="926"/>
      <c r="CO7" s="926"/>
      <c r="CP7" s="926"/>
      <c r="CQ7" s="926"/>
      <c r="CR7" s="926"/>
      <c r="CS7" s="926"/>
      <c r="CT7" s="926"/>
      <c r="CU7" s="926"/>
      <c r="CV7" s="926"/>
      <c r="CW7" s="926"/>
      <c r="CX7" s="926"/>
      <c r="CY7" s="926"/>
      <c r="CZ7" s="926"/>
      <c r="DA7" s="926"/>
      <c r="DB7" s="926"/>
      <c r="DC7" s="926"/>
      <c r="DD7" s="926"/>
      <c r="DE7" s="926"/>
      <c r="DF7" s="926"/>
      <c r="DG7" s="926"/>
      <c r="DH7" s="926"/>
      <c r="DI7" s="926"/>
      <c r="DJ7" s="926"/>
      <c r="DK7" s="926"/>
      <c r="DL7" s="926"/>
      <c r="DM7" s="926"/>
      <c r="DN7" s="926"/>
      <c r="DO7" s="926"/>
      <c r="DP7" s="926"/>
      <c r="DQ7" s="926"/>
      <c r="DR7" s="926"/>
      <c r="DS7" s="926"/>
      <c r="DT7" s="926"/>
      <c r="DU7" s="926"/>
      <c r="DV7" s="926"/>
      <c r="DW7" s="926"/>
      <c r="DX7" s="926"/>
      <c r="DY7" s="926"/>
      <c r="DZ7" s="926"/>
      <c r="EA7" s="926"/>
      <c r="EB7" s="926"/>
      <c r="EC7" s="926"/>
      <c r="ED7" s="926"/>
      <c r="EE7" s="926"/>
      <c r="EF7" s="926"/>
      <c r="EG7" s="926"/>
      <c r="EH7" s="926"/>
      <c r="EI7" s="926"/>
      <c r="EJ7" s="926"/>
      <c r="EK7" s="926"/>
      <c r="EL7" s="926"/>
      <c r="EM7" s="926"/>
      <c r="EN7" s="926"/>
      <c r="EO7" s="926"/>
      <c r="EP7" s="926"/>
      <c r="EQ7" s="926"/>
      <c r="ER7" s="926"/>
      <c r="ES7" s="926"/>
      <c r="ET7" s="926"/>
      <c r="EU7" s="926"/>
      <c r="EV7" s="926"/>
      <c r="EW7" s="926"/>
      <c r="EX7" s="926"/>
      <c r="EY7" s="926"/>
      <c r="EZ7" s="926"/>
      <c r="FA7" s="926"/>
      <c r="FB7" s="926"/>
      <c r="FC7" s="926"/>
      <c r="FD7" s="926"/>
      <c r="FE7" s="926"/>
      <c r="FF7" s="926"/>
      <c r="FG7" s="926"/>
      <c r="FH7" s="926"/>
      <c r="FI7" s="926"/>
      <c r="FJ7" s="926"/>
      <c r="FK7" s="926"/>
      <c r="FL7" s="926"/>
      <c r="FM7" s="926"/>
      <c r="FN7" s="926"/>
      <c r="FO7" s="926"/>
      <c r="FP7" s="926"/>
      <c r="FQ7" s="926"/>
      <c r="FR7" s="926"/>
      <c r="FS7" s="926"/>
      <c r="FT7" s="926"/>
      <c r="FU7" s="926"/>
      <c r="FV7" s="926"/>
      <c r="FW7" s="926"/>
      <c r="FX7" s="926"/>
      <c r="FY7" s="926"/>
      <c r="FZ7" s="926"/>
      <c r="GA7" s="926"/>
      <c r="GB7" s="926"/>
      <c r="GC7" s="926"/>
      <c r="GD7" s="926"/>
      <c r="GE7" s="926"/>
      <c r="GF7" s="926"/>
      <c r="GG7" s="926"/>
      <c r="GH7" s="926"/>
      <c r="GI7" s="926"/>
      <c r="GJ7" s="926"/>
      <c r="GK7" s="926"/>
      <c r="GL7" s="926"/>
      <c r="GM7" s="926"/>
      <c r="GN7" s="926"/>
      <c r="GO7" s="926"/>
      <c r="GP7" s="926"/>
      <c r="GQ7" s="926"/>
      <c r="GR7" s="926"/>
      <c r="GS7" s="926"/>
      <c r="GT7" s="926"/>
      <c r="GU7" s="926"/>
      <c r="GV7" s="926"/>
      <c r="GW7" s="926"/>
      <c r="GX7" s="926"/>
      <c r="GY7" s="926"/>
      <c r="GZ7" s="926"/>
      <c r="HA7" s="926"/>
      <c r="HB7" s="926"/>
      <c r="HC7" s="926"/>
      <c r="HD7" s="926"/>
      <c r="HE7" s="926"/>
      <c r="HF7" s="926"/>
      <c r="HG7" s="926"/>
      <c r="HH7" s="926"/>
      <c r="HI7" s="926"/>
      <c r="HJ7" s="926"/>
      <c r="HK7" s="926"/>
      <c r="HL7" s="926"/>
      <c r="HM7" s="926"/>
      <c r="HN7" s="926"/>
      <c r="HO7" s="926"/>
      <c r="HP7" s="926"/>
      <c r="HQ7" s="926"/>
      <c r="HR7" s="926"/>
      <c r="HS7" s="926"/>
      <c r="HT7" s="926"/>
      <c r="HU7" s="926"/>
      <c r="HV7" s="926"/>
      <c r="HW7" s="926"/>
      <c r="HX7" s="926"/>
      <c r="HY7" s="926"/>
      <c r="HZ7" s="926"/>
      <c r="IA7" s="926"/>
      <c r="IB7" s="926"/>
      <c r="IC7" s="926"/>
      <c r="ID7" s="926"/>
      <c r="IE7" s="926"/>
      <c r="IF7" s="926"/>
      <c r="IG7" s="926"/>
      <c r="IH7" s="926"/>
      <c r="II7" s="926"/>
      <c r="IJ7" s="926"/>
      <c r="IK7" s="926"/>
      <c r="IL7" s="926"/>
      <c r="IM7" s="926"/>
    </row>
    <row r="8" spans="1:247" x14ac:dyDescent="0.45">
      <c r="A8" s="441">
        <v>1381</v>
      </c>
      <c r="B8" s="939" t="s">
        <v>2542</v>
      </c>
      <c r="C8" s="47" t="s">
        <v>88</v>
      </c>
      <c r="D8" s="449" t="s">
        <v>2537</v>
      </c>
      <c r="E8" s="946"/>
      <c r="F8" s="941">
        <f t="shared" si="0"/>
        <v>1.0209999999999999</v>
      </c>
      <c r="G8" s="947"/>
      <c r="H8" s="946"/>
      <c r="I8" s="948"/>
      <c r="J8" s="948"/>
      <c r="K8" s="948"/>
      <c r="L8" s="948"/>
      <c r="M8" s="948"/>
      <c r="N8" s="947"/>
      <c r="O8" s="949"/>
      <c r="P8" s="946"/>
      <c r="Q8" s="947"/>
      <c r="R8" s="950">
        <f t="shared" si="1"/>
        <v>1.0209999999999999</v>
      </c>
      <c r="S8" s="926"/>
      <c r="T8" s="926"/>
      <c r="U8" s="926"/>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6"/>
      <c r="AV8" s="926"/>
      <c r="AW8" s="926"/>
      <c r="AX8" s="926"/>
      <c r="AY8" s="926"/>
      <c r="AZ8" s="926"/>
      <c r="BA8" s="926"/>
      <c r="BB8" s="926"/>
      <c r="BC8" s="926"/>
      <c r="BD8" s="926"/>
      <c r="BE8" s="926"/>
      <c r="BF8" s="926"/>
      <c r="BG8" s="926"/>
      <c r="BH8" s="926"/>
      <c r="BI8" s="926"/>
      <c r="BJ8" s="926"/>
      <c r="BK8" s="926"/>
      <c r="BL8" s="926"/>
      <c r="BM8" s="926"/>
      <c r="BN8" s="926"/>
      <c r="BO8" s="926"/>
      <c r="BP8" s="926"/>
      <c r="BQ8" s="926"/>
      <c r="BR8" s="926"/>
      <c r="BS8" s="926"/>
      <c r="BT8" s="926"/>
      <c r="BU8" s="926"/>
      <c r="BV8" s="926"/>
      <c r="BW8" s="926"/>
      <c r="BX8" s="926"/>
      <c r="BY8" s="926"/>
      <c r="BZ8" s="926"/>
      <c r="CA8" s="926"/>
      <c r="CB8" s="926"/>
      <c r="CC8" s="926"/>
      <c r="CD8" s="926"/>
      <c r="CE8" s="926"/>
      <c r="CF8" s="926"/>
      <c r="CG8" s="926"/>
      <c r="CH8" s="926"/>
      <c r="CI8" s="926"/>
      <c r="CJ8" s="926"/>
      <c r="CK8" s="926"/>
      <c r="CL8" s="926"/>
      <c r="CM8" s="926"/>
      <c r="CN8" s="926"/>
      <c r="CO8" s="926"/>
      <c r="CP8" s="926"/>
      <c r="CQ8" s="926"/>
      <c r="CR8" s="926"/>
      <c r="CS8" s="926"/>
      <c r="CT8" s="926"/>
      <c r="CU8" s="926"/>
      <c r="CV8" s="926"/>
      <c r="CW8" s="926"/>
      <c r="CX8" s="926"/>
      <c r="CY8" s="926"/>
      <c r="CZ8" s="926"/>
      <c r="DA8" s="926"/>
      <c r="DB8" s="926"/>
      <c r="DC8" s="926"/>
      <c r="DD8" s="926"/>
      <c r="DE8" s="926"/>
      <c r="DF8" s="926"/>
      <c r="DG8" s="926"/>
      <c r="DH8" s="926"/>
      <c r="DI8" s="926"/>
      <c r="DJ8" s="926"/>
      <c r="DK8" s="926"/>
      <c r="DL8" s="926"/>
      <c r="DM8" s="926"/>
      <c r="DN8" s="926"/>
      <c r="DO8" s="926"/>
      <c r="DP8" s="926"/>
      <c r="DQ8" s="926"/>
      <c r="DR8" s="926"/>
      <c r="DS8" s="926"/>
      <c r="DT8" s="926"/>
      <c r="DU8" s="926"/>
      <c r="DV8" s="926"/>
      <c r="DW8" s="926"/>
      <c r="DX8" s="926"/>
      <c r="DY8" s="926"/>
      <c r="DZ8" s="926"/>
      <c r="EA8" s="926"/>
      <c r="EB8" s="926"/>
      <c r="EC8" s="926"/>
      <c r="ED8" s="926"/>
      <c r="EE8" s="926"/>
      <c r="EF8" s="926"/>
      <c r="EG8" s="926"/>
      <c r="EH8" s="926"/>
      <c r="EI8" s="926"/>
      <c r="EJ8" s="926"/>
      <c r="EK8" s="926"/>
      <c r="EL8" s="926"/>
      <c r="EM8" s="926"/>
      <c r="EN8" s="926"/>
      <c r="EO8" s="926"/>
      <c r="EP8" s="926"/>
      <c r="EQ8" s="926"/>
      <c r="ER8" s="926"/>
      <c r="ES8" s="926"/>
      <c r="ET8" s="926"/>
      <c r="EU8" s="926"/>
      <c r="EV8" s="926"/>
      <c r="EW8" s="926"/>
      <c r="EX8" s="926"/>
      <c r="EY8" s="926"/>
      <c r="EZ8" s="926"/>
      <c r="FA8" s="926"/>
      <c r="FB8" s="926"/>
      <c r="FC8" s="926"/>
      <c r="FD8" s="926"/>
      <c r="FE8" s="926"/>
      <c r="FF8" s="926"/>
      <c r="FG8" s="926"/>
      <c r="FH8" s="926"/>
      <c r="FI8" s="926"/>
      <c r="FJ8" s="926"/>
      <c r="FK8" s="926"/>
      <c r="FL8" s="926"/>
      <c r="FM8" s="926"/>
      <c r="FN8" s="926"/>
      <c r="FO8" s="926"/>
      <c r="FP8" s="926"/>
      <c r="FQ8" s="926"/>
      <c r="FR8" s="926"/>
      <c r="FS8" s="926"/>
      <c r="FT8" s="926"/>
      <c r="FU8" s="926"/>
      <c r="FV8" s="926"/>
      <c r="FW8" s="926"/>
      <c r="FX8" s="926"/>
      <c r="FY8" s="926"/>
      <c r="FZ8" s="926"/>
      <c r="GA8" s="926"/>
      <c r="GB8" s="926"/>
      <c r="GC8" s="926"/>
      <c r="GD8" s="926"/>
      <c r="GE8" s="926"/>
      <c r="GF8" s="926"/>
      <c r="GG8" s="926"/>
      <c r="GH8" s="926"/>
      <c r="GI8" s="926"/>
      <c r="GJ8" s="926"/>
      <c r="GK8" s="926"/>
      <c r="GL8" s="926"/>
      <c r="GM8" s="926"/>
      <c r="GN8" s="926"/>
      <c r="GO8" s="926"/>
      <c r="GP8" s="926"/>
      <c r="GQ8" s="926"/>
      <c r="GR8" s="926"/>
      <c r="GS8" s="926"/>
      <c r="GT8" s="926"/>
      <c r="GU8" s="926"/>
      <c r="GV8" s="926"/>
      <c r="GW8" s="926"/>
      <c r="GX8" s="926"/>
      <c r="GY8" s="926"/>
      <c r="GZ8" s="926"/>
      <c r="HA8" s="926"/>
      <c r="HB8" s="926"/>
      <c r="HC8" s="926"/>
      <c r="HD8" s="926"/>
      <c r="HE8" s="926"/>
      <c r="HF8" s="926"/>
      <c r="HG8" s="926"/>
      <c r="HH8" s="926"/>
      <c r="HI8" s="926"/>
      <c r="HJ8" s="926"/>
      <c r="HK8" s="926"/>
      <c r="HL8" s="926"/>
      <c r="HM8" s="926"/>
      <c r="HN8" s="926"/>
      <c r="HO8" s="926"/>
      <c r="HP8" s="926"/>
      <c r="HQ8" s="926"/>
      <c r="HR8" s="926"/>
      <c r="HS8" s="926"/>
      <c r="HT8" s="926"/>
      <c r="HU8" s="926"/>
      <c r="HV8" s="926"/>
      <c r="HW8" s="926"/>
      <c r="HX8" s="926"/>
      <c r="HY8" s="926"/>
      <c r="HZ8" s="926"/>
      <c r="IA8" s="926"/>
      <c r="IB8" s="926"/>
      <c r="IC8" s="926"/>
      <c r="ID8" s="926"/>
      <c r="IE8" s="926"/>
      <c r="IF8" s="926"/>
      <c r="IG8" s="926"/>
      <c r="IH8" s="926"/>
      <c r="II8" s="926"/>
      <c r="IJ8" s="926"/>
      <c r="IK8" s="926"/>
      <c r="IL8" s="926"/>
      <c r="IM8" s="926"/>
    </row>
    <row r="9" spans="1:247" x14ac:dyDescent="0.45">
      <c r="A9" s="441">
        <v>1422</v>
      </c>
      <c r="B9" s="939" t="s">
        <v>2543</v>
      </c>
      <c r="C9" s="47" t="s">
        <v>88</v>
      </c>
      <c r="D9" s="449" t="s">
        <v>2537</v>
      </c>
      <c r="E9" s="946"/>
      <c r="F9" s="941">
        <f t="shared" si="0"/>
        <v>1.0209999999999999</v>
      </c>
      <c r="G9" s="947"/>
      <c r="H9" s="946"/>
      <c r="I9" s="948"/>
      <c r="J9" s="948"/>
      <c r="K9" s="948"/>
      <c r="L9" s="948"/>
      <c r="M9" s="948"/>
      <c r="N9" s="947"/>
      <c r="O9" s="949"/>
      <c r="P9" s="946"/>
      <c r="Q9" s="947"/>
      <c r="R9" s="950">
        <f t="shared" si="1"/>
        <v>1.0209999999999999</v>
      </c>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6"/>
      <c r="BQ9" s="926"/>
      <c r="BR9" s="926"/>
      <c r="BS9" s="926"/>
      <c r="BT9" s="926"/>
      <c r="BU9" s="926"/>
      <c r="BV9" s="926"/>
      <c r="BW9" s="926"/>
      <c r="BX9" s="926"/>
      <c r="BY9" s="926"/>
      <c r="BZ9" s="926"/>
      <c r="CA9" s="926"/>
      <c r="CB9" s="926"/>
      <c r="CC9" s="926"/>
      <c r="CD9" s="926"/>
      <c r="CE9" s="926"/>
      <c r="CF9" s="926"/>
      <c r="CG9" s="926"/>
      <c r="CH9" s="926"/>
      <c r="CI9" s="926"/>
      <c r="CJ9" s="926"/>
      <c r="CK9" s="926"/>
      <c r="CL9" s="926"/>
      <c r="CM9" s="926"/>
      <c r="CN9" s="926"/>
      <c r="CO9" s="926"/>
      <c r="CP9" s="926"/>
      <c r="CQ9" s="926"/>
      <c r="CR9" s="926"/>
      <c r="CS9" s="926"/>
      <c r="CT9" s="926"/>
      <c r="CU9" s="926"/>
      <c r="CV9" s="926"/>
      <c r="CW9" s="926"/>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926"/>
      <c r="EK9" s="926"/>
      <c r="EL9" s="926"/>
      <c r="EM9" s="926"/>
      <c r="EN9" s="926"/>
      <c r="EO9" s="926"/>
      <c r="EP9" s="926"/>
      <c r="EQ9" s="926"/>
      <c r="ER9" s="926"/>
      <c r="ES9" s="926"/>
      <c r="ET9" s="926"/>
      <c r="EU9" s="926"/>
      <c r="EV9" s="926"/>
      <c r="EW9" s="926"/>
      <c r="EX9" s="926"/>
      <c r="EY9" s="926"/>
      <c r="EZ9" s="926"/>
      <c r="FA9" s="926"/>
      <c r="FB9" s="926"/>
      <c r="FC9" s="926"/>
      <c r="FD9" s="926"/>
      <c r="FE9" s="926"/>
      <c r="FF9" s="926"/>
      <c r="FG9" s="926"/>
      <c r="FH9" s="926"/>
      <c r="FI9" s="926"/>
      <c r="FJ9" s="926"/>
      <c r="FK9" s="926"/>
      <c r="FL9" s="926"/>
      <c r="FM9" s="926"/>
      <c r="FN9" s="926"/>
      <c r="FO9" s="926"/>
      <c r="FP9" s="926"/>
      <c r="FQ9" s="926"/>
      <c r="FR9" s="926"/>
      <c r="FS9" s="926"/>
      <c r="FT9" s="926"/>
      <c r="FU9" s="926"/>
      <c r="FV9" s="926"/>
      <c r="FW9" s="926"/>
      <c r="FX9" s="926"/>
      <c r="FY9" s="926"/>
      <c r="FZ9" s="926"/>
      <c r="GA9" s="926"/>
      <c r="GB9" s="926"/>
      <c r="GC9" s="926"/>
      <c r="GD9" s="926"/>
      <c r="GE9" s="926"/>
      <c r="GF9" s="926"/>
      <c r="GG9" s="926"/>
      <c r="GH9" s="926"/>
      <c r="GI9" s="926"/>
      <c r="GJ9" s="926"/>
      <c r="GK9" s="926"/>
      <c r="GL9" s="926"/>
      <c r="GM9" s="926"/>
      <c r="GN9" s="926"/>
      <c r="GO9" s="926"/>
      <c r="GP9" s="926"/>
      <c r="GQ9" s="926"/>
      <c r="GR9" s="926"/>
      <c r="GS9" s="926"/>
      <c r="GT9" s="926"/>
      <c r="GU9" s="926"/>
      <c r="GV9" s="926"/>
      <c r="GW9" s="926"/>
      <c r="GX9" s="926"/>
      <c r="GY9" s="926"/>
      <c r="GZ9" s="926"/>
      <c r="HA9" s="926"/>
      <c r="HB9" s="926"/>
      <c r="HC9" s="926"/>
      <c r="HD9" s="926"/>
      <c r="HE9" s="926"/>
      <c r="HF9" s="926"/>
      <c r="HG9" s="926"/>
      <c r="HH9" s="926"/>
      <c r="HI9" s="926"/>
      <c r="HJ9" s="926"/>
      <c r="HK9" s="926"/>
      <c r="HL9" s="926"/>
      <c r="HM9" s="926"/>
      <c r="HN9" s="926"/>
      <c r="HO9" s="926"/>
      <c r="HP9" s="926"/>
      <c r="HQ9" s="926"/>
      <c r="HR9" s="926"/>
      <c r="HS9" s="926"/>
      <c r="HT9" s="926"/>
      <c r="HU9" s="926"/>
      <c r="HV9" s="926"/>
      <c r="HW9" s="926"/>
      <c r="HX9" s="926"/>
      <c r="HY9" s="926"/>
      <c r="HZ9" s="926"/>
      <c r="IA9" s="926"/>
      <c r="IB9" s="926"/>
      <c r="IC9" s="926"/>
      <c r="ID9" s="926"/>
      <c r="IE9" s="926"/>
      <c r="IF9" s="926"/>
      <c r="IG9" s="926"/>
      <c r="IH9" s="926"/>
      <c r="II9" s="926"/>
      <c r="IJ9" s="926"/>
      <c r="IK9" s="926"/>
      <c r="IL9" s="926"/>
      <c r="IM9" s="926"/>
    </row>
    <row r="10" spans="1:247" x14ac:dyDescent="0.45">
      <c r="A10" s="441">
        <v>1431</v>
      </c>
      <c r="B10" s="939" t="s">
        <v>2544</v>
      </c>
      <c r="C10" s="47" t="s">
        <v>35</v>
      </c>
      <c r="D10" s="449" t="s">
        <v>2545</v>
      </c>
      <c r="E10" s="946">
        <f t="shared" ref="E10:E16" si="2">+$E$3</f>
        <v>1.0740000000000001</v>
      </c>
      <c r="F10" s="941">
        <f t="shared" si="0"/>
        <v>1.0209999999999999</v>
      </c>
      <c r="G10" s="947">
        <f t="shared" ref="G10:G17" si="3">+$G$3</f>
        <v>1.0269999999999999</v>
      </c>
      <c r="H10" s="946">
        <f>+$H$3</f>
        <v>1.0029999999999999</v>
      </c>
      <c r="I10" s="948">
        <f>+$I$3</f>
        <v>1.0289999999999999</v>
      </c>
      <c r="J10" s="948">
        <f>+$J$3</f>
        <v>1.0049999999999999</v>
      </c>
      <c r="K10" s="948">
        <f>+$K$3</f>
        <v>1.026</v>
      </c>
      <c r="L10" s="948">
        <f>+$L$3</f>
        <v>1.0129999999999999</v>
      </c>
      <c r="M10" s="948">
        <f>+$M$3</f>
        <v>1.0029999999999999</v>
      </c>
      <c r="N10" s="947">
        <f>+$N$3</f>
        <v>1.0029999999999999</v>
      </c>
      <c r="O10" s="949">
        <f>+$O$3</f>
        <v>1.0209999999999999</v>
      </c>
      <c r="P10" s="946">
        <f t="shared" ref="P10:P17" si="4">+$P$3</f>
        <v>1.032</v>
      </c>
      <c r="Q10" s="947">
        <f t="shared" ref="Q10:Q17" si="5">+$Q$3</f>
        <v>1.0349999999999999</v>
      </c>
      <c r="R10" s="950">
        <f t="shared" si="1"/>
        <v>1.3319480854780448</v>
      </c>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I10" s="926"/>
      <c r="BJ10" s="926"/>
      <c r="BK10" s="926"/>
      <c r="BL10" s="926"/>
      <c r="BM10" s="926"/>
      <c r="BN10" s="926"/>
      <c r="BO10" s="926"/>
      <c r="BP10" s="926"/>
      <c r="BQ10" s="926"/>
      <c r="BR10" s="926"/>
      <c r="BS10" s="926"/>
      <c r="BT10" s="926"/>
      <c r="BU10" s="926"/>
      <c r="BV10" s="926"/>
      <c r="BW10" s="926"/>
      <c r="BX10" s="926"/>
      <c r="BY10" s="926"/>
      <c r="BZ10" s="926"/>
      <c r="CA10" s="926"/>
      <c r="CB10" s="926"/>
      <c r="CC10" s="926"/>
      <c r="CD10" s="926"/>
      <c r="CE10" s="926"/>
      <c r="CF10" s="926"/>
      <c r="CG10" s="926"/>
      <c r="CH10" s="926"/>
      <c r="CI10" s="926"/>
      <c r="CJ10" s="926"/>
      <c r="CK10" s="926"/>
      <c r="CL10" s="926"/>
      <c r="CM10" s="926"/>
      <c r="CN10" s="926"/>
      <c r="CO10" s="926"/>
      <c r="CP10" s="926"/>
      <c r="CQ10" s="926"/>
      <c r="CR10" s="926"/>
      <c r="CS10" s="926"/>
      <c r="CT10" s="926"/>
      <c r="CU10" s="926"/>
      <c r="CV10" s="926"/>
      <c r="CW10" s="926"/>
      <c r="CX10" s="926"/>
      <c r="CY10" s="926"/>
      <c r="CZ10" s="926"/>
      <c r="DA10" s="926"/>
      <c r="DB10" s="926"/>
      <c r="DC10" s="926"/>
      <c r="DD10" s="926"/>
      <c r="DE10" s="926"/>
      <c r="DF10" s="926"/>
      <c r="DG10" s="926"/>
      <c r="DH10" s="926"/>
      <c r="DI10" s="926"/>
      <c r="DJ10" s="926"/>
      <c r="DK10" s="926"/>
      <c r="DL10" s="926"/>
      <c r="DM10" s="926"/>
      <c r="DN10" s="926"/>
      <c r="DO10" s="926"/>
      <c r="DP10" s="926"/>
      <c r="DQ10" s="926"/>
      <c r="DR10" s="926"/>
      <c r="DS10" s="926"/>
      <c r="DT10" s="926"/>
      <c r="DU10" s="926"/>
      <c r="DV10" s="926"/>
      <c r="DW10" s="926"/>
      <c r="DX10" s="926"/>
      <c r="DY10" s="926"/>
      <c r="DZ10" s="926"/>
      <c r="EA10" s="926"/>
      <c r="EB10" s="926"/>
      <c r="EC10" s="926"/>
      <c r="ED10" s="926"/>
      <c r="EE10" s="926"/>
      <c r="EF10" s="926"/>
      <c r="EG10" s="926"/>
      <c r="EH10" s="926"/>
      <c r="EI10" s="926"/>
      <c r="EJ10" s="926"/>
      <c r="EK10" s="926"/>
      <c r="EL10" s="926"/>
      <c r="EM10" s="926"/>
      <c r="EN10" s="926"/>
      <c r="EO10" s="926"/>
      <c r="EP10" s="926"/>
      <c r="EQ10" s="926"/>
      <c r="ER10" s="926"/>
      <c r="ES10" s="926"/>
      <c r="ET10" s="926"/>
      <c r="EU10" s="926"/>
      <c r="EV10" s="926"/>
      <c r="EW10" s="926"/>
      <c r="EX10" s="926"/>
      <c r="EY10" s="926"/>
      <c r="EZ10" s="926"/>
      <c r="FA10" s="926"/>
      <c r="FB10" s="926"/>
      <c r="FC10" s="926"/>
      <c r="FD10" s="926"/>
      <c r="FE10" s="926"/>
      <c r="FF10" s="926"/>
      <c r="FG10" s="926"/>
      <c r="FH10" s="926"/>
      <c r="FI10" s="926"/>
      <c r="FJ10" s="926"/>
      <c r="FK10" s="926"/>
      <c r="FL10" s="926"/>
      <c r="FM10" s="926"/>
      <c r="FN10" s="926"/>
      <c r="FO10" s="926"/>
      <c r="FP10" s="926"/>
      <c r="FQ10" s="926"/>
      <c r="FR10" s="926"/>
      <c r="FS10" s="926"/>
      <c r="FT10" s="926"/>
      <c r="FU10" s="926"/>
      <c r="FV10" s="926"/>
      <c r="FW10" s="926"/>
      <c r="FX10" s="926"/>
      <c r="FY10" s="926"/>
      <c r="FZ10" s="926"/>
      <c r="GA10" s="926"/>
      <c r="GB10" s="926"/>
      <c r="GC10" s="926"/>
      <c r="GD10" s="926"/>
      <c r="GE10" s="926"/>
      <c r="GF10" s="926"/>
      <c r="GG10" s="926"/>
      <c r="GH10" s="926"/>
      <c r="GI10" s="926"/>
      <c r="GJ10" s="926"/>
      <c r="GK10" s="926"/>
      <c r="GL10" s="926"/>
      <c r="GM10" s="926"/>
      <c r="GN10" s="926"/>
      <c r="GO10" s="926"/>
      <c r="GP10" s="926"/>
      <c r="GQ10" s="926"/>
      <c r="GR10" s="926"/>
      <c r="GS10" s="926"/>
      <c r="GT10" s="926"/>
      <c r="GU10" s="926"/>
      <c r="GV10" s="926"/>
      <c r="GW10" s="926"/>
      <c r="GX10" s="926"/>
      <c r="GY10" s="926"/>
      <c r="GZ10" s="926"/>
      <c r="HA10" s="926"/>
      <c r="HB10" s="926"/>
      <c r="HC10" s="926"/>
      <c r="HD10" s="926"/>
      <c r="HE10" s="926"/>
      <c r="HF10" s="926"/>
      <c r="HG10" s="926"/>
      <c r="HH10" s="926"/>
      <c r="HI10" s="926"/>
      <c r="HJ10" s="926"/>
      <c r="HK10" s="926"/>
      <c r="HL10" s="926"/>
      <c r="HM10" s="926"/>
      <c r="HN10" s="926"/>
      <c r="HO10" s="926"/>
      <c r="HP10" s="926"/>
      <c r="HQ10" s="926"/>
      <c r="HR10" s="926"/>
      <c r="HS10" s="926"/>
      <c r="HT10" s="926"/>
      <c r="HU10" s="926"/>
      <c r="HV10" s="926"/>
      <c r="HW10" s="926"/>
      <c r="HX10" s="926"/>
      <c r="HY10" s="926"/>
      <c r="HZ10" s="926"/>
      <c r="IA10" s="926"/>
      <c r="IB10" s="926"/>
      <c r="IC10" s="926"/>
      <c r="ID10" s="926"/>
      <c r="IE10" s="926"/>
      <c r="IF10" s="926"/>
      <c r="IG10" s="926"/>
      <c r="IH10" s="926"/>
      <c r="II10" s="926"/>
      <c r="IJ10" s="926"/>
      <c r="IK10" s="926"/>
      <c r="IL10" s="926"/>
      <c r="IM10" s="926"/>
    </row>
    <row r="11" spans="1:247" x14ac:dyDescent="0.45">
      <c r="A11" s="441">
        <v>1441</v>
      </c>
      <c r="B11" s="939" t="s">
        <v>2546</v>
      </c>
      <c r="C11" s="47" t="s">
        <v>35</v>
      </c>
      <c r="D11" s="449" t="s">
        <v>2545</v>
      </c>
      <c r="E11" s="946">
        <f t="shared" si="2"/>
        <v>1.0740000000000001</v>
      </c>
      <c r="F11" s="941">
        <f t="shared" si="0"/>
        <v>1.0209999999999999</v>
      </c>
      <c r="G11" s="947">
        <f t="shared" si="3"/>
        <v>1.0269999999999999</v>
      </c>
      <c r="H11" s="946">
        <f>+$H$3</f>
        <v>1.0029999999999999</v>
      </c>
      <c r="I11" s="948">
        <f>+$I$3</f>
        <v>1.0289999999999999</v>
      </c>
      <c r="J11" s="948">
        <f>+$J$3</f>
        <v>1.0049999999999999</v>
      </c>
      <c r="K11" s="948">
        <f>+$K$3</f>
        <v>1.026</v>
      </c>
      <c r="L11" s="948">
        <f>+$L$3</f>
        <v>1.0129999999999999</v>
      </c>
      <c r="M11" s="948">
        <f>+$M$3</f>
        <v>1.0029999999999999</v>
      </c>
      <c r="N11" s="947">
        <f>+$N$3</f>
        <v>1.0029999999999999</v>
      </c>
      <c r="O11" s="949">
        <f>+$O$3</f>
        <v>1.0209999999999999</v>
      </c>
      <c r="P11" s="946">
        <f t="shared" si="4"/>
        <v>1.032</v>
      </c>
      <c r="Q11" s="947">
        <f t="shared" si="5"/>
        <v>1.0349999999999999</v>
      </c>
      <c r="R11" s="950">
        <f t="shared" si="1"/>
        <v>1.3319480854780448</v>
      </c>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row>
    <row r="12" spans="1:247" x14ac:dyDescent="0.45">
      <c r="A12" s="441">
        <v>1442</v>
      </c>
      <c r="B12" s="939" t="s">
        <v>2547</v>
      </c>
      <c r="C12" s="47" t="s">
        <v>35</v>
      </c>
      <c r="D12" s="449" t="s">
        <v>2545</v>
      </c>
      <c r="E12" s="946">
        <f t="shared" si="2"/>
        <v>1.0740000000000001</v>
      </c>
      <c r="F12" s="941">
        <f t="shared" si="0"/>
        <v>1.0209999999999999</v>
      </c>
      <c r="G12" s="947">
        <f t="shared" si="3"/>
        <v>1.0269999999999999</v>
      </c>
      <c r="H12" s="946">
        <f>+$H$3</f>
        <v>1.0029999999999999</v>
      </c>
      <c r="I12" s="948">
        <f>+$I$3</f>
        <v>1.0289999999999999</v>
      </c>
      <c r="J12" s="948">
        <f>+$J$3</f>
        <v>1.0049999999999999</v>
      </c>
      <c r="K12" s="948">
        <f>+$K$3</f>
        <v>1.026</v>
      </c>
      <c r="L12" s="948">
        <f>+$L$3</f>
        <v>1.0129999999999999</v>
      </c>
      <c r="M12" s="948">
        <f>+$M$3</f>
        <v>1.0029999999999999</v>
      </c>
      <c r="N12" s="947">
        <f>+$N$3</f>
        <v>1.0029999999999999</v>
      </c>
      <c r="O12" s="949">
        <f>+$O$3</f>
        <v>1.0209999999999999</v>
      </c>
      <c r="P12" s="946">
        <f t="shared" si="4"/>
        <v>1.032</v>
      </c>
      <c r="Q12" s="947">
        <f t="shared" si="5"/>
        <v>1.0349999999999999</v>
      </c>
      <c r="R12" s="950">
        <f t="shared" si="1"/>
        <v>1.3319480854780448</v>
      </c>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c r="BA12" s="926"/>
      <c r="BB12" s="926"/>
      <c r="BC12" s="926"/>
      <c r="BD12" s="926"/>
      <c r="BE12" s="926"/>
      <c r="BF12" s="926"/>
      <c r="BG12" s="926"/>
      <c r="BH12" s="926"/>
      <c r="BI12" s="926"/>
      <c r="BJ12" s="926"/>
      <c r="BK12" s="926"/>
      <c r="BL12" s="926"/>
      <c r="BM12" s="926"/>
      <c r="BN12" s="926"/>
      <c r="BO12" s="926"/>
      <c r="BP12" s="926"/>
      <c r="BQ12" s="926"/>
      <c r="BR12" s="926"/>
      <c r="BS12" s="926"/>
      <c r="BT12" s="926"/>
      <c r="BU12" s="926"/>
      <c r="BV12" s="926"/>
      <c r="BW12" s="926"/>
      <c r="BX12" s="926"/>
      <c r="BY12" s="926"/>
      <c r="BZ12" s="926"/>
      <c r="CA12" s="926"/>
      <c r="CB12" s="926"/>
      <c r="CC12" s="926"/>
      <c r="CD12" s="926"/>
      <c r="CE12" s="926"/>
      <c r="CF12" s="926"/>
      <c r="CG12" s="926"/>
      <c r="CH12" s="926"/>
      <c r="CI12" s="926"/>
      <c r="CJ12" s="926"/>
      <c r="CK12" s="926"/>
      <c r="CL12" s="926"/>
      <c r="CM12" s="926"/>
      <c r="CN12" s="926"/>
      <c r="CO12" s="926"/>
      <c r="CP12" s="926"/>
      <c r="CQ12" s="926"/>
      <c r="CR12" s="926"/>
      <c r="CS12" s="926"/>
      <c r="CT12" s="926"/>
      <c r="CU12" s="926"/>
      <c r="CV12" s="926"/>
      <c r="CW12" s="926"/>
      <c r="CX12" s="926"/>
      <c r="CY12" s="926"/>
      <c r="CZ12" s="926"/>
      <c r="DA12" s="926"/>
      <c r="DB12" s="926"/>
      <c r="DC12" s="926"/>
      <c r="DD12" s="926"/>
      <c r="DE12" s="926"/>
      <c r="DF12" s="926"/>
      <c r="DG12" s="926"/>
      <c r="DH12" s="926"/>
      <c r="DI12" s="926"/>
      <c r="DJ12" s="926"/>
      <c r="DK12" s="926"/>
      <c r="DL12" s="926"/>
      <c r="DM12" s="926"/>
      <c r="DN12" s="926"/>
      <c r="DO12" s="926"/>
      <c r="DP12" s="926"/>
      <c r="DQ12" s="926"/>
      <c r="DR12" s="926"/>
      <c r="DS12" s="926"/>
      <c r="DT12" s="926"/>
      <c r="DU12" s="926"/>
      <c r="DV12" s="926"/>
      <c r="DW12" s="926"/>
      <c r="DX12" s="926"/>
      <c r="DY12" s="926"/>
      <c r="DZ12" s="926"/>
      <c r="EA12" s="926"/>
      <c r="EB12" s="926"/>
      <c r="EC12" s="926"/>
      <c r="ED12" s="926"/>
      <c r="EE12" s="926"/>
      <c r="EF12" s="926"/>
      <c r="EG12" s="926"/>
      <c r="EH12" s="926"/>
      <c r="EI12" s="926"/>
      <c r="EJ12" s="926"/>
      <c r="EK12" s="926"/>
      <c r="EL12" s="926"/>
      <c r="EM12" s="926"/>
      <c r="EN12" s="926"/>
      <c r="EO12" s="926"/>
      <c r="EP12" s="926"/>
      <c r="EQ12" s="926"/>
      <c r="ER12" s="926"/>
      <c r="ES12" s="926"/>
      <c r="ET12" s="926"/>
      <c r="EU12" s="926"/>
      <c r="EV12" s="926"/>
      <c r="EW12" s="926"/>
      <c r="EX12" s="926"/>
      <c r="EY12" s="926"/>
      <c r="EZ12" s="926"/>
      <c r="FA12" s="926"/>
      <c r="FB12" s="926"/>
      <c r="FC12" s="926"/>
      <c r="FD12" s="926"/>
      <c r="FE12" s="926"/>
      <c r="FF12" s="926"/>
      <c r="FG12" s="926"/>
      <c r="FH12" s="926"/>
      <c r="FI12" s="926"/>
      <c r="FJ12" s="926"/>
      <c r="FK12" s="926"/>
      <c r="FL12" s="926"/>
      <c r="FM12" s="926"/>
      <c r="FN12" s="926"/>
      <c r="FO12" s="926"/>
      <c r="FP12" s="926"/>
      <c r="FQ12" s="926"/>
      <c r="FR12" s="926"/>
      <c r="FS12" s="926"/>
      <c r="FT12" s="926"/>
      <c r="FU12" s="926"/>
      <c r="FV12" s="926"/>
      <c r="FW12" s="926"/>
      <c r="FX12" s="926"/>
      <c r="FY12" s="926"/>
      <c r="FZ12" s="926"/>
      <c r="GA12" s="926"/>
      <c r="GB12" s="926"/>
      <c r="GC12" s="926"/>
      <c r="GD12" s="926"/>
      <c r="GE12" s="926"/>
      <c r="GF12" s="926"/>
      <c r="GG12" s="926"/>
      <c r="GH12" s="926"/>
      <c r="GI12" s="926"/>
      <c r="GJ12" s="926"/>
      <c r="GK12" s="926"/>
      <c r="GL12" s="926"/>
      <c r="GM12" s="926"/>
      <c r="GN12" s="926"/>
      <c r="GO12" s="926"/>
      <c r="GP12" s="926"/>
      <c r="GQ12" s="926"/>
      <c r="GR12" s="926"/>
      <c r="GS12" s="926"/>
      <c r="GT12" s="926"/>
      <c r="GU12" s="926"/>
      <c r="GV12" s="926"/>
      <c r="GW12" s="926"/>
      <c r="GX12" s="926"/>
      <c r="GY12" s="926"/>
      <c r="GZ12" s="926"/>
      <c r="HA12" s="926"/>
      <c r="HB12" s="926"/>
      <c r="HC12" s="926"/>
      <c r="HD12" s="926"/>
      <c r="HE12" s="926"/>
      <c r="HF12" s="926"/>
      <c r="HG12" s="926"/>
      <c r="HH12" s="926"/>
      <c r="HI12" s="926"/>
      <c r="HJ12" s="926"/>
      <c r="HK12" s="926"/>
      <c r="HL12" s="926"/>
      <c r="HM12" s="926"/>
      <c r="HN12" s="926"/>
      <c r="HO12" s="926"/>
      <c r="HP12" s="926"/>
      <c r="HQ12" s="926"/>
      <c r="HR12" s="926"/>
      <c r="HS12" s="926"/>
      <c r="HT12" s="926"/>
      <c r="HU12" s="926"/>
      <c r="HV12" s="926"/>
      <c r="HW12" s="926"/>
      <c r="HX12" s="926"/>
      <c r="HY12" s="926"/>
      <c r="HZ12" s="926"/>
      <c r="IA12" s="926"/>
      <c r="IB12" s="926"/>
      <c r="IC12" s="926"/>
      <c r="ID12" s="926"/>
      <c r="IE12" s="926"/>
      <c r="IF12" s="926"/>
      <c r="IG12" s="926"/>
      <c r="IH12" s="926"/>
      <c r="II12" s="926"/>
      <c r="IJ12" s="926"/>
      <c r="IK12" s="926"/>
      <c r="IL12" s="926"/>
      <c r="IM12" s="926"/>
    </row>
    <row r="13" spans="1:247" x14ac:dyDescent="0.45">
      <c r="A13" s="441">
        <v>1443</v>
      </c>
      <c r="B13" s="939" t="s">
        <v>2548</v>
      </c>
      <c r="C13" s="47" t="s">
        <v>35</v>
      </c>
      <c r="D13" s="449" t="s">
        <v>2545</v>
      </c>
      <c r="E13" s="946">
        <f t="shared" si="2"/>
        <v>1.0740000000000001</v>
      </c>
      <c r="F13" s="941">
        <f t="shared" si="0"/>
        <v>1.0209999999999999</v>
      </c>
      <c r="G13" s="947">
        <f t="shared" si="3"/>
        <v>1.0269999999999999</v>
      </c>
      <c r="H13" s="946">
        <f>+$H$3</f>
        <v>1.0029999999999999</v>
      </c>
      <c r="I13" s="948">
        <f>+$I$3</f>
        <v>1.0289999999999999</v>
      </c>
      <c r="J13" s="948">
        <f>+$J$3</f>
        <v>1.0049999999999999</v>
      </c>
      <c r="K13" s="948"/>
      <c r="L13" s="948"/>
      <c r="M13" s="948">
        <f>+$M$3</f>
        <v>1.0029999999999999</v>
      </c>
      <c r="N13" s="947">
        <f>+$N$3</f>
        <v>1.0029999999999999</v>
      </c>
      <c r="O13" s="949"/>
      <c r="P13" s="946">
        <f t="shared" si="4"/>
        <v>1.032</v>
      </c>
      <c r="Q13" s="947">
        <f t="shared" si="5"/>
        <v>1.0349999999999999</v>
      </c>
      <c r="R13" s="950">
        <f t="shared" si="1"/>
        <v>1.2551763558420395</v>
      </c>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AV13" s="926"/>
      <c r="AW13" s="926"/>
      <c r="AX13" s="926"/>
      <c r="AY13" s="926"/>
      <c r="AZ13" s="926"/>
      <c r="BA13" s="926"/>
      <c r="BB13" s="926"/>
      <c r="BC13" s="926"/>
      <c r="BD13" s="926"/>
      <c r="BE13" s="926"/>
      <c r="BF13" s="926"/>
      <c r="BG13" s="926"/>
      <c r="BH13" s="926"/>
      <c r="BI13" s="926"/>
      <c r="BJ13" s="926"/>
      <c r="BK13" s="926"/>
      <c r="BL13" s="926"/>
      <c r="BM13" s="926"/>
      <c r="BN13" s="926"/>
      <c r="BO13" s="926"/>
      <c r="BP13" s="926"/>
      <c r="BQ13" s="926"/>
      <c r="BR13" s="926"/>
      <c r="BS13" s="926"/>
      <c r="BT13" s="926"/>
      <c r="BU13" s="926"/>
      <c r="BV13" s="926"/>
      <c r="BW13" s="926"/>
      <c r="BX13" s="926"/>
      <c r="BY13" s="926"/>
      <c r="BZ13" s="926"/>
      <c r="CA13" s="926"/>
      <c r="CB13" s="926"/>
      <c r="CC13" s="926"/>
      <c r="CD13" s="926"/>
      <c r="CE13" s="926"/>
      <c r="CF13" s="926"/>
      <c r="CG13" s="926"/>
      <c r="CH13" s="926"/>
      <c r="CI13" s="926"/>
      <c r="CJ13" s="926"/>
      <c r="CK13" s="926"/>
      <c r="CL13" s="926"/>
      <c r="CM13" s="926"/>
      <c r="CN13" s="926"/>
      <c r="CO13" s="926"/>
      <c r="CP13" s="926"/>
      <c r="CQ13" s="926"/>
      <c r="CR13" s="926"/>
      <c r="CS13" s="926"/>
      <c r="CT13" s="926"/>
      <c r="CU13" s="926"/>
      <c r="CV13" s="926"/>
      <c r="CW13" s="926"/>
      <c r="CX13" s="926"/>
      <c r="CY13" s="926"/>
      <c r="CZ13" s="926"/>
      <c r="DA13" s="926"/>
      <c r="DB13" s="926"/>
      <c r="DC13" s="926"/>
      <c r="DD13" s="926"/>
      <c r="DE13" s="926"/>
      <c r="DF13" s="926"/>
      <c r="DG13" s="926"/>
      <c r="DH13" s="926"/>
      <c r="DI13" s="926"/>
      <c r="DJ13" s="926"/>
      <c r="DK13" s="926"/>
      <c r="DL13" s="926"/>
      <c r="DM13" s="926"/>
      <c r="DN13" s="926"/>
      <c r="DO13" s="926"/>
      <c r="DP13" s="926"/>
      <c r="DQ13" s="926"/>
      <c r="DR13" s="926"/>
      <c r="DS13" s="926"/>
      <c r="DT13" s="926"/>
      <c r="DU13" s="926"/>
      <c r="DV13" s="926"/>
      <c r="DW13" s="926"/>
      <c r="DX13" s="926"/>
      <c r="DY13" s="926"/>
      <c r="DZ13" s="926"/>
      <c r="EA13" s="926"/>
      <c r="EB13" s="926"/>
      <c r="EC13" s="926"/>
      <c r="ED13" s="926"/>
      <c r="EE13" s="926"/>
      <c r="EF13" s="926"/>
      <c r="EG13" s="926"/>
      <c r="EH13" s="926"/>
      <c r="EI13" s="926"/>
      <c r="EJ13" s="926"/>
      <c r="EK13" s="926"/>
      <c r="EL13" s="926"/>
      <c r="EM13" s="926"/>
      <c r="EN13" s="926"/>
      <c r="EO13" s="926"/>
      <c r="EP13" s="926"/>
      <c r="EQ13" s="926"/>
      <c r="ER13" s="926"/>
      <c r="ES13" s="926"/>
      <c r="ET13" s="926"/>
      <c r="EU13" s="926"/>
      <c r="EV13" s="926"/>
      <c r="EW13" s="926"/>
      <c r="EX13" s="926"/>
      <c r="EY13" s="926"/>
      <c r="EZ13" s="926"/>
      <c r="FA13" s="926"/>
      <c r="FB13" s="926"/>
      <c r="FC13" s="926"/>
      <c r="FD13" s="926"/>
      <c r="FE13" s="926"/>
      <c r="FF13" s="926"/>
      <c r="FG13" s="926"/>
      <c r="FH13" s="926"/>
      <c r="FI13" s="926"/>
      <c r="FJ13" s="926"/>
      <c r="FK13" s="926"/>
      <c r="FL13" s="926"/>
      <c r="FM13" s="926"/>
      <c r="FN13" s="926"/>
      <c r="FO13" s="926"/>
      <c r="FP13" s="926"/>
      <c r="FQ13" s="926"/>
      <c r="FR13" s="926"/>
      <c r="FS13" s="926"/>
      <c r="FT13" s="926"/>
      <c r="FU13" s="926"/>
      <c r="FV13" s="926"/>
      <c r="FW13" s="926"/>
      <c r="FX13" s="926"/>
      <c r="FY13" s="926"/>
      <c r="FZ13" s="926"/>
      <c r="GA13" s="926"/>
      <c r="GB13" s="926"/>
      <c r="GC13" s="926"/>
      <c r="GD13" s="926"/>
      <c r="GE13" s="926"/>
      <c r="GF13" s="926"/>
      <c r="GG13" s="926"/>
      <c r="GH13" s="926"/>
      <c r="GI13" s="926"/>
      <c r="GJ13" s="926"/>
      <c r="GK13" s="926"/>
      <c r="GL13" s="926"/>
      <c r="GM13" s="926"/>
      <c r="GN13" s="926"/>
      <c r="GO13" s="926"/>
      <c r="GP13" s="926"/>
      <c r="GQ13" s="926"/>
      <c r="GR13" s="926"/>
      <c r="GS13" s="926"/>
      <c r="GT13" s="926"/>
      <c r="GU13" s="926"/>
      <c r="GV13" s="926"/>
      <c r="GW13" s="926"/>
      <c r="GX13" s="926"/>
      <c r="GY13" s="926"/>
      <c r="GZ13" s="926"/>
      <c r="HA13" s="926"/>
      <c r="HB13" s="926"/>
      <c r="HC13" s="926"/>
      <c r="HD13" s="926"/>
      <c r="HE13" s="926"/>
      <c r="HF13" s="926"/>
      <c r="HG13" s="926"/>
      <c r="HH13" s="926"/>
      <c r="HI13" s="926"/>
      <c r="HJ13" s="926"/>
      <c r="HK13" s="926"/>
      <c r="HL13" s="926"/>
      <c r="HM13" s="926"/>
      <c r="HN13" s="926"/>
      <c r="HO13" s="926"/>
      <c r="HP13" s="926"/>
      <c r="HQ13" s="926"/>
      <c r="HR13" s="926"/>
      <c r="HS13" s="926"/>
      <c r="HT13" s="926"/>
      <c r="HU13" s="926"/>
      <c r="HV13" s="926"/>
      <c r="HW13" s="926"/>
      <c r="HX13" s="926"/>
      <c r="HY13" s="926"/>
      <c r="HZ13" s="926"/>
      <c r="IA13" s="926"/>
      <c r="IB13" s="926"/>
      <c r="IC13" s="926"/>
      <c r="ID13" s="926"/>
      <c r="IE13" s="926"/>
      <c r="IF13" s="926"/>
      <c r="IG13" s="926"/>
      <c r="IH13" s="926"/>
      <c r="II13" s="926"/>
      <c r="IJ13" s="926"/>
      <c r="IK13" s="926"/>
      <c r="IL13" s="926"/>
      <c r="IM13" s="926"/>
    </row>
    <row r="14" spans="1:247" x14ac:dyDescent="0.45">
      <c r="A14" s="441">
        <v>1446</v>
      </c>
      <c r="B14" s="939" t="s">
        <v>2549</v>
      </c>
      <c r="C14" s="47" t="s">
        <v>35</v>
      </c>
      <c r="D14" s="449" t="s">
        <v>2545</v>
      </c>
      <c r="E14" s="946">
        <f t="shared" si="2"/>
        <v>1.0740000000000001</v>
      </c>
      <c r="F14" s="941">
        <f t="shared" si="0"/>
        <v>1.0209999999999999</v>
      </c>
      <c r="G14" s="947">
        <f t="shared" si="3"/>
        <v>1.0269999999999999</v>
      </c>
      <c r="H14" s="946"/>
      <c r="I14" s="948">
        <f>+$I$3</f>
        <v>1.0289999999999999</v>
      </c>
      <c r="J14" s="948">
        <f>+$J$3</f>
        <v>1.0049999999999999</v>
      </c>
      <c r="K14" s="948">
        <f>+$K$3</f>
        <v>1.026</v>
      </c>
      <c r="L14" s="948">
        <f>+$L$3</f>
        <v>1.0129999999999999</v>
      </c>
      <c r="M14" s="948">
        <f>+$M$3</f>
        <v>1.0029999999999999</v>
      </c>
      <c r="N14" s="947">
        <f>+$N$3</f>
        <v>1.0029999999999999</v>
      </c>
      <c r="O14" s="949">
        <f>+$O$3</f>
        <v>1.0209999999999999</v>
      </c>
      <c r="P14" s="946">
        <f t="shared" si="4"/>
        <v>1.032</v>
      </c>
      <c r="Q14" s="947">
        <f t="shared" si="5"/>
        <v>1.0349999999999999</v>
      </c>
      <c r="R14" s="950">
        <f t="shared" si="1"/>
        <v>1.3279641928993471</v>
      </c>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AV14" s="926"/>
      <c r="AW14" s="926"/>
      <c r="AX14" s="926"/>
      <c r="AY14" s="926"/>
      <c r="AZ14" s="926"/>
      <c r="BA14" s="926"/>
      <c r="BB14" s="926"/>
      <c r="BC14" s="926"/>
      <c r="BD14" s="926"/>
      <c r="BE14" s="926"/>
      <c r="BF14" s="926"/>
      <c r="BG14" s="926"/>
      <c r="BH14" s="926"/>
      <c r="BI14" s="926"/>
      <c r="BJ14" s="926"/>
      <c r="BK14" s="926"/>
      <c r="BL14" s="926"/>
      <c r="BM14" s="926"/>
      <c r="BN14" s="926"/>
      <c r="BO14" s="926"/>
      <c r="BP14" s="926"/>
      <c r="BQ14" s="926"/>
      <c r="BR14" s="926"/>
      <c r="BS14" s="926"/>
      <c r="BT14" s="926"/>
      <c r="BU14" s="926"/>
      <c r="BV14" s="926"/>
      <c r="BW14" s="926"/>
      <c r="BX14" s="926"/>
      <c r="BY14" s="926"/>
      <c r="BZ14" s="926"/>
      <c r="CA14" s="926"/>
      <c r="CB14" s="926"/>
      <c r="CC14" s="926"/>
      <c r="CD14" s="926"/>
      <c r="CE14" s="926"/>
      <c r="CF14" s="926"/>
      <c r="CG14" s="926"/>
      <c r="CH14" s="926"/>
      <c r="CI14" s="926"/>
      <c r="CJ14" s="926"/>
      <c r="CK14" s="926"/>
      <c r="CL14" s="926"/>
      <c r="CM14" s="926"/>
      <c r="CN14" s="926"/>
      <c r="CO14" s="926"/>
      <c r="CP14" s="926"/>
      <c r="CQ14" s="926"/>
      <c r="CR14" s="926"/>
      <c r="CS14" s="926"/>
      <c r="CT14" s="926"/>
      <c r="CU14" s="926"/>
      <c r="CV14" s="926"/>
      <c r="CW14" s="926"/>
      <c r="CX14" s="926"/>
      <c r="CY14" s="926"/>
      <c r="CZ14" s="926"/>
      <c r="DA14" s="926"/>
      <c r="DB14" s="926"/>
      <c r="DC14" s="926"/>
      <c r="DD14" s="926"/>
      <c r="DE14" s="926"/>
      <c r="DF14" s="926"/>
      <c r="DG14" s="926"/>
      <c r="DH14" s="926"/>
      <c r="DI14" s="926"/>
      <c r="DJ14" s="926"/>
      <c r="DK14" s="926"/>
      <c r="DL14" s="926"/>
      <c r="DM14" s="926"/>
      <c r="DN14" s="926"/>
      <c r="DO14" s="926"/>
      <c r="DP14" s="926"/>
      <c r="DQ14" s="926"/>
      <c r="DR14" s="926"/>
      <c r="DS14" s="926"/>
      <c r="DT14" s="926"/>
      <c r="DU14" s="926"/>
      <c r="DV14" s="926"/>
      <c r="DW14" s="926"/>
      <c r="DX14" s="926"/>
      <c r="DY14" s="926"/>
      <c r="DZ14" s="926"/>
      <c r="EA14" s="926"/>
      <c r="EB14" s="926"/>
      <c r="EC14" s="926"/>
      <c r="ED14" s="926"/>
      <c r="EE14" s="926"/>
      <c r="EF14" s="926"/>
      <c r="EG14" s="926"/>
      <c r="EH14" s="926"/>
      <c r="EI14" s="926"/>
      <c r="EJ14" s="926"/>
      <c r="EK14" s="926"/>
      <c r="EL14" s="926"/>
      <c r="EM14" s="926"/>
      <c r="EN14" s="926"/>
      <c r="EO14" s="926"/>
      <c r="EP14" s="926"/>
      <c r="EQ14" s="926"/>
      <c r="ER14" s="926"/>
      <c r="ES14" s="926"/>
      <c r="ET14" s="926"/>
      <c r="EU14" s="926"/>
      <c r="EV14" s="926"/>
      <c r="EW14" s="926"/>
      <c r="EX14" s="926"/>
      <c r="EY14" s="926"/>
      <c r="EZ14" s="926"/>
      <c r="FA14" s="926"/>
      <c r="FB14" s="926"/>
      <c r="FC14" s="926"/>
      <c r="FD14" s="926"/>
      <c r="FE14" s="926"/>
      <c r="FF14" s="926"/>
      <c r="FG14" s="926"/>
      <c r="FH14" s="926"/>
      <c r="FI14" s="926"/>
      <c r="FJ14" s="926"/>
      <c r="FK14" s="926"/>
      <c r="FL14" s="926"/>
      <c r="FM14" s="926"/>
      <c r="FN14" s="926"/>
      <c r="FO14" s="926"/>
      <c r="FP14" s="926"/>
      <c r="FQ14" s="926"/>
      <c r="FR14" s="926"/>
      <c r="FS14" s="926"/>
      <c r="FT14" s="926"/>
      <c r="FU14" s="926"/>
      <c r="FV14" s="926"/>
      <c r="FW14" s="926"/>
      <c r="FX14" s="926"/>
      <c r="FY14" s="926"/>
      <c r="FZ14" s="926"/>
      <c r="GA14" s="926"/>
      <c r="GB14" s="926"/>
      <c r="GC14" s="926"/>
      <c r="GD14" s="926"/>
      <c r="GE14" s="926"/>
      <c r="GF14" s="926"/>
      <c r="GG14" s="926"/>
      <c r="GH14" s="926"/>
      <c r="GI14" s="926"/>
      <c r="GJ14" s="926"/>
      <c r="GK14" s="926"/>
      <c r="GL14" s="926"/>
      <c r="GM14" s="926"/>
      <c r="GN14" s="926"/>
      <c r="GO14" s="926"/>
      <c r="GP14" s="926"/>
      <c r="GQ14" s="926"/>
      <c r="GR14" s="926"/>
      <c r="GS14" s="926"/>
      <c r="GT14" s="926"/>
      <c r="GU14" s="926"/>
      <c r="GV14" s="926"/>
      <c r="GW14" s="926"/>
      <c r="GX14" s="926"/>
      <c r="GY14" s="926"/>
      <c r="GZ14" s="926"/>
      <c r="HA14" s="926"/>
      <c r="HB14" s="926"/>
      <c r="HC14" s="926"/>
      <c r="HD14" s="926"/>
      <c r="HE14" s="926"/>
      <c r="HF14" s="926"/>
      <c r="HG14" s="926"/>
      <c r="HH14" s="926"/>
      <c r="HI14" s="926"/>
      <c r="HJ14" s="926"/>
      <c r="HK14" s="926"/>
      <c r="HL14" s="926"/>
      <c r="HM14" s="926"/>
      <c r="HN14" s="926"/>
      <c r="HO14" s="926"/>
      <c r="HP14" s="926"/>
      <c r="HQ14" s="926"/>
      <c r="HR14" s="926"/>
      <c r="HS14" s="926"/>
      <c r="HT14" s="926"/>
      <c r="HU14" s="926"/>
      <c r="HV14" s="926"/>
      <c r="HW14" s="926"/>
      <c r="HX14" s="926"/>
      <c r="HY14" s="926"/>
      <c r="HZ14" s="926"/>
      <c r="IA14" s="926"/>
      <c r="IB14" s="926"/>
      <c r="IC14" s="926"/>
      <c r="ID14" s="926"/>
      <c r="IE14" s="926"/>
      <c r="IF14" s="926"/>
      <c r="IG14" s="926"/>
      <c r="IH14" s="926"/>
      <c r="II14" s="926"/>
      <c r="IJ14" s="926"/>
      <c r="IK14" s="926"/>
      <c r="IL14" s="926"/>
      <c r="IM14" s="926"/>
    </row>
    <row r="15" spans="1:247" x14ac:dyDescent="0.45">
      <c r="A15" s="441">
        <v>1463</v>
      </c>
      <c r="B15" s="939" t="s">
        <v>2550</v>
      </c>
      <c r="C15" s="47" t="s">
        <v>88</v>
      </c>
      <c r="D15" s="449"/>
      <c r="E15" s="946"/>
      <c r="F15" s="941">
        <f t="shared" si="0"/>
        <v>1.0209999999999999</v>
      </c>
      <c r="G15" s="947">
        <f t="shared" si="3"/>
        <v>1.0269999999999999</v>
      </c>
      <c r="H15" s="946"/>
      <c r="I15" s="948"/>
      <c r="J15" s="948"/>
      <c r="K15" s="948"/>
      <c r="L15" s="948"/>
      <c r="M15" s="948"/>
      <c r="N15" s="947"/>
      <c r="O15" s="949"/>
      <c r="P15" s="946">
        <f t="shared" si="4"/>
        <v>1.032</v>
      </c>
      <c r="Q15" s="947">
        <f t="shared" si="5"/>
        <v>1.0349999999999999</v>
      </c>
      <c r="R15" s="950">
        <f t="shared" si="1"/>
        <v>1.1199953840399997</v>
      </c>
      <c r="S15" s="926"/>
      <c r="T15" s="926"/>
      <c r="U15" s="926"/>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6"/>
      <c r="AV15" s="926"/>
      <c r="AW15" s="926"/>
      <c r="AX15" s="926"/>
      <c r="AY15" s="926"/>
      <c r="AZ15" s="926"/>
      <c r="BA15" s="926"/>
      <c r="BB15" s="926"/>
      <c r="BC15" s="926"/>
      <c r="BD15" s="926"/>
      <c r="BE15" s="926"/>
      <c r="BF15" s="926"/>
      <c r="BG15" s="926"/>
      <c r="BH15" s="926"/>
      <c r="BI15" s="926"/>
      <c r="BJ15" s="926"/>
      <c r="BK15" s="926"/>
      <c r="BL15" s="926"/>
      <c r="BM15" s="926"/>
      <c r="BN15" s="926"/>
      <c r="BO15" s="926"/>
      <c r="BP15" s="926"/>
      <c r="BQ15" s="926"/>
      <c r="BR15" s="926"/>
      <c r="BS15" s="926"/>
      <c r="BT15" s="926"/>
      <c r="BU15" s="926"/>
      <c r="BV15" s="926"/>
      <c r="BW15" s="926"/>
      <c r="BX15" s="926"/>
      <c r="BY15" s="926"/>
      <c r="BZ15" s="926"/>
      <c r="CA15" s="926"/>
      <c r="CB15" s="926"/>
      <c r="CC15" s="926"/>
      <c r="CD15" s="926"/>
      <c r="CE15" s="926"/>
      <c r="CF15" s="926"/>
      <c r="CG15" s="926"/>
      <c r="CH15" s="926"/>
      <c r="CI15" s="926"/>
      <c r="CJ15" s="926"/>
      <c r="CK15" s="926"/>
      <c r="CL15" s="926"/>
      <c r="CM15" s="926"/>
      <c r="CN15" s="926"/>
      <c r="CO15" s="926"/>
      <c r="CP15" s="926"/>
      <c r="CQ15" s="926"/>
      <c r="CR15" s="926"/>
      <c r="CS15" s="926"/>
      <c r="CT15" s="926"/>
      <c r="CU15" s="926"/>
      <c r="CV15" s="926"/>
      <c r="CW15" s="926"/>
      <c r="CX15" s="926"/>
      <c r="CY15" s="926"/>
      <c r="CZ15" s="926"/>
      <c r="DA15" s="926"/>
      <c r="DB15" s="926"/>
      <c r="DC15" s="926"/>
      <c r="DD15" s="926"/>
      <c r="DE15" s="926"/>
      <c r="DF15" s="926"/>
      <c r="DG15" s="926"/>
      <c r="DH15" s="926"/>
      <c r="DI15" s="926"/>
      <c r="DJ15" s="926"/>
      <c r="DK15" s="926"/>
      <c r="DL15" s="926"/>
      <c r="DM15" s="926"/>
      <c r="DN15" s="926"/>
      <c r="DO15" s="926"/>
      <c r="DP15" s="926"/>
      <c r="DQ15" s="926"/>
      <c r="DR15" s="926"/>
      <c r="DS15" s="926"/>
      <c r="DT15" s="926"/>
      <c r="DU15" s="926"/>
      <c r="DV15" s="926"/>
      <c r="DW15" s="926"/>
      <c r="DX15" s="926"/>
      <c r="DY15" s="926"/>
      <c r="DZ15" s="926"/>
      <c r="EA15" s="926"/>
      <c r="EB15" s="926"/>
      <c r="EC15" s="926"/>
      <c r="ED15" s="926"/>
      <c r="EE15" s="926"/>
      <c r="EF15" s="926"/>
      <c r="EG15" s="926"/>
      <c r="EH15" s="926"/>
      <c r="EI15" s="926"/>
      <c r="EJ15" s="926"/>
      <c r="EK15" s="926"/>
      <c r="EL15" s="926"/>
      <c r="EM15" s="926"/>
      <c r="EN15" s="926"/>
      <c r="EO15" s="926"/>
      <c r="EP15" s="926"/>
      <c r="EQ15" s="926"/>
      <c r="ER15" s="926"/>
      <c r="ES15" s="926"/>
      <c r="ET15" s="926"/>
      <c r="EU15" s="926"/>
      <c r="EV15" s="926"/>
      <c r="EW15" s="926"/>
      <c r="EX15" s="926"/>
      <c r="EY15" s="926"/>
      <c r="EZ15" s="926"/>
      <c r="FA15" s="926"/>
      <c r="FB15" s="926"/>
      <c r="FC15" s="926"/>
      <c r="FD15" s="926"/>
      <c r="FE15" s="926"/>
      <c r="FF15" s="926"/>
      <c r="FG15" s="926"/>
      <c r="FH15" s="926"/>
      <c r="FI15" s="926"/>
      <c r="FJ15" s="926"/>
      <c r="FK15" s="926"/>
      <c r="FL15" s="926"/>
      <c r="FM15" s="926"/>
      <c r="FN15" s="926"/>
      <c r="FO15" s="926"/>
      <c r="FP15" s="926"/>
      <c r="FQ15" s="926"/>
      <c r="FR15" s="926"/>
      <c r="FS15" s="926"/>
      <c r="FT15" s="926"/>
      <c r="FU15" s="926"/>
      <c r="FV15" s="926"/>
      <c r="FW15" s="926"/>
      <c r="FX15" s="926"/>
      <c r="FY15" s="926"/>
      <c r="FZ15" s="926"/>
      <c r="GA15" s="926"/>
      <c r="GB15" s="926"/>
      <c r="GC15" s="926"/>
      <c r="GD15" s="926"/>
      <c r="GE15" s="926"/>
      <c r="GF15" s="926"/>
      <c r="GG15" s="926"/>
      <c r="GH15" s="926"/>
      <c r="GI15" s="926"/>
      <c r="GJ15" s="926"/>
      <c r="GK15" s="926"/>
      <c r="GL15" s="926"/>
      <c r="GM15" s="926"/>
      <c r="GN15" s="926"/>
      <c r="GO15" s="926"/>
      <c r="GP15" s="926"/>
      <c r="GQ15" s="926"/>
      <c r="GR15" s="926"/>
      <c r="GS15" s="926"/>
      <c r="GT15" s="926"/>
      <c r="GU15" s="926"/>
      <c r="GV15" s="926"/>
      <c r="GW15" s="926"/>
      <c r="GX15" s="926"/>
      <c r="GY15" s="926"/>
      <c r="GZ15" s="926"/>
      <c r="HA15" s="926"/>
      <c r="HB15" s="926"/>
      <c r="HC15" s="926"/>
      <c r="HD15" s="926"/>
      <c r="HE15" s="926"/>
      <c r="HF15" s="926"/>
      <c r="HG15" s="926"/>
      <c r="HH15" s="926"/>
      <c r="HI15" s="926"/>
      <c r="HJ15" s="926"/>
      <c r="HK15" s="926"/>
      <c r="HL15" s="926"/>
      <c r="HM15" s="926"/>
      <c r="HN15" s="926"/>
      <c r="HO15" s="926"/>
      <c r="HP15" s="926"/>
      <c r="HQ15" s="926"/>
      <c r="HR15" s="926"/>
      <c r="HS15" s="926"/>
      <c r="HT15" s="926"/>
      <c r="HU15" s="926"/>
      <c r="HV15" s="926"/>
      <c r="HW15" s="926"/>
      <c r="HX15" s="926"/>
      <c r="HY15" s="926"/>
      <c r="HZ15" s="926"/>
      <c r="IA15" s="926"/>
      <c r="IB15" s="926"/>
      <c r="IC15" s="926"/>
      <c r="ID15" s="926"/>
      <c r="IE15" s="926"/>
      <c r="IF15" s="926"/>
      <c r="IG15" s="926"/>
      <c r="IH15" s="926"/>
      <c r="II15" s="926"/>
      <c r="IJ15" s="926"/>
      <c r="IK15" s="926"/>
      <c r="IL15" s="926"/>
      <c r="IM15" s="926"/>
    </row>
    <row r="16" spans="1:247" x14ac:dyDescent="0.45">
      <c r="A16" s="441">
        <v>1491</v>
      </c>
      <c r="B16" s="939" t="s">
        <v>2551</v>
      </c>
      <c r="C16" s="47" t="s">
        <v>88</v>
      </c>
      <c r="D16" s="449" t="s">
        <v>2537</v>
      </c>
      <c r="E16" s="946">
        <f t="shared" si="2"/>
        <v>1.0740000000000001</v>
      </c>
      <c r="F16" s="941">
        <f t="shared" si="0"/>
        <v>1.0209999999999999</v>
      </c>
      <c r="G16" s="947">
        <f t="shared" si="3"/>
        <v>1.0269999999999999</v>
      </c>
      <c r="H16" s="946"/>
      <c r="I16" s="948"/>
      <c r="J16" s="948"/>
      <c r="K16" s="948"/>
      <c r="L16" s="948"/>
      <c r="M16" s="948"/>
      <c r="N16" s="947"/>
      <c r="O16" s="949">
        <f>+$O$3</f>
        <v>1.0209999999999999</v>
      </c>
      <c r="P16" s="946">
        <f t="shared" si="4"/>
        <v>1.032</v>
      </c>
      <c r="Q16" s="947">
        <f t="shared" si="5"/>
        <v>1.0349999999999999</v>
      </c>
      <c r="R16" s="950">
        <f t="shared" si="1"/>
        <v>1.2281354183505979</v>
      </c>
      <c r="S16" s="926"/>
      <c r="T16" s="926"/>
      <c r="U16" s="926"/>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6"/>
      <c r="AV16" s="926"/>
      <c r="AW16" s="926"/>
      <c r="AX16" s="926"/>
      <c r="AY16" s="926"/>
      <c r="AZ16" s="926"/>
      <c r="BA16" s="926"/>
      <c r="BB16" s="926"/>
      <c r="BC16" s="926"/>
      <c r="BD16" s="926"/>
      <c r="BE16" s="926"/>
      <c r="BF16" s="926"/>
      <c r="BG16" s="926"/>
      <c r="BH16" s="926"/>
      <c r="BI16" s="926"/>
      <c r="BJ16" s="926"/>
      <c r="BK16" s="926"/>
      <c r="BL16" s="926"/>
      <c r="BM16" s="926"/>
      <c r="BN16" s="926"/>
      <c r="BO16" s="926"/>
      <c r="BP16" s="926"/>
      <c r="BQ16" s="926"/>
      <c r="BR16" s="926"/>
      <c r="BS16" s="926"/>
      <c r="BT16" s="926"/>
      <c r="BU16" s="926"/>
      <c r="BV16" s="926"/>
      <c r="BW16" s="926"/>
      <c r="BX16" s="926"/>
      <c r="BY16" s="926"/>
      <c r="BZ16" s="926"/>
      <c r="CA16" s="926"/>
      <c r="CB16" s="926"/>
      <c r="CC16" s="926"/>
      <c r="CD16" s="926"/>
      <c r="CE16" s="926"/>
      <c r="CF16" s="926"/>
      <c r="CG16" s="926"/>
      <c r="CH16" s="926"/>
      <c r="CI16" s="926"/>
      <c r="CJ16" s="926"/>
      <c r="CK16" s="926"/>
      <c r="CL16" s="926"/>
      <c r="CM16" s="926"/>
      <c r="CN16" s="926"/>
      <c r="CO16" s="926"/>
      <c r="CP16" s="926"/>
      <c r="CQ16" s="926"/>
      <c r="CR16" s="926"/>
      <c r="CS16" s="926"/>
      <c r="CT16" s="926"/>
      <c r="CU16" s="926"/>
      <c r="CV16" s="926"/>
      <c r="CW16" s="926"/>
      <c r="CX16" s="926"/>
      <c r="CY16" s="926"/>
      <c r="CZ16" s="926"/>
      <c r="DA16" s="926"/>
      <c r="DB16" s="926"/>
      <c r="DC16" s="926"/>
      <c r="DD16" s="926"/>
      <c r="DE16" s="926"/>
      <c r="DF16" s="926"/>
      <c r="DG16" s="926"/>
      <c r="DH16" s="926"/>
      <c r="DI16" s="926"/>
      <c r="DJ16" s="926"/>
      <c r="DK16" s="926"/>
      <c r="DL16" s="926"/>
      <c r="DM16" s="926"/>
      <c r="DN16" s="926"/>
      <c r="DO16" s="926"/>
      <c r="DP16" s="926"/>
      <c r="DQ16" s="926"/>
      <c r="DR16" s="926"/>
      <c r="DS16" s="926"/>
      <c r="DT16" s="926"/>
      <c r="DU16" s="926"/>
      <c r="DV16" s="926"/>
      <c r="DW16" s="926"/>
      <c r="DX16" s="926"/>
      <c r="DY16" s="926"/>
      <c r="DZ16" s="926"/>
      <c r="EA16" s="926"/>
      <c r="EB16" s="926"/>
      <c r="EC16" s="926"/>
      <c r="ED16" s="926"/>
      <c r="EE16" s="926"/>
      <c r="EF16" s="926"/>
      <c r="EG16" s="926"/>
      <c r="EH16" s="926"/>
      <c r="EI16" s="926"/>
      <c r="EJ16" s="926"/>
      <c r="EK16" s="926"/>
      <c r="EL16" s="926"/>
      <c r="EM16" s="926"/>
      <c r="EN16" s="926"/>
      <c r="EO16" s="926"/>
      <c r="EP16" s="926"/>
      <c r="EQ16" s="926"/>
      <c r="ER16" s="926"/>
      <c r="ES16" s="926"/>
      <c r="ET16" s="926"/>
      <c r="EU16" s="926"/>
      <c r="EV16" s="926"/>
      <c r="EW16" s="926"/>
      <c r="EX16" s="926"/>
      <c r="EY16" s="926"/>
      <c r="EZ16" s="926"/>
      <c r="FA16" s="926"/>
      <c r="FB16" s="926"/>
      <c r="FC16" s="926"/>
      <c r="FD16" s="926"/>
      <c r="FE16" s="926"/>
      <c r="FF16" s="926"/>
      <c r="FG16" s="926"/>
      <c r="FH16" s="926"/>
      <c r="FI16" s="926"/>
      <c r="FJ16" s="926"/>
      <c r="FK16" s="926"/>
      <c r="FL16" s="926"/>
      <c r="FM16" s="926"/>
      <c r="FN16" s="926"/>
      <c r="FO16" s="926"/>
      <c r="FP16" s="926"/>
      <c r="FQ16" s="926"/>
      <c r="FR16" s="926"/>
      <c r="FS16" s="926"/>
      <c r="FT16" s="926"/>
      <c r="FU16" s="926"/>
      <c r="FV16" s="926"/>
      <c r="FW16" s="926"/>
      <c r="FX16" s="926"/>
      <c r="FY16" s="926"/>
      <c r="FZ16" s="926"/>
      <c r="GA16" s="926"/>
      <c r="GB16" s="926"/>
      <c r="GC16" s="926"/>
      <c r="GD16" s="926"/>
      <c r="GE16" s="926"/>
      <c r="GF16" s="926"/>
      <c r="GG16" s="926"/>
      <c r="GH16" s="926"/>
      <c r="GI16" s="926"/>
      <c r="GJ16" s="926"/>
      <c r="GK16" s="926"/>
      <c r="GL16" s="926"/>
      <c r="GM16" s="926"/>
      <c r="GN16" s="926"/>
      <c r="GO16" s="926"/>
      <c r="GP16" s="926"/>
      <c r="GQ16" s="926"/>
      <c r="GR16" s="926"/>
      <c r="GS16" s="926"/>
      <c r="GT16" s="926"/>
      <c r="GU16" s="926"/>
      <c r="GV16" s="926"/>
      <c r="GW16" s="926"/>
      <c r="GX16" s="926"/>
      <c r="GY16" s="926"/>
      <c r="GZ16" s="926"/>
      <c r="HA16" s="926"/>
      <c r="HB16" s="926"/>
      <c r="HC16" s="926"/>
      <c r="HD16" s="926"/>
      <c r="HE16" s="926"/>
      <c r="HF16" s="926"/>
      <c r="HG16" s="926"/>
      <c r="HH16" s="926"/>
      <c r="HI16" s="926"/>
      <c r="HJ16" s="926"/>
      <c r="HK16" s="926"/>
      <c r="HL16" s="926"/>
      <c r="HM16" s="926"/>
      <c r="HN16" s="926"/>
      <c r="HO16" s="926"/>
      <c r="HP16" s="926"/>
      <c r="HQ16" s="926"/>
      <c r="HR16" s="926"/>
      <c r="HS16" s="926"/>
      <c r="HT16" s="926"/>
      <c r="HU16" s="926"/>
      <c r="HV16" s="926"/>
      <c r="HW16" s="926"/>
      <c r="HX16" s="926"/>
      <c r="HY16" s="926"/>
      <c r="HZ16" s="926"/>
      <c r="IA16" s="926"/>
      <c r="IB16" s="926"/>
      <c r="IC16" s="926"/>
      <c r="ID16" s="926"/>
      <c r="IE16" s="926"/>
      <c r="IF16" s="926"/>
      <c r="IG16" s="926"/>
      <c r="IH16" s="926"/>
      <c r="II16" s="926"/>
      <c r="IJ16" s="926"/>
      <c r="IK16" s="926"/>
      <c r="IL16" s="926"/>
      <c r="IM16" s="926"/>
    </row>
    <row r="17" spans="1:247" x14ac:dyDescent="0.45">
      <c r="A17" s="441">
        <v>1493</v>
      </c>
      <c r="B17" s="939" t="s">
        <v>2552</v>
      </c>
      <c r="C17" s="47" t="s">
        <v>88</v>
      </c>
      <c r="D17" s="449" t="s">
        <v>2537</v>
      </c>
      <c r="E17" s="946"/>
      <c r="F17" s="941">
        <f t="shared" si="0"/>
        <v>1.0209999999999999</v>
      </c>
      <c r="G17" s="947">
        <f t="shared" si="3"/>
        <v>1.0269999999999999</v>
      </c>
      <c r="H17" s="946"/>
      <c r="I17" s="948"/>
      <c r="J17" s="948"/>
      <c r="K17" s="948"/>
      <c r="L17" s="948"/>
      <c r="M17" s="948"/>
      <c r="N17" s="947"/>
      <c r="O17" s="949"/>
      <c r="P17" s="946">
        <f t="shared" si="4"/>
        <v>1.032</v>
      </c>
      <c r="Q17" s="947">
        <f t="shared" si="5"/>
        <v>1.0349999999999999</v>
      </c>
      <c r="R17" s="950">
        <f t="shared" si="1"/>
        <v>1.1199953840399997</v>
      </c>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6"/>
      <c r="AV17" s="926"/>
      <c r="AW17" s="926"/>
      <c r="AX17" s="926"/>
      <c r="AY17" s="926"/>
      <c r="AZ17" s="926"/>
      <c r="BA17" s="926"/>
      <c r="BB17" s="926"/>
      <c r="BC17" s="926"/>
      <c r="BD17" s="926"/>
      <c r="BE17" s="926"/>
      <c r="BF17" s="926"/>
      <c r="BG17" s="926"/>
      <c r="BH17" s="926"/>
      <c r="BI17" s="926"/>
      <c r="BJ17" s="926"/>
      <c r="BK17" s="926"/>
      <c r="BL17" s="926"/>
      <c r="BM17" s="926"/>
      <c r="BN17" s="926"/>
      <c r="BO17" s="926"/>
      <c r="BP17" s="926"/>
      <c r="BQ17" s="926"/>
      <c r="BR17" s="926"/>
      <c r="BS17" s="926"/>
      <c r="BT17" s="926"/>
      <c r="BU17" s="926"/>
      <c r="BV17" s="926"/>
      <c r="BW17" s="926"/>
      <c r="BX17" s="926"/>
      <c r="BY17" s="926"/>
      <c r="BZ17" s="926"/>
      <c r="CA17" s="926"/>
      <c r="CB17" s="926"/>
      <c r="CC17" s="926"/>
      <c r="CD17" s="926"/>
      <c r="CE17" s="926"/>
      <c r="CF17" s="926"/>
      <c r="CG17" s="926"/>
      <c r="CH17" s="926"/>
      <c r="CI17" s="926"/>
      <c r="CJ17" s="926"/>
      <c r="CK17" s="926"/>
      <c r="CL17" s="926"/>
      <c r="CM17" s="926"/>
      <c r="CN17" s="926"/>
      <c r="CO17" s="926"/>
      <c r="CP17" s="926"/>
      <c r="CQ17" s="926"/>
      <c r="CR17" s="926"/>
      <c r="CS17" s="926"/>
      <c r="CT17" s="926"/>
      <c r="CU17" s="926"/>
      <c r="CV17" s="926"/>
      <c r="CW17" s="926"/>
      <c r="CX17" s="926"/>
      <c r="CY17" s="926"/>
      <c r="CZ17" s="926"/>
      <c r="DA17" s="926"/>
      <c r="DB17" s="926"/>
      <c r="DC17" s="926"/>
      <c r="DD17" s="926"/>
      <c r="DE17" s="926"/>
      <c r="DF17" s="926"/>
      <c r="DG17" s="926"/>
      <c r="DH17" s="926"/>
      <c r="DI17" s="926"/>
      <c r="DJ17" s="926"/>
      <c r="DK17" s="926"/>
      <c r="DL17" s="926"/>
      <c r="DM17" s="926"/>
      <c r="DN17" s="926"/>
      <c r="DO17" s="926"/>
      <c r="DP17" s="926"/>
      <c r="DQ17" s="926"/>
      <c r="DR17" s="926"/>
      <c r="DS17" s="926"/>
      <c r="DT17" s="926"/>
      <c r="DU17" s="926"/>
      <c r="DV17" s="926"/>
      <c r="DW17" s="926"/>
      <c r="DX17" s="926"/>
      <c r="DY17" s="926"/>
      <c r="DZ17" s="926"/>
      <c r="EA17" s="926"/>
      <c r="EB17" s="926"/>
      <c r="EC17" s="926"/>
      <c r="ED17" s="926"/>
      <c r="EE17" s="926"/>
      <c r="EF17" s="926"/>
      <c r="EG17" s="926"/>
      <c r="EH17" s="926"/>
      <c r="EI17" s="926"/>
      <c r="EJ17" s="926"/>
      <c r="EK17" s="926"/>
      <c r="EL17" s="926"/>
      <c r="EM17" s="926"/>
      <c r="EN17" s="926"/>
      <c r="EO17" s="926"/>
      <c r="EP17" s="926"/>
      <c r="EQ17" s="926"/>
      <c r="ER17" s="926"/>
      <c r="ES17" s="926"/>
      <c r="ET17" s="926"/>
      <c r="EU17" s="926"/>
      <c r="EV17" s="926"/>
      <c r="EW17" s="926"/>
      <c r="EX17" s="926"/>
      <c r="EY17" s="926"/>
      <c r="EZ17" s="926"/>
      <c r="FA17" s="926"/>
      <c r="FB17" s="926"/>
      <c r="FC17" s="926"/>
      <c r="FD17" s="926"/>
      <c r="FE17" s="926"/>
      <c r="FF17" s="926"/>
      <c r="FG17" s="926"/>
      <c r="FH17" s="926"/>
      <c r="FI17" s="926"/>
      <c r="FJ17" s="926"/>
      <c r="FK17" s="926"/>
      <c r="FL17" s="926"/>
      <c r="FM17" s="926"/>
      <c r="FN17" s="926"/>
      <c r="FO17" s="926"/>
      <c r="FP17" s="926"/>
      <c r="FQ17" s="926"/>
      <c r="FR17" s="926"/>
      <c r="FS17" s="926"/>
      <c r="FT17" s="926"/>
      <c r="FU17" s="926"/>
      <c r="FV17" s="926"/>
      <c r="FW17" s="926"/>
      <c r="FX17" s="926"/>
      <c r="FY17" s="926"/>
      <c r="FZ17" s="926"/>
      <c r="GA17" s="926"/>
      <c r="GB17" s="926"/>
      <c r="GC17" s="926"/>
      <c r="GD17" s="926"/>
      <c r="GE17" s="926"/>
      <c r="GF17" s="926"/>
      <c r="GG17" s="926"/>
      <c r="GH17" s="926"/>
      <c r="GI17" s="926"/>
      <c r="GJ17" s="926"/>
      <c r="GK17" s="926"/>
      <c r="GL17" s="926"/>
      <c r="GM17" s="926"/>
      <c r="GN17" s="926"/>
      <c r="GO17" s="926"/>
      <c r="GP17" s="926"/>
      <c r="GQ17" s="926"/>
      <c r="GR17" s="926"/>
      <c r="GS17" s="926"/>
      <c r="GT17" s="926"/>
      <c r="GU17" s="926"/>
      <c r="GV17" s="926"/>
      <c r="GW17" s="926"/>
      <c r="GX17" s="926"/>
      <c r="GY17" s="926"/>
      <c r="GZ17" s="926"/>
      <c r="HA17" s="926"/>
      <c r="HB17" s="926"/>
      <c r="HC17" s="926"/>
      <c r="HD17" s="926"/>
      <c r="HE17" s="926"/>
      <c r="HF17" s="926"/>
      <c r="HG17" s="926"/>
      <c r="HH17" s="926"/>
      <c r="HI17" s="926"/>
      <c r="HJ17" s="926"/>
      <c r="HK17" s="926"/>
      <c r="HL17" s="926"/>
      <c r="HM17" s="926"/>
      <c r="HN17" s="926"/>
      <c r="HO17" s="926"/>
      <c r="HP17" s="926"/>
      <c r="HQ17" s="926"/>
      <c r="HR17" s="926"/>
      <c r="HS17" s="926"/>
      <c r="HT17" s="926"/>
      <c r="HU17" s="926"/>
      <c r="HV17" s="926"/>
      <c r="HW17" s="926"/>
      <c r="HX17" s="926"/>
      <c r="HY17" s="926"/>
      <c r="HZ17" s="926"/>
      <c r="IA17" s="926"/>
      <c r="IB17" s="926"/>
      <c r="IC17" s="926"/>
      <c r="ID17" s="926"/>
      <c r="IE17" s="926"/>
      <c r="IF17" s="926"/>
      <c r="IG17" s="926"/>
      <c r="IH17" s="926"/>
      <c r="II17" s="926"/>
      <c r="IJ17" s="926"/>
      <c r="IK17" s="926"/>
      <c r="IL17" s="926"/>
      <c r="IM17" s="926"/>
    </row>
    <row r="18" spans="1:247" x14ac:dyDescent="0.45">
      <c r="A18" s="441">
        <v>1495</v>
      </c>
      <c r="B18" s="939" t="s">
        <v>2553</v>
      </c>
      <c r="C18" s="47" t="s">
        <v>88</v>
      </c>
      <c r="D18" s="449" t="s">
        <v>2537</v>
      </c>
      <c r="E18" s="946"/>
      <c r="F18" s="941">
        <f t="shared" si="0"/>
        <v>1.0209999999999999</v>
      </c>
      <c r="G18" s="947"/>
      <c r="H18" s="946"/>
      <c r="I18" s="948"/>
      <c r="J18" s="948"/>
      <c r="K18" s="948"/>
      <c r="L18" s="948"/>
      <c r="M18" s="948"/>
      <c r="N18" s="947"/>
      <c r="O18" s="949"/>
      <c r="P18" s="946"/>
      <c r="Q18" s="947"/>
      <c r="R18" s="950">
        <f t="shared" si="1"/>
        <v>1.0209999999999999</v>
      </c>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6"/>
      <c r="AV18" s="926"/>
      <c r="AW18" s="926"/>
      <c r="AX18" s="926"/>
      <c r="AY18" s="926"/>
      <c r="AZ18" s="926"/>
      <c r="BA18" s="926"/>
      <c r="BB18" s="926"/>
      <c r="BC18" s="926"/>
      <c r="BD18" s="926"/>
      <c r="BE18" s="926"/>
      <c r="BF18" s="926"/>
      <c r="BG18" s="926"/>
      <c r="BH18" s="926"/>
      <c r="BI18" s="926"/>
      <c r="BJ18" s="926"/>
      <c r="BK18" s="926"/>
      <c r="BL18" s="926"/>
      <c r="BM18" s="926"/>
      <c r="BN18" s="926"/>
      <c r="BO18" s="926"/>
      <c r="BP18" s="926"/>
      <c r="BQ18" s="926"/>
      <c r="BR18" s="926"/>
      <c r="BS18" s="926"/>
      <c r="BT18" s="926"/>
      <c r="BU18" s="926"/>
      <c r="BV18" s="926"/>
      <c r="BW18" s="926"/>
      <c r="BX18" s="926"/>
      <c r="BY18" s="926"/>
      <c r="BZ18" s="926"/>
      <c r="CA18" s="926"/>
      <c r="CB18" s="926"/>
      <c r="CC18" s="926"/>
      <c r="CD18" s="926"/>
      <c r="CE18" s="926"/>
      <c r="CF18" s="926"/>
      <c r="CG18" s="926"/>
      <c r="CH18" s="926"/>
      <c r="CI18" s="926"/>
      <c r="CJ18" s="926"/>
      <c r="CK18" s="926"/>
      <c r="CL18" s="926"/>
      <c r="CM18" s="926"/>
      <c r="CN18" s="926"/>
      <c r="CO18" s="926"/>
      <c r="CP18" s="926"/>
      <c r="CQ18" s="926"/>
      <c r="CR18" s="926"/>
      <c r="CS18" s="926"/>
      <c r="CT18" s="926"/>
      <c r="CU18" s="926"/>
      <c r="CV18" s="926"/>
      <c r="CW18" s="926"/>
      <c r="CX18" s="926"/>
      <c r="CY18" s="926"/>
      <c r="CZ18" s="926"/>
      <c r="DA18" s="926"/>
      <c r="DB18" s="926"/>
      <c r="DC18" s="926"/>
      <c r="DD18" s="926"/>
      <c r="DE18" s="926"/>
      <c r="DF18" s="926"/>
      <c r="DG18" s="926"/>
      <c r="DH18" s="926"/>
      <c r="DI18" s="926"/>
      <c r="DJ18" s="926"/>
      <c r="DK18" s="926"/>
      <c r="DL18" s="926"/>
      <c r="DM18" s="926"/>
      <c r="DN18" s="926"/>
      <c r="DO18" s="926"/>
      <c r="DP18" s="926"/>
      <c r="DQ18" s="926"/>
      <c r="DR18" s="926"/>
      <c r="DS18" s="926"/>
      <c r="DT18" s="926"/>
      <c r="DU18" s="926"/>
      <c r="DV18" s="926"/>
      <c r="DW18" s="926"/>
      <c r="DX18" s="926"/>
      <c r="DY18" s="926"/>
      <c r="DZ18" s="926"/>
      <c r="EA18" s="926"/>
      <c r="EB18" s="926"/>
      <c r="EC18" s="926"/>
      <c r="ED18" s="926"/>
      <c r="EE18" s="926"/>
      <c r="EF18" s="926"/>
      <c r="EG18" s="926"/>
      <c r="EH18" s="926"/>
      <c r="EI18" s="926"/>
      <c r="EJ18" s="926"/>
      <c r="EK18" s="926"/>
      <c r="EL18" s="926"/>
      <c r="EM18" s="926"/>
      <c r="EN18" s="926"/>
      <c r="EO18" s="926"/>
      <c r="EP18" s="926"/>
      <c r="EQ18" s="926"/>
      <c r="ER18" s="926"/>
      <c r="ES18" s="926"/>
      <c r="ET18" s="926"/>
      <c r="EU18" s="926"/>
      <c r="EV18" s="926"/>
      <c r="EW18" s="926"/>
      <c r="EX18" s="926"/>
      <c r="EY18" s="926"/>
      <c r="EZ18" s="926"/>
      <c r="FA18" s="926"/>
      <c r="FB18" s="926"/>
      <c r="FC18" s="926"/>
      <c r="FD18" s="926"/>
      <c r="FE18" s="926"/>
      <c r="FF18" s="926"/>
      <c r="FG18" s="926"/>
      <c r="FH18" s="926"/>
      <c r="FI18" s="926"/>
      <c r="FJ18" s="926"/>
      <c r="FK18" s="926"/>
      <c r="FL18" s="926"/>
      <c r="FM18" s="926"/>
      <c r="FN18" s="926"/>
      <c r="FO18" s="926"/>
      <c r="FP18" s="926"/>
      <c r="FQ18" s="926"/>
      <c r="FR18" s="926"/>
      <c r="FS18" s="926"/>
      <c r="FT18" s="926"/>
      <c r="FU18" s="926"/>
      <c r="FV18" s="926"/>
      <c r="FW18" s="926"/>
      <c r="FX18" s="926"/>
      <c r="FY18" s="926"/>
      <c r="FZ18" s="926"/>
      <c r="GA18" s="926"/>
      <c r="GB18" s="926"/>
      <c r="GC18" s="926"/>
      <c r="GD18" s="926"/>
      <c r="GE18" s="926"/>
      <c r="GF18" s="926"/>
      <c r="GG18" s="926"/>
      <c r="GH18" s="926"/>
      <c r="GI18" s="926"/>
      <c r="GJ18" s="926"/>
      <c r="GK18" s="926"/>
      <c r="GL18" s="926"/>
      <c r="GM18" s="926"/>
      <c r="GN18" s="926"/>
      <c r="GO18" s="926"/>
      <c r="GP18" s="926"/>
      <c r="GQ18" s="926"/>
      <c r="GR18" s="926"/>
      <c r="GS18" s="926"/>
      <c r="GT18" s="926"/>
      <c r="GU18" s="926"/>
      <c r="GV18" s="926"/>
      <c r="GW18" s="926"/>
      <c r="GX18" s="926"/>
      <c r="GY18" s="926"/>
      <c r="GZ18" s="926"/>
      <c r="HA18" s="926"/>
      <c r="HB18" s="926"/>
      <c r="HC18" s="926"/>
      <c r="HD18" s="926"/>
      <c r="HE18" s="926"/>
      <c r="HF18" s="926"/>
      <c r="HG18" s="926"/>
      <c r="HH18" s="926"/>
      <c r="HI18" s="926"/>
      <c r="HJ18" s="926"/>
      <c r="HK18" s="926"/>
      <c r="HL18" s="926"/>
      <c r="HM18" s="926"/>
      <c r="HN18" s="926"/>
      <c r="HO18" s="926"/>
      <c r="HP18" s="926"/>
      <c r="HQ18" s="926"/>
      <c r="HR18" s="926"/>
      <c r="HS18" s="926"/>
      <c r="HT18" s="926"/>
      <c r="HU18" s="926"/>
      <c r="HV18" s="926"/>
      <c r="HW18" s="926"/>
      <c r="HX18" s="926"/>
      <c r="HY18" s="926"/>
      <c r="HZ18" s="926"/>
      <c r="IA18" s="926"/>
      <c r="IB18" s="926"/>
      <c r="IC18" s="926"/>
      <c r="ID18" s="926"/>
      <c r="IE18" s="926"/>
      <c r="IF18" s="926"/>
      <c r="IG18" s="926"/>
      <c r="IH18" s="926"/>
      <c r="II18" s="926"/>
      <c r="IJ18" s="926"/>
      <c r="IK18" s="926"/>
      <c r="IL18" s="926"/>
      <c r="IM18" s="926"/>
    </row>
    <row r="19" spans="1:247" x14ac:dyDescent="0.45">
      <c r="A19" s="441">
        <v>1513</v>
      </c>
      <c r="B19" s="939" t="s">
        <v>2554</v>
      </c>
      <c r="C19" s="47" t="s">
        <v>8</v>
      </c>
      <c r="D19" s="449" t="s">
        <v>2537</v>
      </c>
      <c r="E19" s="946"/>
      <c r="F19" s="941">
        <f t="shared" si="0"/>
        <v>1.0209999999999999</v>
      </c>
      <c r="G19" s="947"/>
      <c r="H19" s="946"/>
      <c r="I19" s="948"/>
      <c r="J19" s="948"/>
      <c r="K19" s="948"/>
      <c r="L19" s="948"/>
      <c r="M19" s="948"/>
      <c r="N19" s="947"/>
      <c r="O19" s="949"/>
      <c r="P19" s="946">
        <f>+$P$3</f>
        <v>1.032</v>
      </c>
      <c r="Q19" s="947">
        <f>+$Q$3</f>
        <v>1.0349999999999999</v>
      </c>
      <c r="R19" s="950">
        <f t="shared" si="1"/>
        <v>1.0905505199999999</v>
      </c>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6"/>
      <c r="AV19" s="926"/>
      <c r="AW19" s="926"/>
      <c r="AX19" s="926"/>
      <c r="AY19" s="926"/>
      <c r="AZ19" s="926"/>
      <c r="BA19" s="926"/>
      <c r="BB19" s="926"/>
      <c r="BC19" s="926"/>
      <c r="BD19" s="926"/>
      <c r="BE19" s="926"/>
      <c r="BF19" s="926"/>
      <c r="BG19" s="926"/>
      <c r="BH19" s="926"/>
      <c r="BI19" s="926"/>
      <c r="BJ19" s="926"/>
      <c r="BK19" s="926"/>
      <c r="BL19" s="926"/>
      <c r="BM19" s="926"/>
      <c r="BN19" s="926"/>
      <c r="BO19" s="926"/>
      <c r="BP19" s="926"/>
      <c r="BQ19" s="926"/>
      <c r="BR19" s="926"/>
      <c r="BS19" s="926"/>
      <c r="BT19" s="926"/>
      <c r="BU19" s="926"/>
      <c r="BV19" s="926"/>
      <c r="BW19" s="926"/>
      <c r="BX19" s="926"/>
      <c r="BY19" s="926"/>
      <c r="BZ19" s="926"/>
      <c r="CA19" s="926"/>
      <c r="CB19" s="926"/>
      <c r="CC19" s="926"/>
      <c r="CD19" s="926"/>
      <c r="CE19" s="926"/>
      <c r="CF19" s="926"/>
      <c r="CG19" s="926"/>
      <c r="CH19" s="926"/>
      <c r="CI19" s="926"/>
      <c r="CJ19" s="926"/>
      <c r="CK19" s="926"/>
      <c r="CL19" s="926"/>
      <c r="CM19" s="926"/>
      <c r="CN19" s="926"/>
      <c r="CO19" s="926"/>
      <c r="CP19" s="926"/>
      <c r="CQ19" s="926"/>
      <c r="CR19" s="926"/>
      <c r="CS19" s="926"/>
      <c r="CT19" s="926"/>
      <c r="CU19" s="926"/>
      <c r="CV19" s="926"/>
      <c r="CW19" s="926"/>
      <c r="CX19" s="926"/>
      <c r="CY19" s="926"/>
      <c r="CZ19" s="926"/>
      <c r="DA19" s="926"/>
      <c r="DB19" s="926"/>
      <c r="DC19" s="926"/>
      <c r="DD19" s="926"/>
      <c r="DE19" s="926"/>
      <c r="DF19" s="926"/>
      <c r="DG19" s="926"/>
      <c r="DH19" s="926"/>
      <c r="DI19" s="926"/>
      <c r="DJ19" s="926"/>
      <c r="DK19" s="926"/>
      <c r="DL19" s="926"/>
      <c r="DM19" s="926"/>
      <c r="DN19" s="926"/>
      <c r="DO19" s="926"/>
      <c r="DP19" s="926"/>
      <c r="DQ19" s="926"/>
      <c r="DR19" s="926"/>
      <c r="DS19" s="926"/>
      <c r="DT19" s="926"/>
      <c r="DU19" s="926"/>
      <c r="DV19" s="926"/>
      <c r="DW19" s="926"/>
      <c r="DX19" s="926"/>
      <c r="DY19" s="926"/>
      <c r="DZ19" s="926"/>
      <c r="EA19" s="926"/>
      <c r="EB19" s="926"/>
      <c r="EC19" s="926"/>
      <c r="ED19" s="926"/>
      <c r="EE19" s="926"/>
      <c r="EF19" s="926"/>
      <c r="EG19" s="926"/>
      <c r="EH19" s="926"/>
      <c r="EI19" s="926"/>
      <c r="EJ19" s="926"/>
      <c r="EK19" s="926"/>
      <c r="EL19" s="926"/>
      <c r="EM19" s="926"/>
      <c r="EN19" s="926"/>
      <c r="EO19" s="926"/>
      <c r="EP19" s="926"/>
      <c r="EQ19" s="926"/>
      <c r="ER19" s="926"/>
      <c r="ES19" s="926"/>
      <c r="ET19" s="926"/>
      <c r="EU19" s="926"/>
      <c r="EV19" s="926"/>
      <c r="EW19" s="926"/>
      <c r="EX19" s="926"/>
      <c r="EY19" s="926"/>
      <c r="EZ19" s="926"/>
      <c r="FA19" s="926"/>
      <c r="FB19" s="926"/>
      <c r="FC19" s="926"/>
      <c r="FD19" s="926"/>
      <c r="FE19" s="926"/>
      <c r="FF19" s="926"/>
      <c r="FG19" s="926"/>
      <c r="FH19" s="926"/>
      <c r="FI19" s="926"/>
      <c r="FJ19" s="926"/>
      <c r="FK19" s="926"/>
      <c r="FL19" s="926"/>
      <c r="FM19" s="926"/>
      <c r="FN19" s="926"/>
      <c r="FO19" s="926"/>
      <c r="FP19" s="926"/>
      <c r="FQ19" s="926"/>
      <c r="FR19" s="926"/>
      <c r="FS19" s="926"/>
      <c r="FT19" s="926"/>
      <c r="FU19" s="926"/>
      <c r="FV19" s="926"/>
      <c r="FW19" s="926"/>
      <c r="FX19" s="926"/>
      <c r="FY19" s="926"/>
      <c r="FZ19" s="926"/>
      <c r="GA19" s="926"/>
      <c r="GB19" s="926"/>
      <c r="GC19" s="926"/>
      <c r="GD19" s="926"/>
      <c r="GE19" s="926"/>
      <c r="GF19" s="926"/>
      <c r="GG19" s="926"/>
      <c r="GH19" s="926"/>
      <c r="GI19" s="926"/>
      <c r="GJ19" s="926"/>
      <c r="GK19" s="926"/>
      <c r="GL19" s="926"/>
      <c r="GM19" s="926"/>
      <c r="GN19" s="926"/>
      <c r="GO19" s="926"/>
      <c r="GP19" s="926"/>
      <c r="GQ19" s="926"/>
      <c r="GR19" s="926"/>
      <c r="GS19" s="926"/>
      <c r="GT19" s="926"/>
      <c r="GU19" s="926"/>
      <c r="GV19" s="926"/>
      <c r="GW19" s="926"/>
      <c r="GX19" s="926"/>
      <c r="GY19" s="926"/>
      <c r="GZ19" s="926"/>
      <c r="HA19" s="926"/>
      <c r="HB19" s="926"/>
      <c r="HC19" s="926"/>
      <c r="HD19" s="926"/>
      <c r="HE19" s="926"/>
      <c r="HF19" s="926"/>
      <c r="HG19" s="926"/>
      <c r="HH19" s="926"/>
      <c r="HI19" s="926"/>
      <c r="HJ19" s="926"/>
      <c r="HK19" s="926"/>
      <c r="HL19" s="926"/>
      <c r="HM19" s="926"/>
      <c r="HN19" s="926"/>
      <c r="HO19" s="926"/>
      <c r="HP19" s="926"/>
      <c r="HQ19" s="926"/>
      <c r="HR19" s="926"/>
      <c r="HS19" s="926"/>
      <c r="HT19" s="926"/>
      <c r="HU19" s="926"/>
      <c r="HV19" s="926"/>
      <c r="HW19" s="926"/>
      <c r="HX19" s="926"/>
      <c r="HY19" s="926"/>
      <c r="HZ19" s="926"/>
      <c r="IA19" s="926"/>
      <c r="IB19" s="926"/>
      <c r="IC19" s="926"/>
      <c r="ID19" s="926"/>
      <c r="IE19" s="926"/>
      <c r="IF19" s="926"/>
      <c r="IG19" s="926"/>
      <c r="IH19" s="926"/>
      <c r="II19" s="926"/>
      <c r="IJ19" s="926"/>
      <c r="IK19" s="926"/>
      <c r="IL19" s="926"/>
      <c r="IM19" s="926"/>
    </row>
    <row r="20" spans="1:247" x14ac:dyDescent="0.45">
      <c r="A20" s="441">
        <v>1541</v>
      </c>
      <c r="B20" s="939" t="s">
        <v>2555</v>
      </c>
      <c r="C20" s="47" t="s">
        <v>113</v>
      </c>
      <c r="D20" s="449" t="s">
        <v>2537</v>
      </c>
      <c r="E20" s="946"/>
      <c r="F20" s="941">
        <f t="shared" si="0"/>
        <v>1.0209999999999999</v>
      </c>
      <c r="G20" s="947"/>
      <c r="H20" s="946"/>
      <c r="I20" s="948"/>
      <c r="J20" s="948"/>
      <c r="K20" s="948"/>
      <c r="L20" s="948"/>
      <c r="M20" s="948"/>
      <c r="N20" s="947"/>
      <c r="O20" s="949"/>
      <c r="P20" s="946"/>
      <c r="Q20" s="947"/>
      <c r="R20" s="950">
        <f t="shared" si="1"/>
        <v>1.0209999999999999</v>
      </c>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6"/>
      <c r="AV20" s="926"/>
      <c r="AW20" s="926"/>
      <c r="AX20" s="926"/>
      <c r="AY20" s="926"/>
      <c r="AZ20" s="926"/>
      <c r="BA20" s="926"/>
      <c r="BB20" s="926"/>
      <c r="BC20" s="926"/>
      <c r="BD20" s="926"/>
      <c r="BE20" s="926"/>
      <c r="BF20" s="926"/>
      <c r="BG20" s="926"/>
      <c r="BH20" s="926"/>
      <c r="BI20" s="926"/>
      <c r="BJ20" s="926"/>
      <c r="BK20" s="926"/>
      <c r="BL20" s="926"/>
      <c r="BM20" s="926"/>
      <c r="BN20" s="926"/>
      <c r="BO20" s="926"/>
      <c r="BP20" s="926"/>
      <c r="BQ20" s="926"/>
      <c r="BR20" s="926"/>
      <c r="BS20" s="926"/>
      <c r="BT20" s="926"/>
      <c r="BU20" s="926"/>
      <c r="BV20" s="926"/>
      <c r="BW20" s="926"/>
      <c r="BX20" s="926"/>
      <c r="BY20" s="926"/>
      <c r="BZ20" s="926"/>
      <c r="CA20" s="926"/>
      <c r="CB20" s="926"/>
      <c r="CC20" s="926"/>
      <c r="CD20" s="926"/>
      <c r="CE20" s="926"/>
      <c r="CF20" s="926"/>
      <c r="CG20" s="926"/>
      <c r="CH20" s="926"/>
      <c r="CI20" s="926"/>
      <c r="CJ20" s="926"/>
      <c r="CK20" s="926"/>
      <c r="CL20" s="926"/>
      <c r="CM20" s="926"/>
      <c r="CN20" s="926"/>
      <c r="CO20" s="926"/>
      <c r="CP20" s="926"/>
      <c r="CQ20" s="926"/>
      <c r="CR20" s="926"/>
      <c r="CS20" s="926"/>
      <c r="CT20" s="926"/>
      <c r="CU20" s="926"/>
      <c r="CV20" s="926"/>
      <c r="CW20" s="926"/>
      <c r="CX20" s="926"/>
      <c r="CY20" s="926"/>
      <c r="CZ20" s="926"/>
      <c r="DA20" s="926"/>
      <c r="DB20" s="926"/>
      <c r="DC20" s="926"/>
      <c r="DD20" s="926"/>
      <c r="DE20" s="926"/>
      <c r="DF20" s="926"/>
      <c r="DG20" s="926"/>
      <c r="DH20" s="926"/>
      <c r="DI20" s="926"/>
      <c r="DJ20" s="926"/>
      <c r="DK20" s="926"/>
      <c r="DL20" s="926"/>
      <c r="DM20" s="926"/>
      <c r="DN20" s="926"/>
      <c r="DO20" s="926"/>
      <c r="DP20" s="926"/>
      <c r="DQ20" s="926"/>
      <c r="DR20" s="926"/>
      <c r="DS20" s="926"/>
      <c r="DT20" s="926"/>
      <c r="DU20" s="926"/>
      <c r="DV20" s="926"/>
      <c r="DW20" s="926"/>
      <c r="DX20" s="926"/>
      <c r="DY20" s="926"/>
      <c r="DZ20" s="926"/>
      <c r="EA20" s="926"/>
      <c r="EB20" s="926"/>
      <c r="EC20" s="926"/>
      <c r="ED20" s="926"/>
      <c r="EE20" s="926"/>
      <c r="EF20" s="926"/>
      <c r="EG20" s="926"/>
      <c r="EH20" s="926"/>
      <c r="EI20" s="926"/>
      <c r="EJ20" s="926"/>
      <c r="EK20" s="926"/>
      <c r="EL20" s="926"/>
      <c r="EM20" s="926"/>
      <c r="EN20" s="926"/>
      <c r="EO20" s="926"/>
      <c r="EP20" s="926"/>
      <c r="EQ20" s="926"/>
      <c r="ER20" s="926"/>
      <c r="ES20" s="926"/>
      <c r="ET20" s="926"/>
      <c r="EU20" s="926"/>
      <c r="EV20" s="926"/>
      <c r="EW20" s="926"/>
      <c r="EX20" s="926"/>
      <c r="EY20" s="926"/>
      <c r="EZ20" s="926"/>
      <c r="FA20" s="926"/>
      <c r="FB20" s="926"/>
      <c r="FC20" s="926"/>
      <c r="FD20" s="926"/>
      <c r="FE20" s="926"/>
      <c r="FF20" s="926"/>
      <c r="FG20" s="926"/>
      <c r="FH20" s="926"/>
      <c r="FI20" s="926"/>
      <c r="FJ20" s="926"/>
      <c r="FK20" s="926"/>
      <c r="FL20" s="926"/>
      <c r="FM20" s="926"/>
      <c r="FN20" s="926"/>
      <c r="FO20" s="926"/>
      <c r="FP20" s="926"/>
      <c r="FQ20" s="926"/>
      <c r="FR20" s="926"/>
      <c r="FS20" s="926"/>
      <c r="FT20" s="926"/>
      <c r="FU20" s="926"/>
      <c r="FV20" s="926"/>
      <c r="FW20" s="926"/>
      <c r="FX20" s="926"/>
      <c r="FY20" s="926"/>
      <c r="FZ20" s="926"/>
      <c r="GA20" s="926"/>
      <c r="GB20" s="926"/>
      <c r="GC20" s="926"/>
      <c r="GD20" s="926"/>
      <c r="GE20" s="926"/>
      <c r="GF20" s="926"/>
      <c r="GG20" s="926"/>
      <c r="GH20" s="926"/>
      <c r="GI20" s="926"/>
      <c r="GJ20" s="926"/>
      <c r="GK20" s="926"/>
      <c r="GL20" s="926"/>
      <c r="GM20" s="926"/>
      <c r="GN20" s="926"/>
      <c r="GO20" s="926"/>
      <c r="GP20" s="926"/>
      <c r="GQ20" s="926"/>
      <c r="GR20" s="926"/>
      <c r="GS20" s="926"/>
      <c r="GT20" s="926"/>
      <c r="GU20" s="926"/>
      <c r="GV20" s="926"/>
      <c r="GW20" s="926"/>
      <c r="GX20" s="926"/>
      <c r="GY20" s="926"/>
      <c r="GZ20" s="926"/>
      <c r="HA20" s="926"/>
      <c r="HB20" s="926"/>
      <c r="HC20" s="926"/>
      <c r="HD20" s="926"/>
      <c r="HE20" s="926"/>
      <c r="HF20" s="926"/>
      <c r="HG20" s="926"/>
      <c r="HH20" s="926"/>
      <c r="HI20" s="926"/>
      <c r="HJ20" s="926"/>
      <c r="HK20" s="926"/>
      <c r="HL20" s="926"/>
      <c r="HM20" s="926"/>
      <c r="HN20" s="926"/>
      <c r="HO20" s="926"/>
      <c r="HP20" s="926"/>
      <c r="HQ20" s="926"/>
      <c r="HR20" s="926"/>
      <c r="HS20" s="926"/>
      <c r="HT20" s="926"/>
      <c r="HU20" s="926"/>
      <c r="HV20" s="926"/>
      <c r="HW20" s="926"/>
      <c r="HX20" s="926"/>
      <c r="HY20" s="926"/>
      <c r="HZ20" s="926"/>
      <c r="IA20" s="926"/>
      <c r="IB20" s="926"/>
      <c r="IC20" s="926"/>
      <c r="ID20" s="926"/>
      <c r="IE20" s="926"/>
      <c r="IF20" s="926"/>
      <c r="IG20" s="926"/>
      <c r="IH20" s="926"/>
      <c r="II20" s="926"/>
      <c r="IJ20" s="926"/>
      <c r="IK20" s="926"/>
      <c r="IL20" s="926"/>
      <c r="IM20" s="926"/>
    </row>
    <row r="21" spans="1:247" x14ac:dyDescent="0.45">
      <c r="A21" s="441">
        <v>1551</v>
      </c>
      <c r="B21" s="939" t="s">
        <v>2556</v>
      </c>
      <c r="C21" s="47" t="s">
        <v>548</v>
      </c>
      <c r="D21" s="449" t="s">
        <v>2537</v>
      </c>
      <c r="E21" s="946"/>
      <c r="F21" s="941">
        <f t="shared" si="0"/>
        <v>1.0209999999999999</v>
      </c>
      <c r="G21" s="947"/>
      <c r="H21" s="946"/>
      <c r="I21" s="948"/>
      <c r="J21" s="948"/>
      <c r="K21" s="948"/>
      <c r="L21" s="948"/>
      <c r="M21" s="948"/>
      <c r="N21" s="947"/>
      <c r="O21" s="949"/>
      <c r="P21" s="946">
        <f>+$P$3</f>
        <v>1.032</v>
      </c>
      <c r="Q21" s="947">
        <f>+$Q$3</f>
        <v>1.0349999999999999</v>
      </c>
      <c r="R21" s="950">
        <f t="shared" si="1"/>
        <v>1.0905505199999999</v>
      </c>
      <c r="S21" s="926"/>
      <c r="T21" s="926"/>
      <c r="U21" s="926"/>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6"/>
      <c r="AV21" s="926"/>
      <c r="AW21" s="926"/>
      <c r="AX21" s="926"/>
      <c r="AY21" s="926"/>
      <c r="AZ21" s="926"/>
      <c r="BA21" s="926"/>
      <c r="BB21" s="926"/>
      <c r="BC21" s="926"/>
      <c r="BD21" s="926"/>
      <c r="BE21" s="926"/>
      <c r="BF21" s="926"/>
      <c r="BG21" s="926"/>
      <c r="BH21" s="926"/>
      <c r="BI21" s="926"/>
      <c r="BJ21" s="926"/>
      <c r="BK21" s="926"/>
      <c r="BL21" s="926"/>
      <c r="BM21" s="926"/>
      <c r="BN21" s="926"/>
      <c r="BO21" s="926"/>
      <c r="BP21" s="926"/>
      <c r="BQ21" s="926"/>
      <c r="BR21" s="926"/>
      <c r="BS21" s="926"/>
      <c r="BT21" s="926"/>
      <c r="BU21" s="926"/>
      <c r="BV21" s="926"/>
      <c r="BW21" s="926"/>
      <c r="BX21" s="926"/>
      <c r="BY21" s="926"/>
      <c r="BZ21" s="926"/>
      <c r="CA21" s="926"/>
      <c r="CB21" s="926"/>
      <c r="CC21" s="926"/>
      <c r="CD21" s="926"/>
      <c r="CE21" s="926"/>
      <c r="CF21" s="926"/>
      <c r="CG21" s="926"/>
      <c r="CH21" s="926"/>
      <c r="CI21" s="926"/>
      <c r="CJ21" s="926"/>
      <c r="CK21" s="926"/>
      <c r="CL21" s="926"/>
      <c r="CM21" s="926"/>
      <c r="CN21" s="926"/>
      <c r="CO21" s="926"/>
      <c r="CP21" s="926"/>
      <c r="CQ21" s="926"/>
      <c r="CR21" s="926"/>
      <c r="CS21" s="926"/>
      <c r="CT21" s="926"/>
      <c r="CU21" s="926"/>
      <c r="CV21" s="926"/>
      <c r="CW21" s="926"/>
      <c r="CX21" s="926"/>
      <c r="CY21" s="926"/>
      <c r="CZ21" s="926"/>
      <c r="DA21" s="926"/>
      <c r="DB21" s="926"/>
      <c r="DC21" s="926"/>
      <c r="DD21" s="926"/>
      <c r="DE21" s="926"/>
      <c r="DF21" s="926"/>
      <c r="DG21" s="926"/>
      <c r="DH21" s="926"/>
      <c r="DI21" s="926"/>
      <c r="DJ21" s="926"/>
      <c r="DK21" s="926"/>
      <c r="DL21" s="926"/>
      <c r="DM21" s="926"/>
      <c r="DN21" s="926"/>
      <c r="DO21" s="926"/>
      <c r="DP21" s="926"/>
      <c r="DQ21" s="926"/>
      <c r="DR21" s="926"/>
      <c r="DS21" s="926"/>
      <c r="DT21" s="926"/>
      <c r="DU21" s="926"/>
      <c r="DV21" s="926"/>
      <c r="DW21" s="926"/>
      <c r="DX21" s="926"/>
      <c r="DY21" s="926"/>
      <c r="DZ21" s="926"/>
      <c r="EA21" s="926"/>
      <c r="EB21" s="926"/>
      <c r="EC21" s="926"/>
      <c r="ED21" s="926"/>
      <c r="EE21" s="926"/>
      <c r="EF21" s="926"/>
      <c r="EG21" s="926"/>
      <c r="EH21" s="926"/>
      <c r="EI21" s="926"/>
      <c r="EJ21" s="926"/>
      <c r="EK21" s="926"/>
      <c r="EL21" s="926"/>
      <c r="EM21" s="926"/>
      <c r="EN21" s="926"/>
      <c r="EO21" s="926"/>
      <c r="EP21" s="926"/>
      <c r="EQ21" s="926"/>
      <c r="ER21" s="926"/>
      <c r="ES21" s="926"/>
      <c r="ET21" s="926"/>
      <c r="EU21" s="926"/>
      <c r="EV21" s="926"/>
      <c r="EW21" s="926"/>
      <c r="EX21" s="926"/>
      <c r="EY21" s="926"/>
      <c r="EZ21" s="926"/>
      <c r="FA21" s="926"/>
      <c r="FB21" s="926"/>
      <c r="FC21" s="926"/>
      <c r="FD21" s="926"/>
      <c r="FE21" s="926"/>
      <c r="FF21" s="926"/>
      <c r="FG21" s="926"/>
      <c r="FH21" s="926"/>
      <c r="FI21" s="926"/>
      <c r="FJ21" s="926"/>
      <c r="FK21" s="926"/>
      <c r="FL21" s="926"/>
      <c r="FM21" s="926"/>
      <c r="FN21" s="926"/>
      <c r="FO21" s="926"/>
      <c r="FP21" s="926"/>
      <c r="FQ21" s="926"/>
      <c r="FR21" s="926"/>
      <c r="FS21" s="926"/>
      <c r="FT21" s="926"/>
      <c r="FU21" s="926"/>
      <c r="FV21" s="926"/>
      <c r="FW21" s="926"/>
      <c r="FX21" s="926"/>
      <c r="FY21" s="926"/>
      <c r="FZ21" s="926"/>
      <c r="GA21" s="926"/>
      <c r="GB21" s="926"/>
      <c r="GC21" s="926"/>
      <c r="GD21" s="926"/>
      <c r="GE21" s="926"/>
      <c r="GF21" s="926"/>
      <c r="GG21" s="926"/>
      <c r="GH21" s="926"/>
      <c r="GI21" s="926"/>
      <c r="GJ21" s="926"/>
      <c r="GK21" s="926"/>
      <c r="GL21" s="926"/>
      <c r="GM21" s="926"/>
      <c r="GN21" s="926"/>
      <c r="GO21" s="926"/>
      <c r="GP21" s="926"/>
      <c r="GQ21" s="926"/>
      <c r="GR21" s="926"/>
      <c r="GS21" s="926"/>
      <c r="GT21" s="926"/>
      <c r="GU21" s="926"/>
      <c r="GV21" s="926"/>
      <c r="GW21" s="926"/>
      <c r="GX21" s="926"/>
      <c r="GY21" s="926"/>
      <c r="GZ21" s="926"/>
      <c r="HA21" s="926"/>
      <c r="HB21" s="926"/>
      <c r="HC21" s="926"/>
      <c r="HD21" s="926"/>
      <c r="HE21" s="926"/>
      <c r="HF21" s="926"/>
      <c r="HG21" s="926"/>
      <c r="HH21" s="926"/>
      <c r="HI21" s="926"/>
      <c r="HJ21" s="926"/>
      <c r="HK21" s="926"/>
      <c r="HL21" s="926"/>
      <c r="HM21" s="926"/>
      <c r="HN21" s="926"/>
      <c r="HO21" s="926"/>
      <c r="HP21" s="926"/>
      <c r="HQ21" s="926"/>
      <c r="HR21" s="926"/>
      <c r="HS21" s="926"/>
      <c r="HT21" s="926"/>
      <c r="HU21" s="926"/>
      <c r="HV21" s="926"/>
      <c r="HW21" s="926"/>
      <c r="HX21" s="926"/>
      <c r="HY21" s="926"/>
      <c r="HZ21" s="926"/>
      <c r="IA21" s="926"/>
      <c r="IB21" s="926"/>
      <c r="IC21" s="926"/>
      <c r="ID21" s="926"/>
      <c r="IE21" s="926"/>
      <c r="IF21" s="926"/>
      <c r="IG21" s="926"/>
      <c r="IH21" s="926"/>
      <c r="II21" s="926"/>
      <c r="IJ21" s="926"/>
      <c r="IK21" s="926"/>
      <c r="IL21" s="926"/>
      <c r="IM21" s="926"/>
    </row>
    <row r="22" spans="1:247" x14ac:dyDescent="0.45">
      <c r="A22" s="441">
        <v>1552</v>
      </c>
      <c r="B22" s="939" t="s">
        <v>2557</v>
      </c>
      <c r="C22" s="47" t="s">
        <v>35</v>
      </c>
      <c r="D22" s="449" t="s">
        <v>2545</v>
      </c>
      <c r="E22" s="946"/>
      <c r="F22" s="941">
        <f t="shared" si="0"/>
        <v>1.0209999999999999</v>
      </c>
      <c r="G22" s="947"/>
      <c r="H22" s="946"/>
      <c r="I22" s="948"/>
      <c r="J22" s="948">
        <f>+$J$3</f>
        <v>1.0049999999999999</v>
      </c>
      <c r="K22" s="948"/>
      <c r="L22" s="948"/>
      <c r="M22" s="948"/>
      <c r="N22" s="947">
        <f>+$N$3</f>
        <v>1.0029999999999999</v>
      </c>
      <c r="O22" s="949">
        <f>+$O$3</f>
        <v>1.0209999999999999</v>
      </c>
      <c r="P22" s="946">
        <f>+$P$3</f>
        <v>1.032</v>
      </c>
      <c r="Q22" s="947">
        <f>+$Q$3</f>
        <v>1.0349999999999999</v>
      </c>
      <c r="R22" s="950">
        <f t="shared" si="1"/>
        <v>1.1223763993485734</v>
      </c>
      <c r="S22" s="926"/>
      <c r="T22" s="926"/>
      <c r="U22" s="926"/>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6"/>
      <c r="AV22" s="926"/>
      <c r="AW22" s="926"/>
      <c r="AX22" s="926"/>
      <c r="AY22" s="926"/>
      <c r="AZ22" s="926"/>
      <c r="BA22" s="926"/>
      <c r="BB22" s="926"/>
      <c r="BC22" s="926"/>
      <c r="BD22" s="926"/>
      <c r="BE22" s="926"/>
      <c r="BF22" s="926"/>
      <c r="BG22" s="926"/>
      <c r="BH22" s="926"/>
      <c r="BI22" s="926"/>
      <c r="BJ22" s="926"/>
      <c r="BK22" s="926"/>
      <c r="BL22" s="926"/>
      <c r="BM22" s="926"/>
      <c r="BN22" s="926"/>
      <c r="BO22" s="926"/>
      <c r="BP22" s="926"/>
      <c r="BQ22" s="926"/>
      <c r="BR22" s="926"/>
      <c r="BS22" s="926"/>
      <c r="BT22" s="926"/>
      <c r="BU22" s="926"/>
      <c r="BV22" s="926"/>
      <c r="BW22" s="926"/>
      <c r="BX22" s="926"/>
      <c r="BY22" s="926"/>
      <c r="BZ22" s="926"/>
      <c r="CA22" s="926"/>
      <c r="CB22" s="926"/>
      <c r="CC22" s="926"/>
      <c r="CD22" s="926"/>
      <c r="CE22" s="926"/>
      <c r="CF22" s="926"/>
      <c r="CG22" s="926"/>
      <c r="CH22" s="926"/>
      <c r="CI22" s="926"/>
      <c r="CJ22" s="926"/>
      <c r="CK22" s="926"/>
      <c r="CL22" s="926"/>
      <c r="CM22" s="926"/>
      <c r="CN22" s="926"/>
      <c r="CO22" s="926"/>
      <c r="CP22" s="926"/>
      <c r="CQ22" s="926"/>
      <c r="CR22" s="926"/>
      <c r="CS22" s="926"/>
      <c r="CT22" s="926"/>
      <c r="CU22" s="926"/>
      <c r="CV22" s="926"/>
      <c r="CW22" s="926"/>
      <c r="CX22" s="926"/>
      <c r="CY22" s="926"/>
      <c r="CZ22" s="926"/>
      <c r="DA22" s="926"/>
      <c r="DB22" s="926"/>
      <c r="DC22" s="926"/>
      <c r="DD22" s="926"/>
      <c r="DE22" s="926"/>
      <c r="DF22" s="926"/>
      <c r="DG22" s="926"/>
      <c r="DH22" s="926"/>
      <c r="DI22" s="926"/>
      <c r="DJ22" s="926"/>
      <c r="DK22" s="926"/>
      <c r="DL22" s="926"/>
      <c r="DM22" s="926"/>
      <c r="DN22" s="926"/>
      <c r="DO22" s="926"/>
      <c r="DP22" s="926"/>
      <c r="DQ22" s="926"/>
      <c r="DR22" s="926"/>
      <c r="DS22" s="926"/>
      <c r="DT22" s="926"/>
      <c r="DU22" s="926"/>
      <c r="DV22" s="926"/>
      <c r="DW22" s="926"/>
      <c r="DX22" s="926"/>
      <c r="DY22" s="926"/>
      <c r="DZ22" s="926"/>
      <c r="EA22" s="926"/>
      <c r="EB22" s="926"/>
      <c r="EC22" s="926"/>
      <c r="ED22" s="926"/>
      <c r="EE22" s="926"/>
      <c r="EF22" s="926"/>
      <c r="EG22" s="926"/>
      <c r="EH22" s="926"/>
      <c r="EI22" s="926"/>
      <c r="EJ22" s="926"/>
      <c r="EK22" s="926"/>
      <c r="EL22" s="926"/>
      <c r="EM22" s="926"/>
      <c r="EN22" s="926"/>
      <c r="EO22" s="926"/>
      <c r="EP22" s="926"/>
      <c r="EQ22" s="926"/>
      <c r="ER22" s="926"/>
      <c r="ES22" s="926"/>
      <c r="ET22" s="926"/>
      <c r="EU22" s="926"/>
      <c r="EV22" s="926"/>
      <c r="EW22" s="926"/>
      <c r="EX22" s="926"/>
      <c r="EY22" s="926"/>
      <c r="EZ22" s="926"/>
      <c r="FA22" s="926"/>
      <c r="FB22" s="926"/>
      <c r="FC22" s="926"/>
      <c r="FD22" s="926"/>
      <c r="FE22" s="926"/>
      <c r="FF22" s="926"/>
      <c r="FG22" s="926"/>
      <c r="FH22" s="926"/>
      <c r="FI22" s="926"/>
      <c r="FJ22" s="926"/>
      <c r="FK22" s="926"/>
      <c r="FL22" s="926"/>
      <c r="FM22" s="926"/>
      <c r="FN22" s="926"/>
      <c r="FO22" s="926"/>
      <c r="FP22" s="926"/>
      <c r="FQ22" s="926"/>
      <c r="FR22" s="926"/>
      <c r="FS22" s="926"/>
      <c r="FT22" s="926"/>
      <c r="FU22" s="926"/>
      <c r="FV22" s="926"/>
      <c r="FW22" s="926"/>
      <c r="FX22" s="926"/>
      <c r="FY22" s="926"/>
      <c r="FZ22" s="926"/>
      <c r="GA22" s="926"/>
      <c r="GB22" s="926"/>
      <c r="GC22" s="926"/>
      <c r="GD22" s="926"/>
      <c r="GE22" s="926"/>
      <c r="GF22" s="926"/>
      <c r="GG22" s="926"/>
      <c r="GH22" s="926"/>
      <c r="GI22" s="926"/>
      <c r="GJ22" s="926"/>
      <c r="GK22" s="926"/>
      <c r="GL22" s="926"/>
      <c r="GM22" s="926"/>
      <c r="GN22" s="926"/>
      <c r="GO22" s="926"/>
      <c r="GP22" s="926"/>
      <c r="GQ22" s="926"/>
      <c r="GR22" s="926"/>
      <c r="GS22" s="926"/>
      <c r="GT22" s="926"/>
      <c r="GU22" s="926"/>
      <c r="GV22" s="926"/>
      <c r="GW22" s="926"/>
      <c r="GX22" s="926"/>
      <c r="GY22" s="926"/>
      <c r="GZ22" s="926"/>
      <c r="HA22" s="926"/>
      <c r="HB22" s="926"/>
      <c r="HC22" s="926"/>
      <c r="HD22" s="926"/>
      <c r="HE22" s="926"/>
      <c r="HF22" s="926"/>
      <c r="HG22" s="926"/>
      <c r="HH22" s="926"/>
      <c r="HI22" s="926"/>
      <c r="HJ22" s="926"/>
      <c r="HK22" s="926"/>
      <c r="HL22" s="926"/>
      <c r="HM22" s="926"/>
      <c r="HN22" s="926"/>
      <c r="HO22" s="926"/>
      <c r="HP22" s="926"/>
      <c r="HQ22" s="926"/>
      <c r="HR22" s="926"/>
      <c r="HS22" s="926"/>
      <c r="HT22" s="926"/>
      <c r="HU22" s="926"/>
      <c r="HV22" s="926"/>
      <c r="HW22" s="926"/>
      <c r="HX22" s="926"/>
      <c r="HY22" s="926"/>
      <c r="HZ22" s="926"/>
      <c r="IA22" s="926"/>
      <c r="IB22" s="926"/>
      <c r="IC22" s="926"/>
      <c r="ID22" s="926"/>
      <c r="IE22" s="926"/>
      <c r="IF22" s="926"/>
      <c r="IG22" s="926"/>
      <c r="IH22" s="926"/>
      <c r="II22" s="926"/>
      <c r="IJ22" s="926"/>
      <c r="IK22" s="926"/>
      <c r="IL22" s="926"/>
      <c r="IM22" s="926"/>
    </row>
    <row r="23" spans="1:247" x14ac:dyDescent="0.45">
      <c r="A23" s="441">
        <v>1591</v>
      </c>
      <c r="B23" s="939" t="s">
        <v>2558</v>
      </c>
      <c r="C23" s="47" t="s">
        <v>88</v>
      </c>
      <c r="D23" s="449" t="s">
        <v>2537</v>
      </c>
      <c r="E23" s="946"/>
      <c r="F23" s="941">
        <f t="shared" si="0"/>
        <v>1.0209999999999999</v>
      </c>
      <c r="G23" s="947"/>
      <c r="H23" s="946"/>
      <c r="I23" s="948"/>
      <c r="J23" s="948"/>
      <c r="K23" s="948"/>
      <c r="L23" s="948"/>
      <c r="M23" s="948"/>
      <c r="N23" s="947"/>
      <c r="O23" s="949"/>
      <c r="P23" s="946"/>
      <c r="Q23" s="947"/>
      <c r="R23" s="950">
        <f t="shared" si="1"/>
        <v>1.0209999999999999</v>
      </c>
      <c r="S23" s="926"/>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6"/>
      <c r="AV23" s="926"/>
      <c r="AW23" s="926"/>
      <c r="AX23" s="926"/>
      <c r="AY23" s="926"/>
      <c r="AZ23" s="926"/>
      <c r="BA23" s="926"/>
      <c r="BB23" s="926"/>
      <c r="BC23" s="926"/>
      <c r="BD23" s="926"/>
      <c r="BE23" s="926"/>
      <c r="BF23" s="926"/>
      <c r="BG23" s="926"/>
      <c r="BH23" s="926"/>
      <c r="BI23" s="926"/>
      <c r="BJ23" s="926"/>
      <c r="BK23" s="926"/>
      <c r="BL23" s="926"/>
      <c r="BM23" s="926"/>
      <c r="BN23" s="926"/>
      <c r="BO23" s="926"/>
      <c r="BP23" s="926"/>
      <c r="BQ23" s="926"/>
      <c r="BR23" s="926"/>
      <c r="BS23" s="926"/>
      <c r="BT23" s="926"/>
      <c r="BU23" s="926"/>
      <c r="BV23" s="926"/>
      <c r="BW23" s="926"/>
      <c r="BX23" s="926"/>
      <c r="BY23" s="926"/>
      <c r="BZ23" s="926"/>
      <c r="CA23" s="926"/>
      <c r="CB23" s="926"/>
      <c r="CC23" s="926"/>
      <c r="CD23" s="926"/>
      <c r="CE23" s="926"/>
      <c r="CF23" s="926"/>
      <c r="CG23" s="926"/>
      <c r="CH23" s="926"/>
      <c r="CI23" s="926"/>
      <c r="CJ23" s="926"/>
      <c r="CK23" s="926"/>
      <c r="CL23" s="926"/>
      <c r="CM23" s="926"/>
      <c r="CN23" s="926"/>
      <c r="CO23" s="926"/>
      <c r="CP23" s="926"/>
      <c r="CQ23" s="926"/>
      <c r="CR23" s="926"/>
      <c r="CS23" s="926"/>
      <c r="CT23" s="926"/>
      <c r="CU23" s="926"/>
      <c r="CV23" s="926"/>
      <c r="CW23" s="926"/>
      <c r="CX23" s="926"/>
      <c r="CY23" s="926"/>
      <c r="CZ23" s="926"/>
      <c r="DA23" s="926"/>
      <c r="DB23" s="926"/>
      <c r="DC23" s="926"/>
      <c r="DD23" s="926"/>
      <c r="DE23" s="926"/>
      <c r="DF23" s="926"/>
      <c r="DG23" s="926"/>
      <c r="DH23" s="926"/>
      <c r="DI23" s="926"/>
      <c r="DJ23" s="926"/>
      <c r="DK23" s="926"/>
      <c r="DL23" s="926"/>
      <c r="DM23" s="926"/>
      <c r="DN23" s="926"/>
      <c r="DO23" s="926"/>
      <c r="DP23" s="926"/>
      <c r="DQ23" s="926"/>
      <c r="DR23" s="926"/>
      <c r="DS23" s="926"/>
      <c r="DT23" s="926"/>
      <c r="DU23" s="926"/>
      <c r="DV23" s="926"/>
      <c r="DW23" s="926"/>
      <c r="DX23" s="926"/>
      <c r="DY23" s="926"/>
      <c r="DZ23" s="926"/>
      <c r="EA23" s="926"/>
      <c r="EB23" s="926"/>
      <c r="EC23" s="926"/>
      <c r="ED23" s="926"/>
      <c r="EE23" s="926"/>
      <c r="EF23" s="926"/>
      <c r="EG23" s="926"/>
      <c r="EH23" s="926"/>
      <c r="EI23" s="926"/>
      <c r="EJ23" s="926"/>
      <c r="EK23" s="926"/>
      <c r="EL23" s="926"/>
      <c r="EM23" s="926"/>
      <c r="EN23" s="926"/>
      <c r="EO23" s="926"/>
      <c r="EP23" s="926"/>
      <c r="EQ23" s="926"/>
      <c r="ER23" s="926"/>
      <c r="ES23" s="926"/>
      <c r="ET23" s="926"/>
      <c r="EU23" s="926"/>
      <c r="EV23" s="926"/>
      <c r="EW23" s="926"/>
      <c r="EX23" s="926"/>
      <c r="EY23" s="926"/>
      <c r="EZ23" s="926"/>
      <c r="FA23" s="926"/>
      <c r="FB23" s="926"/>
      <c r="FC23" s="926"/>
      <c r="FD23" s="926"/>
      <c r="FE23" s="926"/>
      <c r="FF23" s="926"/>
      <c r="FG23" s="926"/>
      <c r="FH23" s="926"/>
      <c r="FI23" s="926"/>
      <c r="FJ23" s="926"/>
      <c r="FK23" s="926"/>
      <c r="FL23" s="926"/>
      <c r="FM23" s="926"/>
      <c r="FN23" s="926"/>
      <c r="FO23" s="926"/>
      <c r="FP23" s="926"/>
      <c r="FQ23" s="926"/>
      <c r="FR23" s="926"/>
      <c r="FS23" s="926"/>
      <c r="FT23" s="926"/>
      <c r="FU23" s="926"/>
      <c r="FV23" s="926"/>
      <c r="FW23" s="926"/>
      <c r="FX23" s="926"/>
      <c r="FY23" s="926"/>
      <c r="FZ23" s="926"/>
      <c r="GA23" s="926"/>
      <c r="GB23" s="926"/>
      <c r="GC23" s="926"/>
      <c r="GD23" s="926"/>
      <c r="GE23" s="926"/>
      <c r="GF23" s="926"/>
      <c r="GG23" s="926"/>
      <c r="GH23" s="926"/>
      <c r="GI23" s="926"/>
      <c r="GJ23" s="926"/>
      <c r="GK23" s="926"/>
      <c r="GL23" s="926"/>
      <c r="GM23" s="926"/>
      <c r="GN23" s="926"/>
      <c r="GO23" s="926"/>
      <c r="GP23" s="926"/>
      <c r="GQ23" s="926"/>
      <c r="GR23" s="926"/>
      <c r="GS23" s="926"/>
      <c r="GT23" s="926"/>
      <c r="GU23" s="926"/>
      <c r="GV23" s="926"/>
      <c r="GW23" s="926"/>
      <c r="GX23" s="926"/>
      <c r="GY23" s="926"/>
      <c r="GZ23" s="926"/>
      <c r="HA23" s="926"/>
      <c r="HB23" s="926"/>
      <c r="HC23" s="926"/>
      <c r="HD23" s="926"/>
      <c r="HE23" s="926"/>
      <c r="HF23" s="926"/>
      <c r="HG23" s="926"/>
      <c r="HH23" s="926"/>
      <c r="HI23" s="926"/>
      <c r="HJ23" s="926"/>
      <c r="HK23" s="926"/>
      <c r="HL23" s="926"/>
      <c r="HM23" s="926"/>
      <c r="HN23" s="926"/>
      <c r="HO23" s="926"/>
      <c r="HP23" s="926"/>
      <c r="HQ23" s="926"/>
      <c r="HR23" s="926"/>
      <c r="HS23" s="926"/>
      <c r="HT23" s="926"/>
      <c r="HU23" s="926"/>
      <c r="HV23" s="926"/>
      <c r="HW23" s="926"/>
      <c r="HX23" s="926"/>
      <c r="HY23" s="926"/>
      <c r="HZ23" s="926"/>
      <c r="IA23" s="926"/>
      <c r="IB23" s="926"/>
      <c r="IC23" s="926"/>
      <c r="ID23" s="926"/>
      <c r="IE23" s="926"/>
      <c r="IF23" s="926"/>
      <c r="IG23" s="926"/>
      <c r="IH23" s="926"/>
      <c r="II23" s="926"/>
      <c r="IJ23" s="926"/>
      <c r="IK23" s="926"/>
      <c r="IL23" s="926"/>
      <c r="IM23" s="926"/>
    </row>
    <row r="24" spans="1:247" x14ac:dyDescent="0.45">
      <c r="A24" s="441">
        <v>1593</v>
      </c>
      <c r="B24" s="939" t="s">
        <v>2559</v>
      </c>
      <c r="C24" s="47" t="s">
        <v>8</v>
      </c>
      <c r="D24" s="449" t="s">
        <v>2537</v>
      </c>
      <c r="E24" s="946"/>
      <c r="F24" s="941">
        <f t="shared" si="0"/>
        <v>1.0209999999999999</v>
      </c>
      <c r="G24" s="947"/>
      <c r="H24" s="946"/>
      <c r="I24" s="948"/>
      <c r="J24" s="948"/>
      <c r="K24" s="948"/>
      <c r="L24" s="948"/>
      <c r="M24" s="948"/>
      <c r="N24" s="947"/>
      <c r="O24" s="949"/>
      <c r="P24" s="946"/>
      <c r="Q24" s="947"/>
      <c r="R24" s="950">
        <f>PRODUCT(E24:Q24)</f>
        <v>1.0209999999999999</v>
      </c>
      <c r="S24" s="926"/>
      <c r="T24" s="926"/>
      <c r="U24" s="926"/>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6"/>
      <c r="AV24" s="926"/>
      <c r="AW24" s="926"/>
      <c r="AX24" s="926"/>
      <c r="AY24" s="926"/>
      <c r="AZ24" s="926"/>
      <c r="BA24" s="926"/>
      <c r="BB24" s="926"/>
      <c r="BC24" s="926"/>
      <c r="BD24" s="926"/>
      <c r="BE24" s="926"/>
      <c r="BF24" s="926"/>
      <c r="BG24" s="926"/>
      <c r="BH24" s="926"/>
      <c r="BI24" s="926"/>
      <c r="BJ24" s="926"/>
      <c r="BK24" s="926"/>
      <c r="BL24" s="926"/>
      <c r="BM24" s="926"/>
      <c r="BN24" s="926"/>
      <c r="BO24" s="926"/>
      <c r="BP24" s="926"/>
      <c r="BQ24" s="926"/>
      <c r="BR24" s="926"/>
      <c r="BS24" s="926"/>
      <c r="BT24" s="926"/>
      <c r="BU24" s="926"/>
      <c r="BV24" s="926"/>
      <c r="BW24" s="926"/>
      <c r="BX24" s="926"/>
      <c r="BY24" s="926"/>
      <c r="BZ24" s="926"/>
      <c r="CA24" s="926"/>
      <c r="CB24" s="926"/>
      <c r="CC24" s="926"/>
      <c r="CD24" s="926"/>
      <c r="CE24" s="926"/>
      <c r="CF24" s="926"/>
      <c r="CG24" s="926"/>
      <c r="CH24" s="926"/>
      <c r="CI24" s="926"/>
      <c r="CJ24" s="926"/>
      <c r="CK24" s="926"/>
      <c r="CL24" s="926"/>
      <c r="CM24" s="926"/>
      <c r="CN24" s="926"/>
      <c r="CO24" s="926"/>
      <c r="CP24" s="926"/>
      <c r="CQ24" s="926"/>
      <c r="CR24" s="926"/>
      <c r="CS24" s="926"/>
      <c r="CT24" s="926"/>
      <c r="CU24" s="926"/>
      <c r="CV24" s="926"/>
      <c r="CW24" s="926"/>
      <c r="CX24" s="926"/>
      <c r="CY24" s="926"/>
      <c r="CZ24" s="926"/>
      <c r="DA24" s="926"/>
      <c r="DB24" s="926"/>
      <c r="DC24" s="926"/>
      <c r="DD24" s="926"/>
      <c r="DE24" s="926"/>
      <c r="DF24" s="926"/>
      <c r="DG24" s="926"/>
      <c r="DH24" s="926"/>
      <c r="DI24" s="926"/>
      <c r="DJ24" s="926"/>
      <c r="DK24" s="926"/>
      <c r="DL24" s="926"/>
      <c r="DM24" s="926"/>
      <c r="DN24" s="926"/>
      <c r="DO24" s="926"/>
      <c r="DP24" s="926"/>
      <c r="DQ24" s="926"/>
      <c r="DR24" s="926"/>
      <c r="DS24" s="926"/>
      <c r="DT24" s="926"/>
      <c r="DU24" s="926"/>
      <c r="DV24" s="926"/>
      <c r="DW24" s="926"/>
      <c r="DX24" s="926"/>
      <c r="DY24" s="926"/>
      <c r="DZ24" s="926"/>
      <c r="EA24" s="926"/>
      <c r="EB24" s="926"/>
      <c r="EC24" s="926"/>
      <c r="ED24" s="926"/>
      <c r="EE24" s="926"/>
      <c r="EF24" s="926"/>
      <c r="EG24" s="926"/>
      <c r="EH24" s="926"/>
      <c r="EI24" s="926"/>
      <c r="EJ24" s="926"/>
      <c r="EK24" s="926"/>
      <c r="EL24" s="926"/>
      <c r="EM24" s="926"/>
      <c r="EN24" s="926"/>
      <c r="EO24" s="926"/>
      <c r="EP24" s="926"/>
      <c r="EQ24" s="926"/>
      <c r="ER24" s="926"/>
      <c r="ES24" s="926"/>
      <c r="ET24" s="926"/>
      <c r="EU24" s="926"/>
      <c r="EV24" s="926"/>
      <c r="EW24" s="926"/>
      <c r="EX24" s="926"/>
      <c r="EY24" s="926"/>
      <c r="EZ24" s="926"/>
      <c r="FA24" s="926"/>
      <c r="FB24" s="926"/>
      <c r="FC24" s="926"/>
      <c r="FD24" s="926"/>
      <c r="FE24" s="926"/>
      <c r="FF24" s="926"/>
      <c r="FG24" s="926"/>
      <c r="FH24" s="926"/>
      <c r="FI24" s="926"/>
      <c r="FJ24" s="926"/>
      <c r="FK24" s="926"/>
      <c r="FL24" s="926"/>
      <c r="FM24" s="926"/>
      <c r="FN24" s="926"/>
      <c r="FO24" s="926"/>
      <c r="FP24" s="926"/>
      <c r="FQ24" s="926"/>
      <c r="FR24" s="926"/>
      <c r="FS24" s="926"/>
      <c r="FT24" s="926"/>
      <c r="FU24" s="926"/>
      <c r="FV24" s="926"/>
      <c r="FW24" s="926"/>
      <c r="FX24" s="926"/>
      <c r="FY24" s="926"/>
      <c r="FZ24" s="926"/>
      <c r="GA24" s="926"/>
      <c r="GB24" s="926"/>
      <c r="GC24" s="926"/>
      <c r="GD24" s="926"/>
      <c r="GE24" s="926"/>
      <c r="GF24" s="926"/>
      <c r="GG24" s="926"/>
      <c r="GH24" s="926"/>
      <c r="GI24" s="926"/>
      <c r="GJ24" s="926"/>
      <c r="GK24" s="926"/>
      <c r="GL24" s="926"/>
      <c r="GM24" s="926"/>
      <c r="GN24" s="926"/>
      <c r="GO24" s="926"/>
      <c r="GP24" s="926"/>
      <c r="GQ24" s="926"/>
      <c r="GR24" s="926"/>
      <c r="GS24" s="926"/>
      <c r="GT24" s="926"/>
      <c r="GU24" s="926"/>
      <c r="GV24" s="926"/>
      <c r="GW24" s="926"/>
      <c r="GX24" s="926"/>
      <c r="GY24" s="926"/>
      <c r="GZ24" s="926"/>
      <c r="HA24" s="926"/>
      <c r="HB24" s="926"/>
      <c r="HC24" s="926"/>
      <c r="HD24" s="926"/>
      <c r="HE24" s="926"/>
      <c r="HF24" s="926"/>
      <c r="HG24" s="926"/>
      <c r="HH24" s="926"/>
      <c r="HI24" s="926"/>
      <c r="HJ24" s="926"/>
      <c r="HK24" s="926"/>
      <c r="HL24" s="926"/>
      <c r="HM24" s="926"/>
      <c r="HN24" s="926"/>
      <c r="HO24" s="926"/>
      <c r="HP24" s="926"/>
      <c r="HQ24" s="926"/>
      <c r="HR24" s="926"/>
      <c r="HS24" s="926"/>
      <c r="HT24" s="926"/>
      <c r="HU24" s="926"/>
      <c r="HV24" s="926"/>
      <c r="HW24" s="926"/>
      <c r="HX24" s="926"/>
      <c r="HY24" s="926"/>
      <c r="HZ24" s="926"/>
      <c r="IA24" s="926"/>
      <c r="IB24" s="926"/>
      <c r="IC24" s="926"/>
      <c r="ID24" s="926"/>
      <c r="IE24" s="926"/>
      <c r="IF24" s="926"/>
      <c r="IG24" s="926"/>
      <c r="IH24" s="926"/>
      <c r="II24" s="926"/>
      <c r="IJ24" s="926"/>
      <c r="IK24" s="926"/>
      <c r="IL24" s="926"/>
      <c r="IM24" s="926"/>
    </row>
    <row r="25" spans="1:247" x14ac:dyDescent="0.45">
      <c r="A25" s="441">
        <v>1641</v>
      </c>
      <c r="B25" s="939" t="s">
        <v>2560</v>
      </c>
      <c r="C25" s="47" t="s">
        <v>113</v>
      </c>
      <c r="D25" s="449" t="s">
        <v>2537</v>
      </c>
      <c r="E25" s="946"/>
      <c r="F25" s="941">
        <f t="shared" si="0"/>
        <v>1.0209999999999999</v>
      </c>
      <c r="G25" s="947"/>
      <c r="H25" s="946"/>
      <c r="I25" s="948"/>
      <c r="J25" s="948"/>
      <c r="K25" s="948"/>
      <c r="L25" s="948"/>
      <c r="M25" s="948"/>
      <c r="N25" s="947"/>
      <c r="O25" s="949"/>
      <c r="P25" s="946"/>
      <c r="Q25" s="947"/>
      <c r="R25" s="950">
        <f t="shared" si="1"/>
        <v>1.0209999999999999</v>
      </c>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6"/>
      <c r="AV25" s="926"/>
      <c r="AW25" s="926"/>
      <c r="AX25" s="926"/>
      <c r="AY25" s="926"/>
      <c r="AZ25" s="926"/>
      <c r="BA25" s="926"/>
      <c r="BB25" s="926"/>
      <c r="BC25" s="926"/>
      <c r="BD25" s="926"/>
      <c r="BE25" s="926"/>
      <c r="BF25" s="926"/>
      <c r="BG25" s="926"/>
      <c r="BH25" s="926"/>
      <c r="BI25" s="926"/>
      <c r="BJ25" s="926"/>
      <c r="BK25" s="926"/>
      <c r="BL25" s="926"/>
      <c r="BM25" s="926"/>
      <c r="BN25" s="926"/>
      <c r="BO25" s="926"/>
      <c r="BP25" s="926"/>
      <c r="BQ25" s="926"/>
      <c r="BR25" s="926"/>
      <c r="BS25" s="926"/>
      <c r="BT25" s="926"/>
      <c r="BU25" s="926"/>
      <c r="BV25" s="926"/>
      <c r="BW25" s="926"/>
      <c r="BX25" s="926"/>
      <c r="BY25" s="926"/>
      <c r="BZ25" s="926"/>
      <c r="CA25" s="926"/>
      <c r="CB25" s="926"/>
      <c r="CC25" s="926"/>
      <c r="CD25" s="926"/>
      <c r="CE25" s="926"/>
      <c r="CF25" s="926"/>
      <c r="CG25" s="926"/>
      <c r="CH25" s="926"/>
      <c r="CI25" s="926"/>
      <c r="CJ25" s="926"/>
      <c r="CK25" s="926"/>
      <c r="CL25" s="926"/>
      <c r="CM25" s="926"/>
      <c r="CN25" s="926"/>
      <c r="CO25" s="926"/>
      <c r="CP25" s="926"/>
      <c r="CQ25" s="926"/>
      <c r="CR25" s="926"/>
      <c r="CS25" s="926"/>
      <c r="CT25" s="926"/>
      <c r="CU25" s="926"/>
      <c r="CV25" s="926"/>
      <c r="CW25" s="926"/>
      <c r="CX25" s="926"/>
      <c r="CY25" s="926"/>
      <c r="CZ25" s="926"/>
      <c r="DA25" s="926"/>
      <c r="DB25" s="926"/>
      <c r="DC25" s="926"/>
      <c r="DD25" s="926"/>
      <c r="DE25" s="926"/>
      <c r="DF25" s="926"/>
      <c r="DG25" s="926"/>
      <c r="DH25" s="926"/>
      <c r="DI25" s="926"/>
      <c r="DJ25" s="926"/>
      <c r="DK25" s="926"/>
      <c r="DL25" s="926"/>
      <c r="DM25" s="926"/>
      <c r="DN25" s="926"/>
      <c r="DO25" s="926"/>
      <c r="DP25" s="926"/>
      <c r="DQ25" s="926"/>
      <c r="DR25" s="926"/>
      <c r="DS25" s="926"/>
      <c r="DT25" s="926"/>
      <c r="DU25" s="926"/>
      <c r="DV25" s="926"/>
      <c r="DW25" s="926"/>
      <c r="DX25" s="926"/>
      <c r="DY25" s="926"/>
      <c r="DZ25" s="926"/>
      <c r="EA25" s="926"/>
      <c r="EB25" s="926"/>
      <c r="EC25" s="926"/>
      <c r="ED25" s="926"/>
      <c r="EE25" s="926"/>
      <c r="EF25" s="926"/>
      <c r="EG25" s="926"/>
      <c r="EH25" s="926"/>
      <c r="EI25" s="926"/>
      <c r="EJ25" s="926"/>
      <c r="EK25" s="926"/>
      <c r="EL25" s="926"/>
      <c r="EM25" s="926"/>
      <c r="EN25" s="926"/>
      <c r="EO25" s="926"/>
      <c r="EP25" s="926"/>
      <c r="EQ25" s="926"/>
      <c r="ER25" s="926"/>
      <c r="ES25" s="926"/>
      <c r="ET25" s="926"/>
      <c r="EU25" s="926"/>
      <c r="EV25" s="926"/>
      <c r="EW25" s="926"/>
      <c r="EX25" s="926"/>
      <c r="EY25" s="926"/>
      <c r="EZ25" s="926"/>
      <c r="FA25" s="926"/>
      <c r="FB25" s="926"/>
      <c r="FC25" s="926"/>
      <c r="FD25" s="926"/>
      <c r="FE25" s="926"/>
      <c r="FF25" s="926"/>
      <c r="FG25" s="926"/>
      <c r="FH25" s="926"/>
      <c r="FI25" s="926"/>
      <c r="FJ25" s="926"/>
      <c r="FK25" s="926"/>
      <c r="FL25" s="926"/>
      <c r="FM25" s="926"/>
      <c r="FN25" s="926"/>
      <c r="FO25" s="926"/>
      <c r="FP25" s="926"/>
      <c r="FQ25" s="926"/>
      <c r="FR25" s="926"/>
      <c r="FS25" s="926"/>
      <c r="FT25" s="926"/>
      <c r="FU25" s="926"/>
      <c r="FV25" s="926"/>
      <c r="FW25" s="926"/>
      <c r="FX25" s="926"/>
      <c r="FY25" s="926"/>
      <c r="FZ25" s="926"/>
      <c r="GA25" s="926"/>
      <c r="GB25" s="926"/>
      <c r="GC25" s="926"/>
      <c r="GD25" s="926"/>
      <c r="GE25" s="926"/>
      <c r="GF25" s="926"/>
      <c r="GG25" s="926"/>
      <c r="GH25" s="926"/>
      <c r="GI25" s="926"/>
      <c r="GJ25" s="926"/>
      <c r="GK25" s="926"/>
      <c r="GL25" s="926"/>
      <c r="GM25" s="926"/>
      <c r="GN25" s="926"/>
      <c r="GO25" s="926"/>
      <c r="GP25" s="926"/>
      <c r="GQ25" s="926"/>
      <c r="GR25" s="926"/>
      <c r="GS25" s="926"/>
      <c r="GT25" s="926"/>
      <c r="GU25" s="926"/>
      <c r="GV25" s="926"/>
      <c r="GW25" s="926"/>
      <c r="GX25" s="926"/>
      <c r="GY25" s="926"/>
      <c r="GZ25" s="926"/>
      <c r="HA25" s="926"/>
      <c r="HB25" s="926"/>
      <c r="HC25" s="926"/>
      <c r="HD25" s="926"/>
      <c r="HE25" s="926"/>
      <c r="HF25" s="926"/>
      <c r="HG25" s="926"/>
      <c r="HH25" s="926"/>
      <c r="HI25" s="926"/>
      <c r="HJ25" s="926"/>
      <c r="HK25" s="926"/>
      <c r="HL25" s="926"/>
      <c r="HM25" s="926"/>
      <c r="HN25" s="926"/>
      <c r="HO25" s="926"/>
      <c r="HP25" s="926"/>
      <c r="HQ25" s="926"/>
      <c r="HR25" s="926"/>
      <c r="HS25" s="926"/>
      <c r="HT25" s="926"/>
      <c r="HU25" s="926"/>
      <c r="HV25" s="926"/>
      <c r="HW25" s="926"/>
      <c r="HX25" s="926"/>
      <c r="HY25" s="926"/>
      <c r="HZ25" s="926"/>
      <c r="IA25" s="926"/>
      <c r="IB25" s="926"/>
      <c r="IC25" s="926"/>
      <c r="ID25" s="926"/>
      <c r="IE25" s="926"/>
      <c r="IF25" s="926"/>
      <c r="IG25" s="926"/>
      <c r="IH25" s="926"/>
      <c r="II25" s="926"/>
      <c r="IJ25" s="926"/>
      <c r="IK25" s="926"/>
      <c r="IL25" s="926"/>
      <c r="IM25" s="926"/>
    </row>
    <row r="26" spans="1:247" x14ac:dyDescent="0.45">
      <c r="A26" s="441">
        <v>1725</v>
      </c>
      <c r="B26" s="939" t="s">
        <v>2561</v>
      </c>
      <c r="C26" s="47" t="s">
        <v>88</v>
      </c>
      <c r="D26" s="449" t="s">
        <v>2537</v>
      </c>
      <c r="E26" s="946"/>
      <c r="F26" s="941">
        <f t="shared" si="0"/>
        <v>1.0209999999999999</v>
      </c>
      <c r="G26" s="947">
        <f>+$G$3</f>
        <v>1.0269999999999999</v>
      </c>
      <c r="H26" s="946"/>
      <c r="I26" s="948"/>
      <c r="J26" s="948"/>
      <c r="K26" s="948"/>
      <c r="L26" s="948">
        <f>+$L$3</f>
        <v>1.0129999999999999</v>
      </c>
      <c r="M26" s="948"/>
      <c r="N26" s="947">
        <f>+$N$3</f>
        <v>1.0029999999999999</v>
      </c>
      <c r="O26" s="949"/>
      <c r="P26" s="946">
        <f>+$P$3</f>
        <v>1.032</v>
      </c>
      <c r="Q26" s="947">
        <f>+$Q$3</f>
        <v>1.0349999999999999</v>
      </c>
      <c r="R26" s="950">
        <f t="shared" si="1"/>
        <v>1.1379589900046172</v>
      </c>
      <c r="S26" s="926"/>
      <c r="T26" s="926"/>
      <c r="U26" s="926"/>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6"/>
      <c r="AV26" s="926"/>
      <c r="AW26" s="926"/>
      <c r="AX26" s="926"/>
      <c r="AY26" s="926"/>
      <c r="AZ26" s="926"/>
      <c r="BA26" s="926"/>
      <c r="BB26" s="926"/>
      <c r="BC26" s="926"/>
      <c r="BD26" s="926"/>
      <c r="BE26" s="926"/>
      <c r="BF26" s="926"/>
      <c r="BG26" s="926"/>
      <c r="BH26" s="926"/>
      <c r="BI26" s="926"/>
      <c r="BJ26" s="926"/>
      <c r="BK26" s="926"/>
      <c r="BL26" s="926"/>
      <c r="BM26" s="926"/>
      <c r="BN26" s="926"/>
      <c r="BO26" s="926"/>
      <c r="BP26" s="926"/>
      <c r="BQ26" s="926"/>
      <c r="BR26" s="926"/>
      <c r="BS26" s="926"/>
      <c r="BT26" s="926"/>
      <c r="BU26" s="926"/>
      <c r="BV26" s="926"/>
      <c r="BW26" s="926"/>
      <c r="BX26" s="926"/>
      <c r="BY26" s="926"/>
      <c r="BZ26" s="926"/>
      <c r="CA26" s="926"/>
      <c r="CB26" s="926"/>
      <c r="CC26" s="926"/>
      <c r="CD26" s="926"/>
      <c r="CE26" s="926"/>
      <c r="CF26" s="926"/>
      <c r="CG26" s="926"/>
      <c r="CH26" s="926"/>
      <c r="CI26" s="926"/>
      <c r="CJ26" s="926"/>
      <c r="CK26" s="926"/>
      <c r="CL26" s="926"/>
      <c r="CM26" s="926"/>
      <c r="CN26" s="926"/>
      <c r="CO26" s="926"/>
      <c r="CP26" s="926"/>
      <c r="CQ26" s="926"/>
      <c r="CR26" s="926"/>
      <c r="CS26" s="926"/>
      <c r="CT26" s="926"/>
      <c r="CU26" s="926"/>
      <c r="CV26" s="926"/>
      <c r="CW26" s="926"/>
      <c r="CX26" s="926"/>
      <c r="CY26" s="926"/>
      <c r="CZ26" s="926"/>
      <c r="DA26" s="926"/>
      <c r="DB26" s="926"/>
      <c r="DC26" s="926"/>
      <c r="DD26" s="926"/>
      <c r="DE26" s="926"/>
      <c r="DF26" s="926"/>
      <c r="DG26" s="926"/>
      <c r="DH26" s="926"/>
      <c r="DI26" s="926"/>
      <c r="DJ26" s="926"/>
      <c r="DK26" s="926"/>
      <c r="DL26" s="926"/>
      <c r="DM26" s="926"/>
      <c r="DN26" s="926"/>
      <c r="DO26" s="926"/>
      <c r="DP26" s="926"/>
      <c r="DQ26" s="926"/>
      <c r="DR26" s="926"/>
      <c r="DS26" s="926"/>
      <c r="DT26" s="926"/>
      <c r="DU26" s="926"/>
      <c r="DV26" s="926"/>
      <c r="DW26" s="926"/>
      <c r="DX26" s="926"/>
      <c r="DY26" s="926"/>
      <c r="DZ26" s="926"/>
      <c r="EA26" s="926"/>
      <c r="EB26" s="926"/>
      <c r="EC26" s="926"/>
      <c r="ED26" s="926"/>
      <c r="EE26" s="926"/>
      <c r="EF26" s="926"/>
      <c r="EG26" s="926"/>
      <c r="EH26" s="926"/>
      <c r="EI26" s="926"/>
      <c r="EJ26" s="926"/>
      <c r="EK26" s="926"/>
      <c r="EL26" s="926"/>
      <c r="EM26" s="926"/>
      <c r="EN26" s="926"/>
      <c r="EO26" s="926"/>
      <c r="EP26" s="926"/>
      <c r="EQ26" s="926"/>
      <c r="ER26" s="926"/>
      <c r="ES26" s="926"/>
      <c r="ET26" s="926"/>
      <c r="EU26" s="926"/>
      <c r="EV26" s="926"/>
      <c r="EW26" s="926"/>
      <c r="EX26" s="926"/>
      <c r="EY26" s="926"/>
      <c r="EZ26" s="926"/>
      <c r="FA26" s="926"/>
      <c r="FB26" s="926"/>
      <c r="FC26" s="926"/>
      <c r="FD26" s="926"/>
      <c r="FE26" s="926"/>
      <c r="FF26" s="926"/>
      <c r="FG26" s="926"/>
      <c r="FH26" s="926"/>
      <c r="FI26" s="926"/>
      <c r="FJ26" s="926"/>
      <c r="FK26" s="926"/>
      <c r="FL26" s="926"/>
      <c r="FM26" s="926"/>
      <c r="FN26" s="926"/>
      <c r="FO26" s="926"/>
      <c r="FP26" s="926"/>
      <c r="FQ26" s="926"/>
      <c r="FR26" s="926"/>
      <c r="FS26" s="926"/>
      <c r="FT26" s="926"/>
      <c r="FU26" s="926"/>
      <c r="FV26" s="926"/>
      <c r="FW26" s="926"/>
      <c r="FX26" s="926"/>
      <c r="FY26" s="926"/>
      <c r="FZ26" s="926"/>
      <c r="GA26" s="926"/>
      <c r="GB26" s="926"/>
      <c r="GC26" s="926"/>
      <c r="GD26" s="926"/>
      <c r="GE26" s="926"/>
      <c r="GF26" s="926"/>
      <c r="GG26" s="926"/>
      <c r="GH26" s="926"/>
      <c r="GI26" s="926"/>
      <c r="GJ26" s="926"/>
      <c r="GK26" s="926"/>
      <c r="GL26" s="926"/>
      <c r="GM26" s="926"/>
      <c r="GN26" s="926"/>
      <c r="GO26" s="926"/>
      <c r="GP26" s="926"/>
      <c r="GQ26" s="926"/>
      <c r="GR26" s="926"/>
      <c r="GS26" s="926"/>
      <c r="GT26" s="926"/>
      <c r="GU26" s="926"/>
      <c r="GV26" s="926"/>
      <c r="GW26" s="926"/>
      <c r="GX26" s="926"/>
      <c r="GY26" s="926"/>
      <c r="GZ26" s="926"/>
      <c r="HA26" s="926"/>
      <c r="HB26" s="926"/>
      <c r="HC26" s="926"/>
      <c r="HD26" s="926"/>
      <c r="HE26" s="926"/>
      <c r="HF26" s="926"/>
      <c r="HG26" s="926"/>
      <c r="HH26" s="926"/>
      <c r="HI26" s="926"/>
      <c r="HJ26" s="926"/>
      <c r="HK26" s="926"/>
      <c r="HL26" s="926"/>
      <c r="HM26" s="926"/>
      <c r="HN26" s="926"/>
      <c r="HO26" s="926"/>
      <c r="HP26" s="926"/>
      <c r="HQ26" s="926"/>
      <c r="HR26" s="926"/>
      <c r="HS26" s="926"/>
      <c r="HT26" s="926"/>
      <c r="HU26" s="926"/>
      <c r="HV26" s="926"/>
      <c r="HW26" s="926"/>
      <c r="HX26" s="926"/>
      <c r="HY26" s="926"/>
      <c r="HZ26" s="926"/>
      <c r="IA26" s="926"/>
      <c r="IB26" s="926"/>
      <c r="IC26" s="926"/>
      <c r="ID26" s="926"/>
      <c r="IE26" s="926"/>
      <c r="IF26" s="926"/>
      <c r="IG26" s="926"/>
      <c r="IH26" s="926"/>
      <c r="II26" s="926"/>
      <c r="IJ26" s="926"/>
      <c r="IK26" s="926"/>
      <c r="IL26" s="926"/>
      <c r="IM26" s="926"/>
    </row>
    <row r="27" spans="1:247" x14ac:dyDescent="0.45">
      <c r="A27" s="441">
        <v>1726</v>
      </c>
      <c r="B27" s="939" t="s">
        <v>2562</v>
      </c>
      <c r="C27" s="47" t="s">
        <v>35</v>
      </c>
      <c r="D27" s="449" t="s">
        <v>2545</v>
      </c>
      <c r="E27" s="946"/>
      <c r="F27" s="941">
        <f t="shared" si="0"/>
        <v>1.0209999999999999</v>
      </c>
      <c r="G27" s="947">
        <f t="shared" ref="G27:G63" si="6">+$G$3</f>
        <v>1.0269999999999999</v>
      </c>
      <c r="H27" s="946"/>
      <c r="I27" s="948"/>
      <c r="J27" s="948"/>
      <c r="K27" s="948"/>
      <c r="L27" s="948"/>
      <c r="M27" s="948"/>
      <c r="N27" s="947"/>
      <c r="O27" s="949"/>
      <c r="P27" s="946">
        <f>+$P$3</f>
        <v>1.032</v>
      </c>
      <c r="Q27" s="947"/>
      <c r="R27" s="950">
        <f t="shared" si="1"/>
        <v>1.0821211439999998</v>
      </c>
      <c r="S27" s="926"/>
      <c r="T27" s="926"/>
      <c r="U27" s="926"/>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6"/>
      <c r="AV27" s="926"/>
      <c r="AW27" s="926"/>
      <c r="AX27" s="926"/>
      <c r="AY27" s="926"/>
      <c r="AZ27" s="926"/>
      <c r="BA27" s="926"/>
      <c r="BB27" s="926"/>
      <c r="BC27" s="926"/>
      <c r="BD27" s="926"/>
      <c r="BE27" s="926"/>
      <c r="BF27" s="926"/>
      <c r="BG27" s="926"/>
      <c r="BH27" s="926"/>
      <c r="BI27" s="926"/>
      <c r="BJ27" s="926"/>
      <c r="BK27" s="926"/>
      <c r="BL27" s="926"/>
      <c r="BM27" s="926"/>
      <c r="BN27" s="926"/>
      <c r="BO27" s="926"/>
      <c r="BP27" s="926"/>
      <c r="BQ27" s="926"/>
      <c r="BR27" s="926"/>
      <c r="BS27" s="926"/>
      <c r="BT27" s="926"/>
      <c r="BU27" s="926"/>
      <c r="BV27" s="926"/>
      <c r="BW27" s="926"/>
      <c r="BX27" s="926"/>
      <c r="BY27" s="926"/>
      <c r="BZ27" s="926"/>
      <c r="CA27" s="926"/>
      <c r="CB27" s="926"/>
      <c r="CC27" s="926"/>
      <c r="CD27" s="926"/>
      <c r="CE27" s="926"/>
      <c r="CF27" s="926"/>
      <c r="CG27" s="926"/>
      <c r="CH27" s="926"/>
      <c r="CI27" s="926"/>
      <c r="CJ27" s="926"/>
      <c r="CK27" s="926"/>
      <c r="CL27" s="926"/>
      <c r="CM27" s="926"/>
      <c r="CN27" s="926"/>
      <c r="CO27" s="926"/>
      <c r="CP27" s="926"/>
      <c r="CQ27" s="926"/>
      <c r="CR27" s="926"/>
      <c r="CS27" s="926"/>
      <c r="CT27" s="926"/>
      <c r="CU27" s="926"/>
      <c r="CV27" s="926"/>
      <c r="CW27" s="926"/>
      <c r="CX27" s="926"/>
      <c r="CY27" s="926"/>
      <c r="CZ27" s="926"/>
      <c r="DA27" s="926"/>
      <c r="DB27" s="926"/>
      <c r="DC27" s="926"/>
      <c r="DD27" s="926"/>
      <c r="DE27" s="926"/>
      <c r="DF27" s="926"/>
      <c r="DG27" s="926"/>
      <c r="DH27" s="926"/>
      <c r="DI27" s="926"/>
      <c r="DJ27" s="926"/>
      <c r="DK27" s="926"/>
      <c r="DL27" s="926"/>
      <c r="DM27" s="926"/>
      <c r="DN27" s="926"/>
      <c r="DO27" s="926"/>
      <c r="DP27" s="926"/>
      <c r="DQ27" s="926"/>
      <c r="DR27" s="926"/>
      <c r="DS27" s="926"/>
      <c r="DT27" s="926"/>
      <c r="DU27" s="926"/>
      <c r="DV27" s="926"/>
      <c r="DW27" s="926"/>
      <c r="DX27" s="926"/>
      <c r="DY27" s="926"/>
      <c r="DZ27" s="926"/>
      <c r="EA27" s="926"/>
      <c r="EB27" s="926"/>
      <c r="EC27" s="926"/>
      <c r="ED27" s="926"/>
      <c r="EE27" s="926"/>
      <c r="EF27" s="926"/>
      <c r="EG27" s="926"/>
      <c r="EH27" s="926"/>
      <c r="EI27" s="926"/>
      <c r="EJ27" s="926"/>
      <c r="EK27" s="926"/>
      <c r="EL27" s="926"/>
      <c r="EM27" s="926"/>
      <c r="EN27" s="926"/>
      <c r="EO27" s="926"/>
      <c r="EP27" s="926"/>
      <c r="EQ27" s="926"/>
      <c r="ER27" s="926"/>
      <c r="ES27" s="926"/>
      <c r="ET27" s="926"/>
      <c r="EU27" s="926"/>
      <c r="EV27" s="926"/>
      <c r="EW27" s="926"/>
      <c r="EX27" s="926"/>
      <c r="EY27" s="926"/>
      <c r="EZ27" s="926"/>
      <c r="FA27" s="926"/>
      <c r="FB27" s="926"/>
      <c r="FC27" s="926"/>
      <c r="FD27" s="926"/>
      <c r="FE27" s="926"/>
      <c r="FF27" s="926"/>
      <c r="FG27" s="926"/>
      <c r="FH27" s="926"/>
      <c r="FI27" s="926"/>
      <c r="FJ27" s="926"/>
      <c r="FK27" s="926"/>
      <c r="FL27" s="926"/>
      <c r="FM27" s="926"/>
      <c r="FN27" s="926"/>
      <c r="FO27" s="926"/>
      <c r="FP27" s="926"/>
      <c r="FQ27" s="926"/>
      <c r="FR27" s="926"/>
      <c r="FS27" s="926"/>
      <c r="FT27" s="926"/>
      <c r="FU27" s="926"/>
      <c r="FV27" s="926"/>
      <c r="FW27" s="926"/>
      <c r="FX27" s="926"/>
      <c r="FY27" s="926"/>
      <c r="FZ27" s="926"/>
      <c r="GA27" s="926"/>
      <c r="GB27" s="926"/>
      <c r="GC27" s="926"/>
      <c r="GD27" s="926"/>
      <c r="GE27" s="926"/>
      <c r="GF27" s="926"/>
      <c r="GG27" s="926"/>
      <c r="GH27" s="926"/>
      <c r="GI27" s="926"/>
      <c r="GJ27" s="926"/>
      <c r="GK27" s="926"/>
      <c r="GL27" s="926"/>
      <c r="GM27" s="926"/>
      <c r="GN27" s="926"/>
      <c r="GO27" s="926"/>
      <c r="GP27" s="926"/>
      <c r="GQ27" s="926"/>
      <c r="GR27" s="926"/>
      <c r="GS27" s="926"/>
      <c r="GT27" s="926"/>
      <c r="GU27" s="926"/>
      <c r="GV27" s="926"/>
      <c r="GW27" s="926"/>
      <c r="GX27" s="926"/>
      <c r="GY27" s="926"/>
      <c r="GZ27" s="926"/>
      <c r="HA27" s="926"/>
      <c r="HB27" s="926"/>
      <c r="HC27" s="926"/>
      <c r="HD27" s="926"/>
      <c r="HE27" s="926"/>
      <c r="HF27" s="926"/>
      <c r="HG27" s="926"/>
      <c r="HH27" s="926"/>
      <c r="HI27" s="926"/>
      <c r="HJ27" s="926"/>
      <c r="HK27" s="926"/>
      <c r="HL27" s="926"/>
      <c r="HM27" s="926"/>
      <c r="HN27" s="926"/>
      <c r="HO27" s="926"/>
      <c r="HP27" s="926"/>
      <c r="HQ27" s="926"/>
      <c r="HR27" s="926"/>
      <c r="HS27" s="926"/>
      <c r="HT27" s="926"/>
      <c r="HU27" s="926"/>
      <c r="HV27" s="926"/>
      <c r="HW27" s="926"/>
      <c r="HX27" s="926"/>
      <c r="HY27" s="926"/>
      <c r="HZ27" s="926"/>
      <c r="IA27" s="926"/>
      <c r="IB27" s="926"/>
      <c r="IC27" s="926"/>
      <c r="ID27" s="926"/>
      <c r="IE27" s="926"/>
      <c r="IF27" s="926"/>
      <c r="IG27" s="926"/>
      <c r="IH27" s="926"/>
      <c r="II27" s="926"/>
      <c r="IJ27" s="926"/>
      <c r="IK27" s="926"/>
      <c r="IL27" s="926"/>
      <c r="IM27" s="926"/>
    </row>
    <row r="28" spans="1:247" x14ac:dyDescent="0.45">
      <c r="A28" s="441">
        <v>1745</v>
      </c>
      <c r="B28" s="939" t="s">
        <v>2563</v>
      </c>
      <c r="C28" s="47" t="s">
        <v>672</v>
      </c>
      <c r="D28" s="449" t="s">
        <v>2537</v>
      </c>
      <c r="E28" s="946"/>
      <c r="F28" s="941">
        <f t="shared" si="0"/>
        <v>1.0209999999999999</v>
      </c>
      <c r="G28" s="947"/>
      <c r="H28" s="946"/>
      <c r="I28" s="948"/>
      <c r="J28" s="948"/>
      <c r="K28" s="948"/>
      <c r="L28" s="948"/>
      <c r="M28" s="948"/>
      <c r="N28" s="947"/>
      <c r="O28" s="949"/>
      <c r="P28" s="946"/>
      <c r="Q28" s="947"/>
      <c r="R28" s="950">
        <f t="shared" si="1"/>
        <v>1.0209999999999999</v>
      </c>
      <c r="S28" s="926"/>
      <c r="T28" s="926"/>
      <c r="U28" s="926"/>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6"/>
      <c r="AV28" s="926"/>
      <c r="AW28" s="926"/>
      <c r="AX28" s="926"/>
      <c r="AY28" s="926"/>
      <c r="AZ28" s="926"/>
      <c r="BA28" s="926"/>
      <c r="BB28" s="926"/>
      <c r="BC28" s="926"/>
      <c r="BD28" s="926"/>
      <c r="BE28" s="926"/>
      <c r="BF28" s="926"/>
      <c r="BG28" s="926"/>
      <c r="BH28" s="926"/>
      <c r="BI28" s="926"/>
      <c r="BJ28" s="926"/>
      <c r="BK28" s="926"/>
      <c r="BL28" s="926"/>
      <c r="BM28" s="926"/>
      <c r="BN28" s="926"/>
      <c r="BO28" s="926"/>
      <c r="BP28" s="926"/>
      <c r="BQ28" s="926"/>
      <c r="BR28" s="926"/>
      <c r="BS28" s="926"/>
      <c r="BT28" s="926"/>
      <c r="BU28" s="926"/>
      <c r="BV28" s="926"/>
      <c r="BW28" s="926"/>
      <c r="BX28" s="926"/>
      <c r="BY28" s="926"/>
      <c r="BZ28" s="926"/>
      <c r="CA28" s="926"/>
      <c r="CB28" s="926"/>
      <c r="CC28" s="926"/>
      <c r="CD28" s="926"/>
      <c r="CE28" s="926"/>
      <c r="CF28" s="926"/>
      <c r="CG28" s="926"/>
      <c r="CH28" s="926"/>
      <c r="CI28" s="926"/>
      <c r="CJ28" s="926"/>
      <c r="CK28" s="926"/>
      <c r="CL28" s="926"/>
      <c r="CM28" s="926"/>
      <c r="CN28" s="926"/>
      <c r="CO28" s="926"/>
      <c r="CP28" s="926"/>
      <c r="CQ28" s="926"/>
      <c r="CR28" s="926"/>
      <c r="CS28" s="926"/>
      <c r="CT28" s="926"/>
      <c r="CU28" s="926"/>
      <c r="CV28" s="926"/>
      <c r="CW28" s="926"/>
      <c r="CX28" s="926"/>
      <c r="CY28" s="926"/>
      <c r="CZ28" s="926"/>
      <c r="DA28" s="926"/>
      <c r="DB28" s="926"/>
      <c r="DC28" s="926"/>
      <c r="DD28" s="926"/>
      <c r="DE28" s="926"/>
      <c r="DF28" s="926"/>
      <c r="DG28" s="926"/>
      <c r="DH28" s="926"/>
      <c r="DI28" s="926"/>
      <c r="DJ28" s="926"/>
      <c r="DK28" s="926"/>
      <c r="DL28" s="926"/>
      <c r="DM28" s="926"/>
      <c r="DN28" s="926"/>
      <c r="DO28" s="926"/>
      <c r="DP28" s="926"/>
      <c r="DQ28" s="926"/>
      <c r="DR28" s="926"/>
      <c r="DS28" s="926"/>
      <c r="DT28" s="926"/>
      <c r="DU28" s="926"/>
      <c r="DV28" s="926"/>
      <c r="DW28" s="926"/>
      <c r="DX28" s="926"/>
      <c r="DY28" s="926"/>
      <c r="DZ28" s="926"/>
      <c r="EA28" s="926"/>
      <c r="EB28" s="926"/>
      <c r="EC28" s="926"/>
      <c r="ED28" s="926"/>
      <c r="EE28" s="926"/>
      <c r="EF28" s="926"/>
      <c r="EG28" s="926"/>
      <c r="EH28" s="926"/>
      <c r="EI28" s="926"/>
      <c r="EJ28" s="926"/>
      <c r="EK28" s="926"/>
      <c r="EL28" s="926"/>
      <c r="EM28" s="926"/>
      <c r="EN28" s="926"/>
      <c r="EO28" s="926"/>
      <c r="EP28" s="926"/>
      <c r="EQ28" s="926"/>
      <c r="ER28" s="926"/>
      <c r="ES28" s="926"/>
      <c r="ET28" s="926"/>
      <c r="EU28" s="926"/>
      <c r="EV28" s="926"/>
      <c r="EW28" s="926"/>
      <c r="EX28" s="926"/>
      <c r="EY28" s="926"/>
      <c r="EZ28" s="926"/>
      <c r="FA28" s="926"/>
      <c r="FB28" s="926"/>
      <c r="FC28" s="926"/>
      <c r="FD28" s="926"/>
      <c r="FE28" s="926"/>
      <c r="FF28" s="926"/>
      <c r="FG28" s="926"/>
      <c r="FH28" s="926"/>
      <c r="FI28" s="926"/>
      <c r="FJ28" s="926"/>
      <c r="FK28" s="926"/>
      <c r="FL28" s="926"/>
      <c r="FM28" s="926"/>
      <c r="FN28" s="926"/>
      <c r="FO28" s="926"/>
      <c r="FP28" s="926"/>
      <c r="FQ28" s="926"/>
      <c r="FR28" s="926"/>
      <c r="FS28" s="926"/>
      <c r="FT28" s="926"/>
      <c r="FU28" s="926"/>
      <c r="FV28" s="926"/>
      <c r="FW28" s="926"/>
      <c r="FX28" s="926"/>
      <c r="FY28" s="926"/>
      <c r="FZ28" s="926"/>
      <c r="GA28" s="926"/>
      <c r="GB28" s="926"/>
      <c r="GC28" s="926"/>
      <c r="GD28" s="926"/>
      <c r="GE28" s="926"/>
      <c r="GF28" s="926"/>
      <c r="GG28" s="926"/>
      <c r="GH28" s="926"/>
      <c r="GI28" s="926"/>
      <c r="GJ28" s="926"/>
      <c r="GK28" s="926"/>
      <c r="GL28" s="926"/>
      <c r="GM28" s="926"/>
      <c r="GN28" s="926"/>
      <c r="GO28" s="926"/>
      <c r="GP28" s="926"/>
      <c r="GQ28" s="926"/>
      <c r="GR28" s="926"/>
      <c r="GS28" s="926"/>
      <c r="GT28" s="926"/>
      <c r="GU28" s="926"/>
      <c r="GV28" s="926"/>
      <c r="GW28" s="926"/>
      <c r="GX28" s="926"/>
      <c r="GY28" s="926"/>
      <c r="GZ28" s="926"/>
      <c r="HA28" s="926"/>
      <c r="HB28" s="926"/>
      <c r="HC28" s="926"/>
      <c r="HD28" s="926"/>
      <c r="HE28" s="926"/>
      <c r="HF28" s="926"/>
      <c r="HG28" s="926"/>
      <c r="HH28" s="926"/>
      <c r="HI28" s="926"/>
      <c r="HJ28" s="926"/>
      <c r="HK28" s="926"/>
      <c r="HL28" s="926"/>
      <c r="HM28" s="926"/>
      <c r="HN28" s="926"/>
      <c r="HO28" s="926"/>
      <c r="HP28" s="926"/>
      <c r="HQ28" s="926"/>
      <c r="HR28" s="926"/>
      <c r="HS28" s="926"/>
      <c r="HT28" s="926"/>
      <c r="HU28" s="926"/>
      <c r="HV28" s="926"/>
      <c r="HW28" s="926"/>
      <c r="HX28" s="926"/>
      <c r="HY28" s="926"/>
      <c r="HZ28" s="926"/>
      <c r="IA28" s="926"/>
      <c r="IB28" s="926"/>
      <c r="IC28" s="926"/>
      <c r="ID28" s="926"/>
      <c r="IE28" s="926"/>
      <c r="IF28" s="926"/>
      <c r="IG28" s="926"/>
      <c r="IH28" s="926"/>
      <c r="II28" s="926"/>
      <c r="IJ28" s="926"/>
      <c r="IK28" s="926"/>
      <c r="IL28" s="926"/>
      <c r="IM28" s="926"/>
    </row>
    <row r="29" spans="1:247" x14ac:dyDescent="0.45">
      <c r="A29" s="441">
        <v>1750</v>
      </c>
      <c r="B29" s="939" t="s">
        <v>2564</v>
      </c>
      <c r="C29" s="47" t="s">
        <v>699</v>
      </c>
      <c r="D29" s="449" t="s">
        <v>2537</v>
      </c>
      <c r="E29" s="946"/>
      <c r="F29" s="941">
        <f t="shared" si="0"/>
        <v>1.0209999999999999</v>
      </c>
      <c r="G29" s="947">
        <f t="shared" si="6"/>
        <v>1.0269999999999999</v>
      </c>
      <c r="H29" s="946"/>
      <c r="I29" s="948"/>
      <c r="J29" s="948"/>
      <c r="K29" s="948"/>
      <c r="L29" s="948"/>
      <c r="M29" s="948"/>
      <c r="N29" s="947"/>
      <c r="O29" s="949"/>
      <c r="P29" s="946"/>
      <c r="Q29" s="947"/>
      <c r="R29" s="950">
        <f t="shared" si="1"/>
        <v>1.0485669999999998</v>
      </c>
      <c r="S29" s="926"/>
      <c r="T29" s="926"/>
      <c r="U29" s="926"/>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6"/>
      <c r="AV29" s="926"/>
      <c r="AW29" s="926"/>
      <c r="AX29" s="926"/>
      <c r="AY29" s="926"/>
      <c r="AZ29" s="926"/>
      <c r="BA29" s="926"/>
      <c r="BB29" s="926"/>
      <c r="BC29" s="926"/>
      <c r="BD29" s="926"/>
      <c r="BE29" s="926"/>
      <c r="BF29" s="926"/>
      <c r="BG29" s="926"/>
      <c r="BH29" s="926"/>
      <c r="BI29" s="926"/>
      <c r="BJ29" s="926"/>
      <c r="BK29" s="926"/>
      <c r="BL29" s="926"/>
      <c r="BM29" s="926"/>
      <c r="BN29" s="926"/>
      <c r="BO29" s="926"/>
      <c r="BP29" s="926"/>
      <c r="BQ29" s="926"/>
      <c r="BR29" s="926"/>
      <c r="BS29" s="926"/>
      <c r="BT29" s="926"/>
      <c r="BU29" s="926"/>
      <c r="BV29" s="926"/>
      <c r="BW29" s="926"/>
      <c r="BX29" s="926"/>
      <c r="BY29" s="926"/>
      <c r="BZ29" s="926"/>
      <c r="CA29" s="926"/>
      <c r="CB29" s="926"/>
      <c r="CC29" s="926"/>
      <c r="CD29" s="926"/>
      <c r="CE29" s="926"/>
      <c r="CF29" s="926"/>
      <c r="CG29" s="926"/>
      <c r="CH29" s="926"/>
      <c r="CI29" s="926"/>
      <c r="CJ29" s="926"/>
      <c r="CK29" s="926"/>
      <c r="CL29" s="926"/>
      <c r="CM29" s="926"/>
      <c r="CN29" s="926"/>
      <c r="CO29" s="926"/>
      <c r="CP29" s="926"/>
      <c r="CQ29" s="926"/>
      <c r="CR29" s="926"/>
      <c r="CS29" s="926"/>
      <c r="CT29" s="926"/>
      <c r="CU29" s="926"/>
      <c r="CV29" s="926"/>
      <c r="CW29" s="926"/>
      <c r="CX29" s="926"/>
      <c r="CY29" s="926"/>
      <c r="CZ29" s="926"/>
      <c r="DA29" s="926"/>
      <c r="DB29" s="926"/>
      <c r="DC29" s="926"/>
      <c r="DD29" s="926"/>
      <c r="DE29" s="926"/>
      <c r="DF29" s="926"/>
      <c r="DG29" s="926"/>
      <c r="DH29" s="926"/>
      <c r="DI29" s="926"/>
      <c r="DJ29" s="926"/>
      <c r="DK29" s="926"/>
      <c r="DL29" s="926"/>
      <c r="DM29" s="926"/>
      <c r="DN29" s="926"/>
      <c r="DO29" s="926"/>
      <c r="DP29" s="926"/>
      <c r="DQ29" s="926"/>
      <c r="DR29" s="926"/>
      <c r="DS29" s="926"/>
      <c r="DT29" s="926"/>
      <c r="DU29" s="926"/>
      <c r="DV29" s="926"/>
      <c r="DW29" s="926"/>
      <c r="DX29" s="926"/>
      <c r="DY29" s="926"/>
      <c r="DZ29" s="926"/>
      <c r="EA29" s="926"/>
      <c r="EB29" s="926"/>
      <c r="EC29" s="926"/>
      <c r="ED29" s="926"/>
      <c r="EE29" s="926"/>
      <c r="EF29" s="926"/>
      <c r="EG29" s="926"/>
      <c r="EH29" s="926"/>
      <c r="EI29" s="926"/>
      <c r="EJ29" s="926"/>
      <c r="EK29" s="926"/>
      <c r="EL29" s="926"/>
      <c r="EM29" s="926"/>
      <c r="EN29" s="926"/>
      <c r="EO29" s="926"/>
      <c r="EP29" s="926"/>
      <c r="EQ29" s="926"/>
      <c r="ER29" s="926"/>
      <c r="ES29" s="926"/>
      <c r="ET29" s="926"/>
      <c r="EU29" s="926"/>
      <c r="EV29" s="926"/>
      <c r="EW29" s="926"/>
      <c r="EX29" s="926"/>
      <c r="EY29" s="926"/>
      <c r="EZ29" s="926"/>
      <c r="FA29" s="926"/>
      <c r="FB29" s="926"/>
      <c r="FC29" s="926"/>
      <c r="FD29" s="926"/>
      <c r="FE29" s="926"/>
      <c r="FF29" s="926"/>
      <c r="FG29" s="926"/>
      <c r="FH29" s="926"/>
      <c r="FI29" s="926"/>
      <c r="FJ29" s="926"/>
      <c r="FK29" s="926"/>
      <c r="FL29" s="926"/>
      <c r="FM29" s="926"/>
      <c r="FN29" s="926"/>
      <c r="FO29" s="926"/>
      <c r="FP29" s="926"/>
      <c r="FQ29" s="926"/>
      <c r="FR29" s="926"/>
      <c r="FS29" s="926"/>
      <c r="FT29" s="926"/>
      <c r="FU29" s="926"/>
      <c r="FV29" s="926"/>
      <c r="FW29" s="926"/>
      <c r="FX29" s="926"/>
      <c r="FY29" s="926"/>
      <c r="FZ29" s="926"/>
      <c r="GA29" s="926"/>
      <c r="GB29" s="926"/>
      <c r="GC29" s="926"/>
      <c r="GD29" s="926"/>
      <c r="GE29" s="926"/>
      <c r="GF29" s="926"/>
      <c r="GG29" s="926"/>
      <c r="GH29" s="926"/>
      <c r="GI29" s="926"/>
      <c r="GJ29" s="926"/>
      <c r="GK29" s="926"/>
      <c r="GL29" s="926"/>
      <c r="GM29" s="926"/>
      <c r="GN29" s="926"/>
      <c r="GO29" s="926"/>
      <c r="GP29" s="926"/>
      <c r="GQ29" s="926"/>
      <c r="GR29" s="926"/>
      <c r="GS29" s="926"/>
      <c r="GT29" s="926"/>
      <c r="GU29" s="926"/>
      <c r="GV29" s="926"/>
      <c r="GW29" s="926"/>
      <c r="GX29" s="926"/>
      <c r="GY29" s="926"/>
      <c r="GZ29" s="926"/>
      <c r="HA29" s="926"/>
      <c r="HB29" s="926"/>
      <c r="HC29" s="926"/>
      <c r="HD29" s="926"/>
      <c r="HE29" s="926"/>
      <c r="HF29" s="926"/>
      <c r="HG29" s="926"/>
      <c r="HH29" s="926"/>
      <c r="HI29" s="926"/>
      <c r="HJ29" s="926"/>
      <c r="HK29" s="926"/>
      <c r="HL29" s="926"/>
      <c r="HM29" s="926"/>
      <c r="HN29" s="926"/>
      <c r="HO29" s="926"/>
      <c r="HP29" s="926"/>
      <c r="HQ29" s="926"/>
      <c r="HR29" s="926"/>
      <c r="HS29" s="926"/>
      <c r="HT29" s="926"/>
      <c r="HU29" s="926"/>
      <c r="HV29" s="926"/>
      <c r="HW29" s="926"/>
      <c r="HX29" s="926"/>
      <c r="HY29" s="926"/>
      <c r="HZ29" s="926"/>
      <c r="IA29" s="926"/>
      <c r="IB29" s="926"/>
      <c r="IC29" s="926"/>
      <c r="ID29" s="926"/>
      <c r="IE29" s="926"/>
      <c r="IF29" s="926"/>
      <c r="IG29" s="926"/>
      <c r="IH29" s="926"/>
      <c r="II29" s="926"/>
      <c r="IJ29" s="926"/>
      <c r="IK29" s="926"/>
      <c r="IL29" s="926"/>
      <c r="IM29" s="926"/>
    </row>
    <row r="30" spans="1:247" x14ac:dyDescent="0.45">
      <c r="A30" s="441">
        <v>1751</v>
      </c>
      <c r="B30" s="939" t="s">
        <v>2565</v>
      </c>
      <c r="C30" s="47" t="s">
        <v>699</v>
      </c>
      <c r="D30" s="449" t="s">
        <v>2537</v>
      </c>
      <c r="E30" s="946"/>
      <c r="F30" s="941">
        <f t="shared" si="0"/>
        <v>1.0209999999999999</v>
      </c>
      <c r="G30" s="947">
        <f t="shared" si="6"/>
        <v>1.0269999999999999</v>
      </c>
      <c r="H30" s="946"/>
      <c r="I30" s="948"/>
      <c r="J30" s="948"/>
      <c r="K30" s="948"/>
      <c r="L30" s="948"/>
      <c r="M30" s="948"/>
      <c r="N30" s="947"/>
      <c r="O30" s="949"/>
      <c r="P30" s="946"/>
      <c r="Q30" s="947"/>
      <c r="R30" s="950">
        <f t="shared" si="1"/>
        <v>1.0485669999999998</v>
      </c>
      <c r="S30" s="926"/>
      <c r="T30" s="926"/>
      <c r="U30" s="926"/>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6"/>
      <c r="AV30" s="926"/>
      <c r="AW30" s="926"/>
      <c r="AX30" s="926"/>
      <c r="AY30" s="926"/>
      <c r="AZ30" s="926"/>
      <c r="BA30" s="926"/>
      <c r="BB30" s="926"/>
      <c r="BC30" s="926"/>
      <c r="BD30" s="926"/>
      <c r="BE30" s="926"/>
      <c r="BF30" s="926"/>
      <c r="BG30" s="926"/>
      <c r="BH30" s="926"/>
      <c r="BI30" s="926"/>
      <c r="BJ30" s="926"/>
      <c r="BK30" s="926"/>
      <c r="BL30" s="926"/>
      <c r="BM30" s="926"/>
      <c r="BN30" s="926"/>
      <c r="BO30" s="926"/>
      <c r="BP30" s="926"/>
      <c r="BQ30" s="926"/>
      <c r="BR30" s="926"/>
      <c r="BS30" s="926"/>
      <c r="BT30" s="926"/>
      <c r="BU30" s="926"/>
      <c r="BV30" s="926"/>
      <c r="BW30" s="926"/>
      <c r="BX30" s="926"/>
      <c r="BY30" s="926"/>
      <c r="BZ30" s="926"/>
      <c r="CA30" s="926"/>
      <c r="CB30" s="926"/>
      <c r="CC30" s="926"/>
      <c r="CD30" s="926"/>
      <c r="CE30" s="926"/>
      <c r="CF30" s="926"/>
      <c r="CG30" s="926"/>
      <c r="CH30" s="926"/>
      <c r="CI30" s="926"/>
      <c r="CJ30" s="926"/>
      <c r="CK30" s="926"/>
      <c r="CL30" s="926"/>
      <c r="CM30" s="926"/>
      <c r="CN30" s="926"/>
      <c r="CO30" s="926"/>
      <c r="CP30" s="926"/>
      <c r="CQ30" s="926"/>
      <c r="CR30" s="926"/>
      <c r="CS30" s="926"/>
      <c r="CT30" s="926"/>
      <c r="CU30" s="926"/>
      <c r="CV30" s="926"/>
      <c r="CW30" s="926"/>
      <c r="CX30" s="926"/>
      <c r="CY30" s="926"/>
      <c r="CZ30" s="926"/>
      <c r="DA30" s="926"/>
      <c r="DB30" s="926"/>
      <c r="DC30" s="926"/>
      <c r="DD30" s="926"/>
      <c r="DE30" s="926"/>
      <c r="DF30" s="926"/>
      <c r="DG30" s="926"/>
      <c r="DH30" s="926"/>
      <c r="DI30" s="926"/>
      <c r="DJ30" s="926"/>
      <c r="DK30" s="926"/>
      <c r="DL30" s="926"/>
      <c r="DM30" s="926"/>
      <c r="DN30" s="926"/>
      <c r="DO30" s="926"/>
      <c r="DP30" s="926"/>
      <c r="DQ30" s="926"/>
      <c r="DR30" s="926"/>
      <c r="DS30" s="926"/>
      <c r="DT30" s="926"/>
      <c r="DU30" s="926"/>
      <c r="DV30" s="926"/>
      <c r="DW30" s="926"/>
      <c r="DX30" s="926"/>
      <c r="DY30" s="926"/>
      <c r="DZ30" s="926"/>
      <c r="EA30" s="926"/>
      <c r="EB30" s="926"/>
      <c r="EC30" s="926"/>
      <c r="ED30" s="926"/>
      <c r="EE30" s="926"/>
      <c r="EF30" s="926"/>
      <c r="EG30" s="926"/>
      <c r="EH30" s="926"/>
      <c r="EI30" s="926"/>
      <c r="EJ30" s="926"/>
      <c r="EK30" s="926"/>
      <c r="EL30" s="926"/>
      <c r="EM30" s="926"/>
      <c r="EN30" s="926"/>
      <c r="EO30" s="926"/>
      <c r="EP30" s="926"/>
      <c r="EQ30" s="926"/>
      <c r="ER30" s="926"/>
      <c r="ES30" s="926"/>
      <c r="ET30" s="926"/>
      <c r="EU30" s="926"/>
      <c r="EV30" s="926"/>
      <c r="EW30" s="926"/>
      <c r="EX30" s="926"/>
      <c r="EY30" s="926"/>
      <c r="EZ30" s="926"/>
      <c r="FA30" s="926"/>
      <c r="FB30" s="926"/>
      <c r="FC30" s="926"/>
      <c r="FD30" s="926"/>
      <c r="FE30" s="926"/>
      <c r="FF30" s="926"/>
      <c r="FG30" s="926"/>
      <c r="FH30" s="926"/>
      <c r="FI30" s="926"/>
      <c r="FJ30" s="926"/>
      <c r="FK30" s="926"/>
      <c r="FL30" s="926"/>
      <c r="FM30" s="926"/>
      <c r="FN30" s="926"/>
      <c r="FO30" s="926"/>
      <c r="FP30" s="926"/>
      <c r="FQ30" s="926"/>
      <c r="FR30" s="926"/>
      <c r="FS30" s="926"/>
      <c r="FT30" s="926"/>
      <c r="FU30" s="926"/>
      <c r="FV30" s="926"/>
      <c r="FW30" s="926"/>
      <c r="FX30" s="926"/>
      <c r="FY30" s="926"/>
      <c r="FZ30" s="926"/>
      <c r="GA30" s="926"/>
      <c r="GB30" s="926"/>
      <c r="GC30" s="926"/>
      <c r="GD30" s="926"/>
      <c r="GE30" s="926"/>
      <c r="GF30" s="926"/>
      <c r="GG30" s="926"/>
      <c r="GH30" s="926"/>
      <c r="GI30" s="926"/>
      <c r="GJ30" s="926"/>
      <c r="GK30" s="926"/>
      <c r="GL30" s="926"/>
      <c r="GM30" s="926"/>
      <c r="GN30" s="926"/>
      <c r="GO30" s="926"/>
      <c r="GP30" s="926"/>
      <c r="GQ30" s="926"/>
      <c r="GR30" s="926"/>
      <c r="GS30" s="926"/>
      <c r="GT30" s="926"/>
      <c r="GU30" s="926"/>
      <c r="GV30" s="926"/>
      <c r="GW30" s="926"/>
      <c r="GX30" s="926"/>
      <c r="GY30" s="926"/>
      <c r="GZ30" s="926"/>
      <c r="HA30" s="926"/>
      <c r="HB30" s="926"/>
      <c r="HC30" s="926"/>
      <c r="HD30" s="926"/>
      <c r="HE30" s="926"/>
      <c r="HF30" s="926"/>
      <c r="HG30" s="926"/>
      <c r="HH30" s="926"/>
      <c r="HI30" s="926"/>
      <c r="HJ30" s="926"/>
      <c r="HK30" s="926"/>
      <c r="HL30" s="926"/>
      <c r="HM30" s="926"/>
      <c r="HN30" s="926"/>
      <c r="HO30" s="926"/>
      <c r="HP30" s="926"/>
      <c r="HQ30" s="926"/>
      <c r="HR30" s="926"/>
      <c r="HS30" s="926"/>
      <c r="HT30" s="926"/>
      <c r="HU30" s="926"/>
      <c r="HV30" s="926"/>
      <c r="HW30" s="926"/>
      <c r="HX30" s="926"/>
      <c r="HY30" s="926"/>
      <c r="HZ30" s="926"/>
      <c r="IA30" s="926"/>
      <c r="IB30" s="926"/>
      <c r="IC30" s="926"/>
      <c r="ID30" s="926"/>
      <c r="IE30" s="926"/>
      <c r="IF30" s="926"/>
      <c r="IG30" s="926"/>
      <c r="IH30" s="926"/>
      <c r="II30" s="926"/>
      <c r="IJ30" s="926"/>
      <c r="IK30" s="926"/>
      <c r="IL30" s="926"/>
      <c r="IM30" s="926"/>
    </row>
    <row r="31" spans="1:247" x14ac:dyDescent="0.45">
      <c r="A31" s="441">
        <v>1752</v>
      </c>
      <c r="B31" s="939" t="s">
        <v>2566</v>
      </c>
      <c r="C31" s="47" t="s">
        <v>699</v>
      </c>
      <c r="D31" s="449" t="s">
        <v>2537</v>
      </c>
      <c r="E31" s="946"/>
      <c r="F31" s="941">
        <f t="shared" si="0"/>
        <v>1.0209999999999999</v>
      </c>
      <c r="G31" s="947">
        <f t="shared" si="6"/>
        <v>1.0269999999999999</v>
      </c>
      <c r="H31" s="946"/>
      <c r="I31" s="948"/>
      <c r="J31" s="948"/>
      <c r="K31" s="948"/>
      <c r="L31" s="948"/>
      <c r="M31" s="948"/>
      <c r="N31" s="947"/>
      <c r="O31" s="949"/>
      <c r="P31" s="946"/>
      <c r="Q31" s="947"/>
      <c r="R31" s="950">
        <f t="shared" si="1"/>
        <v>1.0485669999999998</v>
      </c>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6"/>
      <c r="AV31" s="926"/>
      <c r="AW31" s="926"/>
      <c r="AX31" s="926"/>
      <c r="AY31" s="926"/>
      <c r="AZ31" s="926"/>
      <c r="BA31" s="926"/>
      <c r="BB31" s="926"/>
      <c r="BC31" s="926"/>
      <c r="BD31" s="926"/>
      <c r="BE31" s="926"/>
      <c r="BF31" s="926"/>
      <c r="BG31" s="926"/>
      <c r="BH31" s="926"/>
      <c r="BI31" s="926"/>
      <c r="BJ31" s="926"/>
      <c r="BK31" s="926"/>
      <c r="BL31" s="926"/>
      <c r="BM31" s="926"/>
      <c r="BN31" s="926"/>
      <c r="BO31" s="926"/>
      <c r="BP31" s="926"/>
      <c r="BQ31" s="926"/>
      <c r="BR31" s="926"/>
      <c r="BS31" s="926"/>
      <c r="BT31" s="926"/>
      <c r="BU31" s="926"/>
      <c r="BV31" s="926"/>
      <c r="BW31" s="926"/>
      <c r="BX31" s="926"/>
      <c r="BY31" s="926"/>
      <c r="BZ31" s="926"/>
      <c r="CA31" s="926"/>
      <c r="CB31" s="926"/>
      <c r="CC31" s="926"/>
      <c r="CD31" s="926"/>
      <c r="CE31" s="926"/>
      <c r="CF31" s="926"/>
      <c r="CG31" s="926"/>
      <c r="CH31" s="926"/>
      <c r="CI31" s="926"/>
      <c r="CJ31" s="926"/>
      <c r="CK31" s="926"/>
      <c r="CL31" s="926"/>
      <c r="CM31" s="926"/>
      <c r="CN31" s="926"/>
      <c r="CO31" s="926"/>
      <c r="CP31" s="926"/>
      <c r="CQ31" s="926"/>
      <c r="CR31" s="926"/>
      <c r="CS31" s="926"/>
      <c r="CT31" s="926"/>
      <c r="CU31" s="926"/>
      <c r="CV31" s="926"/>
      <c r="CW31" s="926"/>
      <c r="CX31" s="926"/>
      <c r="CY31" s="926"/>
      <c r="CZ31" s="926"/>
      <c r="DA31" s="926"/>
      <c r="DB31" s="926"/>
      <c r="DC31" s="926"/>
      <c r="DD31" s="926"/>
      <c r="DE31" s="926"/>
      <c r="DF31" s="926"/>
      <c r="DG31" s="926"/>
      <c r="DH31" s="926"/>
      <c r="DI31" s="926"/>
      <c r="DJ31" s="926"/>
      <c r="DK31" s="926"/>
      <c r="DL31" s="926"/>
      <c r="DM31" s="926"/>
      <c r="DN31" s="926"/>
      <c r="DO31" s="926"/>
      <c r="DP31" s="926"/>
      <c r="DQ31" s="926"/>
      <c r="DR31" s="926"/>
      <c r="DS31" s="926"/>
      <c r="DT31" s="926"/>
      <c r="DU31" s="926"/>
      <c r="DV31" s="926"/>
      <c r="DW31" s="926"/>
      <c r="DX31" s="926"/>
      <c r="DY31" s="926"/>
      <c r="DZ31" s="926"/>
      <c r="EA31" s="926"/>
      <c r="EB31" s="926"/>
      <c r="EC31" s="926"/>
      <c r="ED31" s="926"/>
      <c r="EE31" s="926"/>
      <c r="EF31" s="926"/>
      <c r="EG31" s="926"/>
      <c r="EH31" s="926"/>
      <c r="EI31" s="926"/>
      <c r="EJ31" s="926"/>
      <c r="EK31" s="926"/>
      <c r="EL31" s="926"/>
      <c r="EM31" s="926"/>
      <c r="EN31" s="926"/>
      <c r="EO31" s="926"/>
      <c r="EP31" s="926"/>
      <c r="EQ31" s="926"/>
      <c r="ER31" s="926"/>
      <c r="ES31" s="926"/>
      <c r="ET31" s="926"/>
      <c r="EU31" s="926"/>
      <c r="EV31" s="926"/>
      <c r="EW31" s="926"/>
      <c r="EX31" s="926"/>
      <c r="EY31" s="926"/>
      <c r="EZ31" s="926"/>
      <c r="FA31" s="926"/>
      <c r="FB31" s="926"/>
      <c r="FC31" s="926"/>
      <c r="FD31" s="926"/>
      <c r="FE31" s="926"/>
      <c r="FF31" s="926"/>
      <c r="FG31" s="926"/>
      <c r="FH31" s="926"/>
      <c r="FI31" s="926"/>
      <c r="FJ31" s="926"/>
      <c r="FK31" s="926"/>
      <c r="FL31" s="926"/>
      <c r="FM31" s="926"/>
      <c r="FN31" s="926"/>
      <c r="FO31" s="926"/>
      <c r="FP31" s="926"/>
      <c r="FQ31" s="926"/>
      <c r="FR31" s="926"/>
      <c r="FS31" s="926"/>
      <c r="FT31" s="926"/>
      <c r="FU31" s="926"/>
      <c r="FV31" s="926"/>
      <c r="FW31" s="926"/>
      <c r="FX31" s="926"/>
      <c r="FY31" s="926"/>
      <c r="FZ31" s="926"/>
      <c r="GA31" s="926"/>
      <c r="GB31" s="926"/>
      <c r="GC31" s="926"/>
      <c r="GD31" s="926"/>
      <c r="GE31" s="926"/>
      <c r="GF31" s="926"/>
      <c r="GG31" s="926"/>
      <c r="GH31" s="926"/>
      <c r="GI31" s="926"/>
      <c r="GJ31" s="926"/>
      <c r="GK31" s="926"/>
      <c r="GL31" s="926"/>
      <c r="GM31" s="926"/>
      <c r="GN31" s="926"/>
      <c r="GO31" s="926"/>
      <c r="GP31" s="926"/>
      <c r="GQ31" s="926"/>
      <c r="GR31" s="926"/>
      <c r="GS31" s="926"/>
      <c r="GT31" s="926"/>
      <c r="GU31" s="926"/>
      <c r="GV31" s="926"/>
      <c r="GW31" s="926"/>
      <c r="GX31" s="926"/>
      <c r="GY31" s="926"/>
      <c r="GZ31" s="926"/>
      <c r="HA31" s="926"/>
      <c r="HB31" s="926"/>
      <c r="HC31" s="926"/>
      <c r="HD31" s="926"/>
      <c r="HE31" s="926"/>
      <c r="HF31" s="926"/>
      <c r="HG31" s="926"/>
      <c r="HH31" s="926"/>
      <c r="HI31" s="926"/>
      <c r="HJ31" s="926"/>
      <c r="HK31" s="926"/>
      <c r="HL31" s="926"/>
      <c r="HM31" s="926"/>
      <c r="HN31" s="926"/>
      <c r="HO31" s="926"/>
      <c r="HP31" s="926"/>
      <c r="HQ31" s="926"/>
      <c r="HR31" s="926"/>
      <c r="HS31" s="926"/>
      <c r="HT31" s="926"/>
      <c r="HU31" s="926"/>
      <c r="HV31" s="926"/>
      <c r="HW31" s="926"/>
      <c r="HX31" s="926"/>
      <c r="HY31" s="926"/>
      <c r="HZ31" s="926"/>
      <c r="IA31" s="926"/>
      <c r="IB31" s="926"/>
      <c r="IC31" s="926"/>
      <c r="ID31" s="926"/>
      <c r="IE31" s="926"/>
      <c r="IF31" s="926"/>
      <c r="IG31" s="926"/>
      <c r="IH31" s="926"/>
      <c r="II31" s="926"/>
      <c r="IJ31" s="926"/>
      <c r="IK31" s="926"/>
      <c r="IL31" s="926"/>
      <c r="IM31" s="926"/>
    </row>
    <row r="32" spans="1:247" x14ac:dyDescent="0.45">
      <c r="A32" s="441">
        <v>1753</v>
      </c>
      <c r="B32" s="939" t="s">
        <v>2567</v>
      </c>
      <c r="C32" s="47" t="s">
        <v>699</v>
      </c>
      <c r="D32" s="449" t="s">
        <v>2537</v>
      </c>
      <c r="E32" s="946"/>
      <c r="F32" s="941">
        <f t="shared" si="0"/>
        <v>1.0209999999999999</v>
      </c>
      <c r="G32" s="947">
        <f t="shared" si="6"/>
        <v>1.0269999999999999</v>
      </c>
      <c r="H32" s="946"/>
      <c r="I32" s="948"/>
      <c r="J32" s="948"/>
      <c r="K32" s="948"/>
      <c r="L32" s="948"/>
      <c r="M32" s="948"/>
      <c r="N32" s="947"/>
      <c r="O32" s="949"/>
      <c r="P32" s="946"/>
      <c r="Q32" s="947"/>
      <c r="R32" s="950">
        <f t="shared" si="1"/>
        <v>1.0485669999999998</v>
      </c>
      <c r="S32" s="926"/>
      <c r="T32" s="926"/>
      <c r="U32" s="926"/>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6"/>
      <c r="AV32" s="926"/>
      <c r="AW32" s="926"/>
      <c r="AX32" s="926"/>
      <c r="AY32" s="926"/>
      <c r="AZ32" s="926"/>
      <c r="BA32" s="926"/>
      <c r="BB32" s="926"/>
      <c r="BC32" s="926"/>
      <c r="BD32" s="926"/>
      <c r="BE32" s="926"/>
      <c r="BF32" s="926"/>
      <c r="BG32" s="926"/>
      <c r="BH32" s="926"/>
      <c r="BI32" s="926"/>
      <c r="BJ32" s="926"/>
      <c r="BK32" s="926"/>
      <c r="BL32" s="926"/>
      <c r="BM32" s="926"/>
      <c r="BN32" s="926"/>
      <c r="BO32" s="926"/>
      <c r="BP32" s="926"/>
      <c r="BQ32" s="926"/>
      <c r="BR32" s="926"/>
      <c r="BS32" s="926"/>
      <c r="BT32" s="926"/>
      <c r="BU32" s="926"/>
      <c r="BV32" s="926"/>
      <c r="BW32" s="926"/>
      <c r="BX32" s="926"/>
      <c r="BY32" s="926"/>
      <c r="BZ32" s="926"/>
      <c r="CA32" s="926"/>
      <c r="CB32" s="926"/>
      <c r="CC32" s="926"/>
      <c r="CD32" s="926"/>
      <c r="CE32" s="926"/>
      <c r="CF32" s="926"/>
      <c r="CG32" s="926"/>
      <c r="CH32" s="926"/>
      <c r="CI32" s="926"/>
      <c r="CJ32" s="926"/>
      <c r="CK32" s="926"/>
      <c r="CL32" s="926"/>
      <c r="CM32" s="926"/>
      <c r="CN32" s="926"/>
      <c r="CO32" s="926"/>
      <c r="CP32" s="926"/>
      <c r="CQ32" s="926"/>
      <c r="CR32" s="926"/>
      <c r="CS32" s="926"/>
      <c r="CT32" s="926"/>
      <c r="CU32" s="926"/>
      <c r="CV32" s="926"/>
      <c r="CW32" s="926"/>
      <c r="CX32" s="926"/>
      <c r="CY32" s="926"/>
      <c r="CZ32" s="926"/>
      <c r="DA32" s="926"/>
      <c r="DB32" s="926"/>
      <c r="DC32" s="926"/>
      <c r="DD32" s="926"/>
      <c r="DE32" s="926"/>
      <c r="DF32" s="926"/>
      <c r="DG32" s="926"/>
      <c r="DH32" s="926"/>
      <c r="DI32" s="926"/>
      <c r="DJ32" s="926"/>
      <c r="DK32" s="926"/>
      <c r="DL32" s="926"/>
      <c r="DM32" s="926"/>
      <c r="DN32" s="926"/>
      <c r="DO32" s="926"/>
      <c r="DP32" s="926"/>
      <c r="DQ32" s="926"/>
      <c r="DR32" s="926"/>
      <c r="DS32" s="926"/>
      <c r="DT32" s="926"/>
      <c r="DU32" s="926"/>
      <c r="DV32" s="926"/>
      <c r="DW32" s="926"/>
      <c r="DX32" s="926"/>
      <c r="DY32" s="926"/>
      <c r="DZ32" s="926"/>
      <c r="EA32" s="926"/>
      <c r="EB32" s="926"/>
      <c r="EC32" s="926"/>
      <c r="ED32" s="926"/>
      <c r="EE32" s="926"/>
      <c r="EF32" s="926"/>
      <c r="EG32" s="926"/>
      <c r="EH32" s="926"/>
      <c r="EI32" s="926"/>
      <c r="EJ32" s="926"/>
      <c r="EK32" s="926"/>
      <c r="EL32" s="926"/>
      <c r="EM32" s="926"/>
      <c r="EN32" s="926"/>
      <c r="EO32" s="926"/>
      <c r="EP32" s="926"/>
      <c r="EQ32" s="926"/>
      <c r="ER32" s="926"/>
      <c r="ES32" s="926"/>
      <c r="ET32" s="926"/>
      <c r="EU32" s="926"/>
      <c r="EV32" s="926"/>
      <c r="EW32" s="926"/>
      <c r="EX32" s="926"/>
      <c r="EY32" s="926"/>
      <c r="EZ32" s="926"/>
      <c r="FA32" s="926"/>
      <c r="FB32" s="926"/>
      <c r="FC32" s="926"/>
      <c r="FD32" s="926"/>
      <c r="FE32" s="926"/>
      <c r="FF32" s="926"/>
      <c r="FG32" s="926"/>
      <c r="FH32" s="926"/>
      <c r="FI32" s="926"/>
      <c r="FJ32" s="926"/>
      <c r="FK32" s="926"/>
      <c r="FL32" s="926"/>
      <c r="FM32" s="926"/>
      <c r="FN32" s="926"/>
      <c r="FO32" s="926"/>
      <c r="FP32" s="926"/>
      <c r="FQ32" s="926"/>
      <c r="FR32" s="926"/>
      <c r="FS32" s="926"/>
      <c r="FT32" s="926"/>
      <c r="FU32" s="926"/>
      <c r="FV32" s="926"/>
      <c r="FW32" s="926"/>
      <c r="FX32" s="926"/>
      <c r="FY32" s="926"/>
      <c r="FZ32" s="926"/>
      <c r="GA32" s="926"/>
      <c r="GB32" s="926"/>
      <c r="GC32" s="926"/>
      <c r="GD32" s="926"/>
      <c r="GE32" s="926"/>
      <c r="GF32" s="926"/>
      <c r="GG32" s="926"/>
      <c r="GH32" s="926"/>
      <c r="GI32" s="926"/>
      <c r="GJ32" s="926"/>
      <c r="GK32" s="926"/>
      <c r="GL32" s="926"/>
      <c r="GM32" s="926"/>
      <c r="GN32" s="926"/>
      <c r="GO32" s="926"/>
      <c r="GP32" s="926"/>
      <c r="GQ32" s="926"/>
      <c r="GR32" s="926"/>
      <c r="GS32" s="926"/>
      <c r="GT32" s="926"/>
      <c r="GU32" s="926"/>
      <c r="GV32" s="926"/>
      <c r="GW32" s="926"/>
      <c r="GX32" s="926"/>
      <c r="GY32" s="926"/>
      <c r="GZ32" s="926"/>
      <c r="HA32" s="926"/>
      <c r="HB32" s="926"/>
      <c r="HC32" s="926"/>
      <c r="HD32" s="926"/>
      <c r="HE32" s="926"/>
      <c r="HF32" s="926"/>
      <c r="HG32" s="926"/>
      <c r="HH32" s="926"/>
      <c r="HI32" s="926"/>
      <c r="HJ32" s="926"/>
      <c r="HK32" s="926"/>
      <c r="HL32" s="926"/>
      <c r="HM32" s="926"/>
      <c r="HN32" s="926"/>
      <c r="HO32" s="926"/>
      <c r="HP32" s="926"/>
      <c r="HQ32" s="926"/>
      <c r="HR32" s="926"/>
      <c r="HS32" s="926"/>
      <c r="HT32" s="926"/>
      <c r="HU32" s="926"/>
      <c r="HV32" s="926"/>
      <c r="HW32" s="926"/>
      <c r="HX32" s="926"/>
      <c r="HY32" s="926"/>
      <c r="HZ32" s="926"/>
      <c r="IA32" s="926"/>
      <c r="IB32" s="926"/>
      <c r="IC32" s="926"/>
      <c r="ID32" s="926"/>
      <c r="IE32" s="926"/>
      <c r="IF32" s="926"/>
      <c r="IG32" s="926"/>
      <c r="IH32" s="926"/>
      <c r="II32" s="926"/>
      <c r="IJ32" s="926"/>
      <c r="IK32" s="926"/>
      <c r="IL32" s="926"/>
      <c r="IM32" s="926"/>
    </row>
    <row r="33" spans="1:247" x14ac:dyDescent="0.45">
      <c r="A33" s="441">
        <v>1754</v>
      </c>
      <c r="B33" s="939" t="s">
        <v>2568</v>
      </c>
      <c r="C33" s="47" t="s">
        <v>699</v>
      </c>
      <c r="D33" s="449" t="s">
        <v>2537</v>
      </c>
      <c r="E33" s="946"/>
      <c r="F33" s="941">
        <f t="shared" si="0"/>
        <v>1.0209999999999999</v>
      </c>
      <c r="G33" s="947">
        <f t="shared" si="6"/>
        <v>1.0269999999999999</v>
      </c>
      <c r="H33" s="946"/>
      <c r="I33" s="948"/>
      <c r="J33" s="948"/>
      <c r="K33" s="948"/>
      <c r="L33" s="948"/>
      <c r="M33" s="948"/>
      <c r="N33" s="947"/>
      <c r="O33" s="949"/>
      <c r="P33" s="946"/>
      <c r="Q33" s="947"/>
      <c r="R33" s="950">
        <f t="shared" si="1"/>
        <v>1.0485669999999998</v>
      </c>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6"/>
      <c r="AV33" s="926"/>
      <c r="AW33" s="926"/>
      <c r="AX33" s="926"/>
      <c r="AY33" s="926"/>
      <c r="AZ33" s="926"/>
      <c r="BA33" s="926"/>
      <c r="BB33" s="926"/>
      <c r="BC33" s="926"/>
      <c r="BD33" s="926"/>
      <c r="BE33" s="926"/>
      <c r="BF33" s="926"/>
      <c r="BG33" s="926"/>
      <c r="BH33" s="926"/>
      <c r="BI33" s="926"/>
      <c r="BJ33" s="926"/>
      <c r="BK33" s="926"/>
      <c r="BL33" s="926"/>
      <c r="BM33" s="926"/>
      <c r="BN33" s="926"/>
      <c r="BO33" s="926"/>
      <c r="BP33" s="926"/>
      <c r="BQ33" s="926"/>
      <c r="BR33" s="926"/>
      <c r="BS33" s="926"/>
      <c r="BT33" s="926"/>
      <c r="BU33" s="926"/>
      <c r="BV33" s="926"/>
      <c r="BW33" s="926"/>
      <c r="BX33" s="926"/>
      <c r="BY33" s="926"/>
      <c r="BZ33" s="926"/>
      <c r="CA33" s="926"/>
      <c r="CB33" s="926"/>
      <c r="CC33" s="926"/>
      <c r="CD33" s="926"/>
      <c r="CE33" s="926"/>
      <c r="CF33" s="926"/>
      <c r="CG33" s="926"/>
      <c r="CH33" s="926"/>
      <c r="CI33" s="926"/>
      <c r="CJ33" s="926"/>
      <c r="CK33" s="926"/>
      <c r="CL33" s="926"/>
      <c r="CM33" s="926"/>
      <c r="CN33" s="926"/>
      <c r="CO33" s="926"/>
      <c r="CP33" s="926"/>
      <c r="CQ33" s="926"/>
      <c r="CR33" s="926"/>
      <c r="CS33" s="926"/>
      <c r="CT33" s="926"/>
      <c r="CU33" s="926"/>
      <c r="CV33" s="926"/>
      <c r="CW33" s="926"/>
      <c r="CX33" s="926"/>
      <c r="CY33" s="926"/>
      <c r="CZ33" s="926"/>
      <c r="DA33" s="926"/>
      <c r="DB33" s="926"/>
      <c r="DC33" s="926"/>
      <c r="DD33" s="926"/>
      <c r="DE33" s="926"/>
      <c r="DF33" s="926"/>
      <c r="DG33" s="926"/>
      <c r="DH33" s="926"/>
      <c r="DI33" s="926"/>
      <c r="DJ33" s="926"/>
      <c r="DK33" s="926"/>
      <c r="DL33" s="926"/>
      <c r="DM33" s="926"/>
      <c r="DN33" s="926"/>
      <c r="DO33" s="926"/>
      <c r="DP33" s="926"/>
      <c r="DQ33" s="926"/>
      <c r="DR33" s="926"/>
      <c r="DS33" s="926"/>
      <c r="DT33" s="926"/>
      <c r="DU33" s="926"/>
      <c r="DV33" s="926"/>
      <c r="DW33" s="926"/>
      <c r="DX33" s="926"/>
      <c r="DY33" s="926"/>
      <c r="DZ33" s="926"/>
      <c r="EA33" s="926"/>
      <c r="EB33" s="926"/>
      <c r="EC33" s="926"/>
      <c r="ED33" s="926"/>
      <c r="EE33" s="926"/>
      <c r="EF33" s="926"/>
      <c r="EG33" s="926"/>
      <c r="EH33" s="926"/>
      <c r="EI33" s="926"/>
      <c r="EJ33" s="926"/>
      <c r="EK33" s="926"/>
      <c r="EL33" s="926"/>
      <c r="EM33" s="926"/>
      <c r="EN33" s="926"/>
      <c r="EO33" s="926"/>
      <c r="EP33" s="926"/>
      <c r="EQ33" s="926"/>
      <c r="ER33" s="926"/>
      <c r="ES33" s="926"/>
      <c r="ET33" s="926"/>
      <c r="EU33" s="926"/>
      <c r="EV33" s="926"/>
      <c r="EW33" s="926"/>
      <c r="EX33" s="926"/>
      <c r="EY33" s="926"/>
      <c r="EZ33" s="926"/>
      <c r="FA33" s="926"/>
      <c r="FB33" s="926"/>
      <c r="FC33" s="926"/>
      <c r="FD33" s="926"/>
      <c r="FE33" s="926"/>
      <c r="FF33" s="926"/>
      <c r="FG33" s="926"/>
      <c r="FH33" s="926"/>
      <c r="FI33" s="926"/>
      <c r="FJ33" s="926"/>
      <c r="FK33" s="926"/>
      <c r="FL33" s="926"/>
      <c r="FM33" s="926"/>
      <c r="FN33" s="926"/>
      <c r="FO33" s="926"/>
      <c r="FP33" s="926"/>
      <c r="FQ33" s="926"/>
      <c r="FR33" s="926"/>
      <c r="FS33" s="926"/>
      <c r="FT33" s="926"/>
      <c r="FU33" s="926"/>
      <c r="FV33" s="926"/>
      <c r="FW33" s="926"/>
      <c r="FX33" s="926"/>
      <c r="FY33" s="926"/>
      <c r="FZ33" s="926"/>
      <c r="GA33" s="926"/>
      <c r="GB33" s="926"/>
      <c r="GC33" s="926"/>
      <c r="GD33" s="926"/>
      <c r="GE33" s="926"/>
      <c r="GF33" s="926"/>
      <c r="GG33" s="926"/>
      <c r="GH33" s="926"/>
      <c r="GI33" s="926"/>
      <c r="GJ33" s="926"/>
      <c r="GK33" s="926"/>
      <c r="GL33" s="926"/>
      <c r="GM33" s="926"/>
      <c r="GN33" s="926"/>
      <c r="GO33" s="926"/>
      <c r="GP33" s="926"/>
      <c r="GQ33" s="926"/>
      <c r="GR33" s="926"/>
      <c r="GS33" s="926"/>
      <c r="GT33" s="926"/>
      <c r="GU33" s="926"/>
      <c r="GV33" s="926"/>
      <c r="GW33" s="926"/>
      <c r="GX33" s="926"/>
      <c r="GY33" s="926"/>
      <c r="GZ33" s="926"/>
      <c r="HA33" s="926"/>
      <c r="HB33" s="926"/>
      <c r="HC33" s="926"/>
      <c r="HD33" s="926"/>
      <c r="HE33" s="926"/>
      <c r="HF33" s="926"/>
      <c r="HG33" s="926"/>
      <c r="HH33" s="926"/>
      <c r="HI33" s="926"/>
      <c r="HJ33" s="926"/>
      <c r="HK33" s="926"/>
      <c r="HL33" s="926"/>
      <c r="HM33" s="926"/>
      <c r="HN33" s="926"/>
      <c r="HO33" s="926"/>
      <c r="HP33" s="926"/>
      <c r="HQ33" s="926"/>
      <c r="HR33" s="926"/>
      <c r="HS33" s="926"/>
      <c r="HT33" s="926"/>
      <c r="HU33" s="926"/>
      <c r="HV33" s="926"/>
      <c r="HW33" s="926"/>
      <c r="HX33" s="926"/>
      <c r="HY33" s="926"/>
      <c r="HZ33" s="926"/>
      <c r="IA33" s="926"/>
      <c r="IB33" s="926"/>
      <c r="IC33" s="926"/>
      <c r="ID33" s="926"/>
      <c r="IE33" s="926"/>
      <c r="IF33" s="926"/>
      <c r="IG33" s="926"/>
      <c r="IH33" s="926"/>
      <c r="II33" s="926"/>
      <c r="IJ33" s="926"/>
      <c r="IK33" s="926"/>
      <c r="IL33" s="926"/>
      <c r="IM33" s="926"/>
    </row>
    <row r="34" spans="1:247" x14ac:dyDescent="0.45">
      <c r="A34" s="441">
        <v>1755</v>
      </c>
      <c r="B34" s="939" t="s">
        <v>2569</v>
      </c>
      <c r="C34" s="47" t="s">
        <v>699</v>
      </c>
      <c r="D34" s="449" t="s">
        <v>2537</v>
      </c>
      <c r="E34" s="946"/>
      <c r="F34" s="941">
        <f t="shared" si="0"/>
        <v>1.0209999999999999</v>
      </c>
      <c r="G34" s="947">
        <f t="shared" si="6"/>
        <v>1.0269999999999999</v>
      </c>
      <c r="H34" s="946"/>
      <c r="I34" s="948"/>
      <c r="J34" s="948"/>
      <c r="K34" s="948"/>
      <c r="L34" s="948"/>
      <c r="M34" s="948"/>
      <c r="N34" s="947"/>
      <c r="O34" s="949"/>
      <c r="P34" s="946"/>
      <c r="Q34" s="947"/>
      <c r="R34" s="950">
        <f t="shared" si="1"/>
        <v>1.0485669999999998</v>
      </c>
      <c r="S34" s="926"/>
      <c r="T34" s="926"/>
      <c r="U34" s="926"/>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6"/>
      <c r="AV34" s="926"/>
      <c r="AW34" s="926"/>
      <c r="AX34" s="926"/>
      <c r="AY34" s="926"/>
      <c r="AZ34" s="926"/>
      <c r="BA34" s="926"/>
      <c r="BB34" s="926"/>
      <c r="BC34" s="926"/>
      <c r="BD34" s="926"/>
      <c r="BE34" s="926"/>
      <c r="BF34" s="926"/>
      <c r="BG34" s="926"/>
      <c r="BH34" s="926"/>
      <c r="BI34" s="926"/>
      <c r="BJ34" s="926"/>
      <c r="BK34" s="926"/>
      <c r="BL34" s="926"/>
      <c r="BM34" s="926"/>
      <c r="BN34" s="926"/>
      <c r="BO34" s="926"/>
      <c r="BP34" s="926"/>
      <c r="BQ34" s="926"/>
      <c r="BR34" s="926"/>
      <c r="BS34" s="926"/>
      <c r="BT34" s="926"/>
      <c r="BU34" s="926"/>
      <c r="BV34" s="926"/>
      <c r="BW34" s="926"/>
      <c r="BX34" s="926"/>
      <c r="BY34" s="926"/>
      <c r="BZ34" s="926"/>
      <c r="CA34" s="926"/>
      <c r="CB34" s="926"/>
      <c r="CC34" s="926"/>
      <c r="CD34" s="926"/>
      <c r="CE34" s="926"/>
      <c r="CF34" s="926"/>
      <c r="CG34" s="926"/>
      <c r="CH34" s="926"/>
      <c r="CI34" s="926"/>
      <c r="CJ34" s="926"/>
      <c r="CK34" s="926"/>
      <c r="CL34" s="926"/>
      <c r="CM34" s="926"/>
      <c r="CN34" s="926"/>
      <c r="CO34" s="926"/>
      <c r="CP34" s="926"/>
      <c r="CQ34" s="926"/>
      <c r="CR34" s="926"/>
      <c r="CS34" s="926"/>
      <c r="CT34" s="926"/>
      <c r="CU34" s="926"/>
      <c r="CV34" s="926"/>
      <c r="CW34" s="926"/>
      <c r="CX34" s="926"/>
      <c r="CY34" s="926"/>
      <c r="CZ34" s="926"/>
      <c r="DA34" s="926"/>
      <c r="DB34" s="926"/>
      <c r="DC34" s="926"/>
      <c r="DD34" s="926"/>
      <c r="DE34" s="926"/>
      <c r="DF34" s="926"/>
      <c r="DG34" s="926"/>
      <c r="DH34" s="926"/>
      <c r="DI34" s="926"/>
      <c r="DJ34" s="926"/>
      <c r="DK34" s="926"/>
      <c r="DL34" s="926"/>
      <c r="DM34" s="926"/>
      <c r="DN34" s="926"/>
      <c r="DO34" s="926"/>
      <c r="DP34" s="926"/>
      <c r="DQ34" s="926"/>
      <c r="DR34" s="926"/>
      <c r="DS34" s="926"/>
      <c r="DT34" s="926"/>
      <c r="DU34" s="926"/>
      <c r="DV34" s="926"/>
      <c r="DW34" s="926"/>
      <c r="DX34" s="926"/>
      <c r="DY34" s="926"/>
      <c r="DZ34" s="926"/>
      <c r="EA34" s="926"/>
      <c r="EB34" s="926"/>
      <c r="EC34" s="926"/>
      <c r="ED34" s="926"/>
      <c r="EE34" s="926"/>
      <c r="EF34" s="926"/>
      <c r="EG34" s="926"/>
      <c r="EH34" s="926"/>
      <c r="EI34" s="926"/>
      <c r="EJ34" s="926"/>
      <c r="EK34" s="926"/>
      <c r="EL34" s="926"/>
      <c r="EM34" s="926"/>
      <c r="EN34" s="926"/>
      <c r="EO34" s="926"/>
      <c r="EP34" s="926"/>
      <c r="EQ34" s="926"/>
      <c r="ER34" s="926"/>
      <c r="ES34" s="926"/>
      <c r="ET34" s="926"/>
      <c r="EU34" s="926"/>
      <c r="EV34" s="926"/>
      <c r="EW34" s="926"/>
      <c r="EX34" s="926"/>
      <c r="EY34" s="926"/>
      <c r="EZ34" s="926"/>
      <c r="FA34" s="926"/>
      <c r="FB34" s="926"/>
      <c r="FC34" s="926"/>
      <c r="FD34" s="926"/>
      <c r="FE34" s="926"/>
      <c r="FF34" s="926"/>
      <c r="FG34" s="926"/>
      <c r="FH34" s="926"/>
      <c r="FI34" s="926"/>
      <c r="FJ34" s="926"/>
      <c r="FK34" s="926"/>
      <c r="FL34" s="926"/>
      <c r="FM34" s="926"/>
      <c r="FN34" s="926"/>
      <c r="FO34" s="926"/>
      <c r="FP34" s="926"/>
      <c r="FQ34" s="926"/>
      <c r="FR34" s="926"/>
      <c r="FS34" s="926"/>
      <c r="FT34" s="926"/>
      <c r="FU34" s="926"/>
      <c r="FV34" s="926"/>
      <c r="FW34" s="926"/>
      <c r="FX34" s="926"/>
      <c r="FY34" s="926"/>
      <c r="FZ34" s="926"/>
      <c r="GA34" s="926"/>
      <c r="GB34" s="926"/>
      <c r="GC34" s="926"/>
      <c r="GD34" s="926"/>
      <c r="GE34" s="926"/>
      <c r="GF34" s="926"/>
      <c r="GG34" s="926"/>
      <c r="GH34" s="926"/>
      <c r="GI34" s="926"/>
      <c r="GJ34" s="926"/>
      <c r="GK34" s="926"/>
      <c r="GL34" s="926"/>
      <c r="GM34" s="926"/>
      <c r="GN34" s="926"/>
      <c r="GO34" s="926"/>
      <c r="GP34" s="926"/>
      <c r="GQ34" s="926"/>
      <c r="GR34" s="926"/>
      <c r="GS34" s="926"/>
      <c r="GT34" s="926"/>
      <c r="GU34" s="926"/>
      <c r="GV34" s="926"/>
      <c r="GW34" s="926"/>
      <c r="GX34" s="926"/>
      <c r="GY34" s="926"/>
      <c r="GZ34" s="926"/>
      <c r="HA34" s="926"/>
      <c r="HB34" s="926"/>
      <c r="HC34" s="926"/>
      <c r="HD34" s="926"/>
      <c r="HE34" s="926"/>
      <c r="HF34" s="926"/>
      <c r="HG34" s="926"/>
      <c r="HH34" s="926"/>
      <c r="HI34" s="926"/>
      <c r="HJ34" s="926"/>
      <c r="HK34" s="926"/>
      <c r="HL34" s="926"/>
      <c r="HM34" s="926"/>
      <c r="HN34" s="926"/>
      <c r="HO34" s="926"/>
      <c r="HP34" s="926"/>
      <c r="HQ34" s="926"/>
      <c r="HR34" s="926"/>
      <c r="HS34" s="926"/>
      <c r="HT34" s="926"/>
      <c r="HU34" s="926"/>
      <c r="HV34" s="926"/>
      <c r="HW34" s="926"/>
      <c r="HX34" s="926"/>
      <c r="HY34" s="926"/>
      <c r="HZ34" s="926"/>
      <c r="IA34" s="926"/>
      <c r="IB34" s="926"/>
      <c r="IC34" s="926"/>
      <c r="ID34" s="926"/>
      <c r="IE34" s="926"/>
      <c r="IF34" s="926"/>
      <c r="IG34" s="926"/>
      <c r="IH34" s="926"/>
      <c r="II34" s="926"/>
      <c r="IJ34" s="926"/>
      <c r="IK34" s="926"/>
      <c r="IL34" s="926"/>
      <c r="IM34" s="926"/>
    </row>
    <row r="35" spans="1:247" x14ac:dyDescent="0.45">
      <c r="A35" s="441">
        <v>1756</v>
      </c>
      <c r="B35" s="939" t="s">
        <v>2570</v>
      </c>
      <c r="C35" s="47" t="s">
        <v>699</v>
      </c>
      <c r="D35" s="449" t="s">
        <v>2537</v>
      </c>
      <c r="E35" s="946"/>
      <c r="F35" s="941">
        <f t="shared" si="0"/>
        <v>1.0209999999999999</v>
      </c>
      <c r="G35" s="947">
        <f t="shared" si="6"/>
        <v>1.0269999999999999</v>
      </c>
      <c r="H35" s="946"/>
      <c r="I35" s="948"/>
      <c r="J35" s="948"/>
      <c r="K35" s="948"/>
      <c r="L35" s="948"/>
      <c r="M35" s="948"/>
      <c r="N35" s="947"/>
      <c r="O35" s="949"/>
      <c r="P35" s="946"/>
      <c r="Q35" s="947"/>
      <c r="R35" s="950">
        <f t="shared" si="1"/>
        <v>1.0485669999999998</v>
      </c>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6"/>
      <c r="AV35" s="926"/>
      <c r="AW35" s="926"/>
      <c r="AX35" s="926"/>
      <c r="AY35" s="926"/>
      <c r="AZ35" s="926"/>
      <c r="BA35" s="926"/>
      <c r="BB35" s="926"/>
      <c r="BC35" s="926"/>
      <c r="BD35" s="926"/>
      <c r="BE35" s="926"/>
      <c r="BF35" s="926"/>
      <c r="BG35" s="926"/>
      <c r="BH35" s="926"/>
      <c r="BI35" s="926"/>
      <c r="BJ35" s="926"/>
      <c r="BK35" s="926"/>
      <c r="BL35" s="926"/>
      <c r="BM35" s="926"/>
      <c r="BN35" s="926"/>
      <c r="BO35" s="926"/>
      <c r="BP35" s="926"/>
      <c r="BQ35" s="926"/>
      <c r="BR35" s="926"/>
      <c r="BS35" s="926"/>
      <c r="BT35" s="926"/>
      <c r="BU35" s="926"/>
      <c r="BV35" s="926"/>
      <c r="BW35" s="926"/>
      <c r="BX35" s="926"/>
      <c r="BY35" s="926"/>
      <c r="BZ35" s="926"/>
      <c r="CA35" s="926"/>
      <c r="CB35" s="926"/>
      <c r="CC35" s="926"/>
      <c r="CD35" s="926"/>
      <c r="CE35" s="926"/>
      <c r="CF35" s="926"/>
      <c r="CG35" s="926"/>
      <c r="CH35" s="926"/>
      <c r="CI35" s="926"/>
      <c r="CJ35" s="926"/>
      <c r="CK35" s="926"/>
      <c r="CL35" s="926"/>
      <c r="CM35" s="926"/>
      <c r="CN35" s="926"/>
      <c r="CO35" s="926"/>
      <c r="CP35" s="926"/>
      <c r="CQ35" s="926"/>
      <c r="CR35" s="926"/>
      <c r="CS35" s="926"/>
      <c r="CT35" s="926"/>
      <c r="CU35" s="926"/>
      <c r="CV35" s="926"/>
      <c r="CW35" s="926"/>
      <c r="CX35" s="926"/>
      <c r="CY35" s="926"/>
      <c r="CZ35" s="926"/>
      <c r="DA35" s="926"/>
      <c r="DB35" s="926"/>
      <c r="DC35" s="926"/>
      <c r="DD35" s="926"/>
      <c r="DE35" s="926"/>
      <c r="DF35" s="926"/>
      <c r="DG35" s="926"/>
      <c r="DH35" s="926"/>
      <c r="DI35" s="926"/>
      <c r="DJ35" s="926"/>
      <c r="DK35" s="926"/>
      <c r="DL35" s="926"/>
      <c r="DM35" s="926"/>
      <c r="DN35" s="926"/>
      <c r="DO35" s="926"/>
      <c r="DP35" s="926"/>
      <c r="DQ35" s="926"/>
      <c r="DR35" s="926"/>
      <c r="DS35" s="926"/>
      <c r="DT35" s="926"/>
      <c r="DU35" s="926"/>
      <c r="DV35" s="926"/>
      <c r="DW35" s="926"/>
      <c r="DX35" s="926"/>
      <c r="DY35" s="926"/>
      <c r="DZ35" s="926"/>
      <c r="EA35" s="926"/>
      <c r="EB35" s="926"/>
      <c r="EC35" s="926"/>
      <c r="ED35" s="926"/>
      <c r="EE35" s="926"/>
      <c r="EF35" s="926"/>
      <c r="EG35" s="926"/>
      <c r="EH35" s="926"/>
      <c r="EI35" s="926"/>
      <c r="EJ35" s="926"/>
      <c r="EK35" s="926"/>
      <c r="EL35" s="926"/>
      <c r="EM35" s="926"/>
      <c r="EN35" s="926"/>
      <c r="EO35" s="926"/>
      <c r="EP35" s="926"/>
      <c r="EQ35" s="926"/>
      <c r="ER35" s="926"/>
      <c r="ES35" s="926"/>
      <c r="ET35" s="926"/>
      <c r="EU35" s="926"/>
      <c r="EV35" s="926"/>
      <c r="EW35" s="926"/>
      <c r="EX35" s="926"/>
      <c r="EY35" s="926"/>
      <c r="EZ35" s="926"/>
      <c r="FA35" s="926"/>
      <c r="FB35" s="926"/>
      <c r="FC35" s="926"/>
      <c r="FD35" s="926"/>
      <c r="FE35" s="926"/>
      <c r="FF35" s="926"/>
      <c r="FG35" s="926"/>
      <c r="FH35" s="926"/>
      <c r="FI35" s="926"/>
      <c r="FJ35" s="926"/>
      <c r="FK35" s="926"/>
      <c r="FL35" s="926"/>
      <c r="FM35" s="926"/>
      <c r="FN35" s="926"/>
      <c r="FO35" s="926"/>
      <c r="FP35" s="926"/>
      <c r="FQ35" s="926"/>
      <c r="FR35" s="926"/>
      <c r="FS35" s="926"/>
      <c r="FT35" s="926"/>
      <c r="FU35" s="926"/>
      <c r="FV35" s="926"/>
      <c r="FW35" s="926"/>
      <c r="FX35" s="926"/>
      <c r="FY35" s="926"/>
      <c r="FZ35" s="926"/>
      <c r="GA35" s="926"/>
      <c r="GB35" s="926"/>
      <c r="GC35" s="926"/>
      <c r="GD35" s="926"/>
      <c r="GE35" s="926"/>
      <c r="GF35" s="926"/>
      <c r="GG35" s="926"/>
      <c r="GH35" s="926"/>
      <c r="GI35" s="926"/>
      <c r="GJ35" s="926"/>
      <c r="GK35" s="926"/>
      <c r="GL35" s="926"/>
      <c r="GM35" s="926"/>
      <c r="GN35" s="926"/>
      <c r="GO35" s="926"/>
      <c r="GP35" s="926"/>
      <c r="GQ35" s="926"/>
      <c r="GR35" s="926"/>
      <c r="GS35" s="926"/>
      <c r="GT35" s="926"/>
      <c r="GU35" s="926"/>
      <c r="GV35" s="926"/>
      <c r="GW35" s="926"/>
      <c r="GX35" s="926"/>
      <c r="GY35" s="926"/>
      <c r="GZ35" s="926"/>
      <c r="HA35" s="926"/>
      <c r="HB35" s="926"/>
      <c r="HC35" s="926"/>
      <c r="HD35" s="926"/>
      <c r="HE35" s="926"/>
      <c r="HF35" s="926"/>
      <c r="HG35" s="926"/>
      <c r="HH35" s="926"/>
      <c r="HI35" s="926"/>
      <c r="HJ35" s="926"/>
      <c r="HK35" s="926"/>
      <c r="HL35" s="926"/>
      <c r="HM35" s="926"/>
      <c r="HN35" s="926"/>
      <c r="HO35" s="926"/>
      <c r="HP35" s="926"/>
      <c r="HQ35" s="926"/>
      <c r="HR35" s="926"/>
      <c r="HS35" s="926"/>
      <c r="HT35" s="926"/>
      <c r="HU35" s="926"/>
      <c r="HV35" s="926"/>
      <c r="HW35" s="926"/>
      <c r="HX35" s="926"/>
      <c r="HY35" s="926"/>
      <c r="HZ35" s="926"/>
      <c r="IA35" s="926"/>
      <c r="IB35" s="926"/>
      <c r="IC35" s="926"/>
      <c r="ID35" s="926"/>
      <c r="IE35" s="926"/>
      <c r="IF35" s="926"/>
      <c r="IG35" s="926"/>
      <c r="IH35" s="926"/>
      <c r="II35" s="926"/>
      <c r="IJ35" s="926"/>
      <c r="IK35" s="926"/>
      <c r="IL35" s="926"/>
      <c r="IM35" s="926"/>
    </row>
    <row r="36" spans="1:247" x14ac:dyDescent="0.45">
      <c r="A36" s="441">
        <v>1757</v>
      </c>
      <c r="B36" s="939" t="s">
        <v>2571</v>
      </c>
      <c r="C36" s="47" t="s">
        <v>699</v>
      </c>
      <c r="D36" s="449" t="s">
        <v>2537</v>
      </c>
      <c r="E36" s="946"/>
      <c r="F36" s="941">
        <f t="shared" si="0"/>
        <v>1.0209999999999999</v>
      </c>
      <c r="G36" s="947">
        <f t="shared" si="6"/>
        <v>1.0269999999999999</v>
      </c>
      <c r="H36" s="946"/>
      <c r="I36" s="948"/>
      <c r="J36" s="948"/>
      <c r="K36" s="948"/>
      <c r="L36" s="948"/>
      <c r="M36" s="948"/>
      <c r="N36" s="947"/>
      <c r="O36" s="949"/>
      <c r="P36" s="946"/>
      <c r="Q36" s="947"/>
      <c r="R36" s="950">
        <f t="shared" si="1"/>
        <v>1.0485669999999998</v>
      </c>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c r="CJ36" s="926"/>
      <c r="CK36" s="926"/>
      <c r="CL36" s="926"/>
      <c r="CM36" s="926"/>
      <c r="CN36" s="926"/>
      <c r="CO36" s="926"/>
      <c r="CP36" s="926"/>
      <c r="CQ36" s="926"/>
      <c r="CR36" s="926"/>
      <c r="CS36" s="926"/>
      <c r="CT36" s="926"/>
      <c r="CU36" s="926"/>
      <c r="CV36" s="926"/>
      <c r="CW36" s="926"/>
      <c r="CX36" s="926"/>
      <c r="CY36" s="926"/>
      <c r="CZ36" s="926"/>
      <c r="DA36" s="926"/>
      <c r="DB36" s="926"/>
      <c r="DC36" s="926"/>
      <c r="DD36" s="926"/>
      <c r="DE36" s="926"/>
      <c r="DF36" s="926"/>
      <c r="DG36" s="926"/>
      <c r="DH36" s="926"/>
      <c r="DI36" s="926"/>
      <c r="DJ36" s="926"/>
      <c r="DK36" s="926"/>
      <c r="DL36" s="926"/>
      <c r="DM36" s="926"/>
      <c r="DN36" s="926"/>
      <c r="DO36" s="926"/>
      <c r="DP36" s="926"/>
      <c r="DQ36" s="926"/>
      <c r="DR36" s="926"/>
      <c r="DS36" s="926"/>
      <c r="DT36" s="926"/>
      <c r="DU36" s="926"/>
      <c r="DV36" s="926"/>
      <c r="DW36" s="926"/>
      <c r="DX36" s="926"/>
      <c r="DY36" s="926"/>
      <c r="DZ36" s="926"/>
      <c r="EA36" s="926"/>
      <c r="EB36" s="926"/>
      <c r="EC36" s="926"/>
      <c r="ED36" s="926"/>
      <c r="EE36" s="926"/>
      <c r="EF36" s="926"/>
      <c r="EG36" s="926"/>
      <c r="EH36" s="926"/>
      <c r="EI36" s="926"/>
      <c r="EJ36" s="926"/>
      <c r="EK36" s="926"/>
      <c r="EL36" s="926"/>
      <c r="EM36" s="926"/>
      <c r="EN36" s="926"/>
      <c r="EO36" s="926"/>
      <c r="EP36" s="926"/>
      <c r="EQ36" s="926"/>
      <c r="ER36" s="926"/>
      <c r="ES36" s="926"/>
      <c r="ET36" s="926"/>
      <c r="EU36" s="926"/>
      <c r="EV36" s="926"/>
      <c r="EW36" s="926"/>
      <c r="EX36" s="926"/>
      <c r="EY36" s="926"/>
      <c r="EZ36" s="926"/>
      <c r="FA36" s="926"/>
      <c r="FB36" s="926"/>
      <c r="FC36" s="926"/>
      <c r="FD36" s="926"/>
      <c r="FE36" s="926"/>
      <c r="FF36" s="926"/>
      <c r="FG36" s="926"/>
      <c r="FH36" s="926"/>
      <c r="FI36" s="926"/>
      <c r="FJ36" s="926"/>
      <c r="FK36" s="926"/>
      <c r="FL36" s="926"/>
      <c r="FM36" s="926"/>
      <c r="FN36" s="926"/>
      <c r="FO36" s="926"/>
      <c r="FP36" s="926"/>
      <c r="FQ36" s="926"/>
      <c r="FR36" s="926"/>
      <c r="FS36" s="926"/>
      <c r="FT36" s="926"/>
      <c r="FU36" s="926"/>
      <c r="FV36" s="926"/>
      <c r="FW36" s="926"/>
      <c r="FX36" s="926"/>
      <c r="FY36" s="926"/>
      <c r="FZ36" s="926"/>
      <c r="GA36" s="926"/>
      <c r="GB36" s="926"/>
      <c r="GC36" s="926"/>
      <c r="GD36" s="926"/>
      <c r="GE36" s="926"/>
      <c r="GF36" s="926"/>
      <c r="GG36" s="926"/>
      <c r="GH36" s="926"/>
      <c r="GI36" s="926"/>
      <c r="GJ36" s="926"/>
      <c r="GK36" s="926"/>
      <c r="GL36" s="926"/>
      <c r="GM36" s="926"/>
      <c r="GN36" s="926"/>
      <c r="GO36" s="926"/>
      <c r="GP36" s="926"/>
      <c r="GQ36" s="926"/>
      <c r="GR36" s="926"/>
      <c r="GS36" s="926"/>
      <c r="GT36" s="926"/>
      <c r="GU36" s="926"/>
      <c r="GV36" s="926"/>
      <c r="GW36" s="926"/>
      <c r="GX36" s="926"/>
      <c r="GY36" s="926"/>
      <c r="GZ36" s="926"/>
      <c r="HA36" s="926"/>
      <c r="HB36" s="926"/>
      <c r="HC36" s="926"/>
      <c r="HD36" s="926"/>
      <c r="HE36" s="926"/>
      <c r="HF36" s="926"/>
      <c r="HG36" s="926"/>
      <c r="HH36" s="926"/>
      <c r="HI36" s="926"/>
      <c r="HJ36" s="926"/>
      <c r="HK36" s="926"/>
      <c r="HL36" s="926"/>
      <c r="HM36" s="926"/>
      <c r="HN36" s="926"/>
      <c r="HO36" s="926"/>
      <c r="HP36" s="926"/>
      <c r="HQ36" s="926"/>
      <c r="HR36" s="926"/>
      <c r="HS36" s="926"/>
      <c r="HT36" s="926"/>
      <c r="HU36" s="926"/>
      <c r="HV36" s="926"/>
      <c r="HW36" s="926"/>
      <c r="HX36" s="926"/>
      <c r="HY36" s="926"/>
      <c r="HZ36" s="926"/>
      <c r="IA36" s="926"/>
      <c r="IB36" s="926"/>
      <c r="IC36" s="926"/>
      <c r="ID36" s="926"/>
      <c r="IE36" s="926"/>
      <c r="IF36" s="926"/>
      <c r="IG36" s="926"/>
      <c r="IH36" s="926"/>
      <c r="II36" s="926"/>
      <c r="IJ36" s="926"/>
      <c r="IK36" s="926"/>
      <c r="IL36" s="926"/>
      <c r="IM36" s="926"/>
    </row>
    <row r="37" spans="1:247" x14ac:dyDescent="0.45">
      <c r="A37" s="441">
        <v>1758</v>
      </c>
      <c r="B37" s="939" t="s">
        <v>2572</v>
      </c>
      <c r="C37" s="47" t="s">
        <v>699</v>
      </c>
      <c r="D37" s="449" t="s">
        <v>2537</v>
      </c>
      <c r="E37" s="946"/>
      <c r="F37" s="941">
        <f t="shared" si="0"/>
        <v>1.0209999999999999</v>
      </c>
      <c r="G37" s="947">
        <f t="shared" si="6"/>
        <v>1.0269999999999999</v>
      </c>
      <c r="H37" s="946"/>
      <c r="I37" s="948"/>
      <c r="J37" s="948"/>
      <c r="K37" s="948"/>
      <c r="L37" s="948"/>
      <c r="M37" s="948"/>
      <c r="N37" s="947"/>
      <c r="O37" s="949"/>
      <c r="P37" s="946"/>
      <c r="Q37" s="947"/>
      <c r="R37" s="950">
        <f t="shared" si="1"/>
        <v>1.0485669999999998</v>
      </c>
      <c r="S37" s="926"/>
      <c r="T37" s="926"/>
      <c r="U37" s="926"/>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AV37" s="926"/>
      <c r="AW37" s="926"/>
      <c r="AX37" s="926"/>
      <c r="AY37" s="926"/>
      <c r="AZ37" s="926"/>
      <c r="BA37" s="926"/>
      <c r="BB37" s="926"/>
      <c r="BC37" s="926"/>
      <c r="BD37" s="926"/>
      <c r="BE37" s="926"/>
      <c r="BF37" s="926"/>
      <c r="BG37" s="926"/>
      <c r="BH37" s="926"/>
      <c r="BI37" s="926"/>
      <c r="BJ37" s="926"/>
      <c r="BK37" s="926"/>
      <c r="BL37" s="926"/>
      <c r="BM37" s="926"/>
      <c r="BN37" s="926"/>
      <c r="BO37" s="926"/>
      <c r="BP37" s="926"/>
      <c r="BQ37" s="926"/>
      <c r="BR37" s="926"/>
      <c r="BS37" s="926"/>
      <c r="BT37" s="926"/>
      <c r="BU37" s="926"/>
      <c r="BV37" s="926"/>
      <c r="BW37" s="926"/>
      <c r="BX37" s="926"/>
      <c r="BY37" s="926"/>
      <c r="BZ37" s="926"/>
      <c r="CA37" s="926"/>
      <c r="CB37" s="926"/>
      <c r="CC37" s="926"/>
      <c r="CD37" s="926"/>
      <c r="CE37" s="926"/>
      <c r="CF37" s="926"/>
      <c r="CG37" s="926"/>
      <c r="CH37" s="926"/>
      <c r="CI37" s="926"/>
      <c r="CJ37" s="926"/>
      <c r="CK37" s="926"/>
      <c r="CL37" s="926"/>
      <c r="CM37" s="926"/>
      <c r="CN37" s="926"/>
      <c r="CO37" s="926"/>
      <c r="CP37" s="926"/>
      <c r="CQ37" s="926"/>
      <c r="CR37" s="926"/>
      <c r="CS37" s="926"/>
      <c r="CT37" s="926"/>
      <c r="CU37" s="926"/>
      <c r="CV37" s="926"/>
      <c r="CW37" s="926"/>
      <c r="CX37" s="926"/>
      <c r="CY37" s="926"/>
      <c r="CZ37" s="926"/>
      <c r="DA37" s="926"/>
      <c r="DB37" s="926"/>
      <c r="DC37" s="926"/>
      <c r="DD37" s="926"/>
      <c r="DE37" s="926"/>
      <c r="DF37" s="926"/>
      <c r="DG37" s="926"/>
      <c r="DH37" s="926"/>
      <c r="DI37" s="926"/>
      <c r="DJ37" s="926"/>
      <c r="DK37" s="926"/>
      <c r="DL37" s="926"/>
      <c r="DM37" s="926"/>
      <c r="DN37" s="926"/>
      <c r="DO37" s="926"/>
      <c r="DP37" s="926"/>
      <c r="DQ37" s="926"/>
      <c r="DR37" s="926"/>
      <c r="DS37" s="926"/>
      <c r="DT37" s="926"/>
      <c r="DU37" s="926"/>
      <c r="DV37" s="926"/>
      <c r="DW37" s="926"/>
      <c r="DX37" s="926"/>
      <c r="DY37" s="926"/>
      <c r="DZ37" s="926"/>
      <c r="EA37" s="926"/>
      <c r="EB37" s="926"/>
      <c r="EC37" s="926"/>
      <c r="ED37" s="926"/>
      <c r="EE37" s="926"/>
      <c r="EF37" s="926"/>
      <c r="EG37" s="926"/>
      <c r="EH37" s="926"/>
      <c r="EI37" s="926"/>
      <c r="EJ37" s="926"/>
      <c r="EK37" s="926"/>
      <c r="EL37" s="926"/>
      <c r="EM37" s="926"/>
      <c r="EN37" s="926"/>
      <c r="EO37" s="926"/>
      <c r="EP37" s="926"/>
      <c r="EQ37" s="926"/>
      <c r="ER37" s="926"/>
      <c r="ES37" s="926"/>
      <c r="ET37" s="926"/>
      <c r="EU37" s="926"/>
      <c r="EV37" s="926"/>
      <c r="EW37" s="926"/>
      <c r="EX37" s="926"/>
      <c r="EY37" s="926"/>
      <c r="EZ37" s="926"/>
      <c r="FA37" s="926"/>
      <c r="FB37" s="926"/>
      <c r="FC37" s="926"/>
      <c r="FD37" s="926"/>
      <c r="FE37" s="926"/>
      <c r="FF37" s="926"/>
      <c r="FG37" s="926"/>
      <c r="FH37" s="926"/>
      <c r="FI37" s="926"/>
      <c r="FJ37" s="926"/>
      <c r="FK37" s="926"/>
      <c r="FL37" s="926"/>
      <c r="FM37" s="926"/>
      <c r="FN37" s="926"/>
      <c r="FO37" s="926"/>
      <c r="FP37" s="926"/>
      <c r="FQ37" s="926"/>
      <c r="FR37" s="926"/>
      <c r="FS37" s="926"/>
      <c r="FT37" s="926"/>
      <c r="FU37" s="926"/>
      <c r="FV37" s="926"/>
      <c r="FW37" s="926"/>
      <c r="FX37" s="926"/>
      <c r="FY37" s="926"/>
      <c r="FZ37" s="926"/>
      <c r="GA37" s="926"/>
      <c r="GB37" s="926"/>
      <c r="GC37" s="926"/>
      <c r="GD37" s="926"/>
      <c r="GE37" s="926"/>
      <c r="GF37" s="926"/>
      <c r="GG37" s="926"/>
      <c r="GH37" s="926"/>
      <c r="GI37" s="926"/>
      <c r="GJ37" s="926"/>
      <c r="GK37" s="926"/>
      <c r="GL37" s="926"/>
      <c r="GM37" s="926"/>
      <c r="GN37" s="926"/>
      <c r="GO37" s="926"/>
      <c r="GP37" s="926"/>
      <c r="GQ37" s="926"/>
      <c r="GR37" s="926"/>
      <c r="GS37" s="926"/>
      <c r="GT37" s="926"/>
      <c r="GU37" s="926"/>
      <c r="GV37" s="926"/>
      <c r="GW37" s="926"/>
      <c r="GX37" s="926"/>
      <c r="GY37" s="926"/>
      <c r="GZ37" s="926"/>
      <c r="HA37" s="926"/>
      <c r="HB37" s="926"/>
      <c r="HC37" s="926"/>
      <c r="HD37" s="926"/>
      <c r="HE37" s="926"/>
      <c r="HF37" s="926"/>
      <c r="HG37" s="926"/>
      <c r="HH37" s="926"/>
      <c r="HI37" s="926"/>
      <c r="HJ37" s="926"/>
      <c r="HK37" s="926"/>
      <c r="HL37" s="926"/>
      <c r="HM37" s="926"/>
      <c r="HN37" s="926"/>
      <c r="HO37" s="926"/>
      <c r="HP37" s="926"/>
      <c r="HQ37" s="926"/>
      <c r="HR37" s="926"/>
      <c r="HS37" s="926"/>
      <c r="HT37" s="926"/>
      <c r="HU37" s="926"/>
      <c r="HV37" s="926"/>
      <c r="HW37" s="926"/>
      <c r="HX37" s="926"/>
      <c r="HY37" s="926"/>
      <c r="HZ37" s="926"/>
      <c r="IA37" s="926"/>
      <c r="IB37" s="926"/>
      <c r="IC37" s="926"/>
      <c r="ID37" s="926"/>
      <c r="IE37" s="926"/>
      <c r="IF37" s="926"/>
      <c r="IG37" s="926"/>
      <c r="IH37" s="926"/>
      <c r="II37" s="926"/>
      <c r="IJ37" s="926"/>
      <c r="IK37" s="926"/>
      <c r="IL37" s="926"/>
      <c r="IM37" s="926"/>
    </row>
    <row r="38" spans="1:247" x14ac:dyDescent="0.45">
      <c r="A38" s="441">
        <v>1760</v>
      </c>
      <c r="B38" s="939" t="s">
        <v>2573</v>
      </c>
      <c r="C38" s="47" t="s">
        <v>699</v>
      </c>
      <c r="D38" s="449" t="s">
        <v>2537</v>
      </c>
      <c r="E38" s="946"/>
      <c r="F38" s="941">
        <f t="shared" si="0"/>
        <v>1.0209999999999999</v>
      </c>
      <c r="G38" s="947">
        <f t="shared" si="6"/>
        <v>1.0269999999999999</v>
      </c>
      <c r="H38" s="946"/>
      <c r="I38" s="948"/>
      <c r="J38" s="948"/>
      <c r="K38" s="948"/>
      <c r="L38" s="948"/>
      <c r="M38" s="948"/>
      <c r="N38" s="947"/>
      <c r="O38" s="949"/>
      <c r="P38" s="946"/>
      <c r="Q38" s="947"/>
      <c r="R38" s="950">
        <f t="shared" si="1"/>
        <v>1.0485669999999998</v>
      </c>
      <c r="S38" s="926"/>
      <c r="T38" s="926"/>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c r="AX38" s="926"/>
      <c r="AY38" s="926"/>
      <c r="AZ38" s="926"/>
      <c r="BA38" s="926"/>
      <c r="BB38" s="926"/>
      <c r="BC38" s="926"/>
      <c r="BD38" s="926"/>
      <c r="BE38" s="926"/>
      <c r="BF38" s="926"/>
      <c r="BG38" s="926"/>
      <c r="BH38" s="926"/>
      <c r="BI38" s="926"/>
      <c r="BJ38" s="926"/>
      <c r="BK38" s="926"/>
      <c r="BL38" s="926"/>
      <c r="BM38" s="926"/>
      <c r="BN38" s="926"/>
      <c r="BO38" s="926"/>
      <c r="BP38" s="926"/>
      <c r="BQ38" s="926"/>
      <c r="BR38" s="926"/>
      <c r="BS38" s="926"/>
      <c r="BT38" s="926"/>
      <c r="BU38" s="926"/>
      <c r="BV38" s="926"/>
      <c r="BW38" s="926"/>
      <c r="BX38" s="926"/>
      <c r="BY38" s="926"/>
      <c r="BZ38" s="926"/>
      <c r="CA38" s="926"/>
      <c r="CB38" s="926"/>
      <c r="CC38" s="926"/>
      <c r="CD38" s="926"/>
      <c r="CE38" s="926"/>
      <c r="CF38" s="926"/>
      <c r="CG38" s="926"/>
      <c r="CH38" s="926"/>
      <c r="CI38" s="926"/>
      <c r="CJ38" s="926"/>
      <c r="CK38" s="926"/>
      <c r="CL38" s="926"/>
      <c r="CM38" s="926"/>
      <c r="CN38" s="926"/>
      <c r="CO38" s="926"/>
      <c r="CP38" s="926"/>
      <c r="CQ38" s="926"/>
      <c r="CR38" s="926"/>
      <c r="CS38" s="926"/>
      <c r="CT38" s="926"/>
      <c r="CU38" s="926"/>
      <c r="CV38" s="926"/>
      <c r="CW38" s="926"/>
      <c r="CX38" s="926"/>
      <c r="CY38" s="926"/>
      <c r="CZ38" s="926"/>
      <c r="DA38" s="926"/>
      <c r="DB38" s="926"/>
      <c r="DC38" s="926"/>
      <c r="DD38" s="926"/>
      <c r="DE38" s="926"/>
      <c r="DF38" s="926"/>
      <c r="DG38" s="926"/>
      <c r="DH38" s="926"/>
      <c r="DI38" s="926"/>
      <c r="DJ38" s="926"/>
      <c r="DK38" s="926"/>
      <c r="DL38" s="926"/>
      <c r="DM38" s="926"/>
      <c r="DN38" s="926"/>
      <c r="DO38" s="926"/>
      <c r="DP38" s="926"/>
      <c r="DQ38" s="926"/>
      <c r="DR38" s="926"/>
      <c r="DS38" s="926"/>
      <c r="DT38" s="926"/>
      <c r="DU38" s="926"/>
      <c r="DV38" s="926"/>
      <c r="DW38" s="926"/>
      <c r="DX38" s="926"/>
      <c r="DY38" s="926"/>
      <c r="DZ38" s="926"/>
      <c r="EA38" s="926"/>
      <c r="EB38" s="926"/>
      <c r="EC38" s="926"/>
      <c r="ED38" s="926"/>
      <c r="EE38" s="926"/>
      <c r="EF38" s="926"/>
      <c r="EG38" s="926"/>
      <c r="EH38" s="926"/>
      <c r="EI38" s="926"/>
      <c r="EJ38" s="926"/>
      <c r="EK38" s="926"/>
      <c r="EL38" s="926"/>
      <c r="EM38" s="926"/>
      <c r="EN38" s="926"/>
      <c r="EO38" s="926"/>
      <c r="EP38" s="926"/>
      <c r="EQ38" s="926"/>
      <c r="ER38" s="926"/>
      <c r="ES38" s="926"/>
      <c r="ET38" s="926"/>
      <c r="EU38" s="926"/>
      <c r="EV38" s="926"/>
      <c r="EW38" s="926"/>
      <c r="EX38" s="926"/>
      <c r="EY38" s="926"/>
      <c r="EZ38" s="926"/>
      <c r="FA38" s="926"/>
      <c r="FB38" s="926"/>
      <c r="FC38" s="926"/>
      <c r="FD38" s="926"/>
      <c r="FE38" s="926"/>
      <c r="FF38" s="926"/>
      <c r="FG38" s="926"/>
      <c r="FH38" s="926"/>
      <c r="FI38" s="926"/>
      <c r="FJ38" s="926"/>
      <c r="FK38" s="926"/>
      <c r="FL38" s="926"/>
      <c r="FM38" s="926"/>
      <c r="FN38" s="926"/>
      <c r="FO38" s="926"/>
      <c r="FP38" s="926"/>
      <c r="FQ38" s="926"/>
      <c r="FR38" s="926"/>
      <c r="FS38" s="926"/>
      <c r="FT38" s="926"/>
      <c r="FU38" s="926"/>
      <c r="FV38" s="926"/>
      <c r="FW38" s="926"/>
      <c r="FX38" s="926"/>
      <c r="FY38" s="926"/>
      <c r="FZ38" s="926"/>
      <c r="GA38" s="926"/>
      <c r="GB38" s="926"/>
      <c r="GC38" s="926"/>
      <c r="GD38" s="926"/>
      <c r="GE38" s="926"/>
      <c r="GF38" s="926"/>
      <c r="GG38" s="926"/>
      <c r="GH38" s="926"/>
      <c r="GI38" s="926"/>
      <c r="GJ38" s="926"/>
      <c r="GK38" s="926"/>
      <c r="GL38" s="926"/>
      <c r="GM38" s="926"/>
      <c r="GN38" s="926"/>
      <c r="GO38" s="926"/>
      <c r="GP38" s="926"/>
      <c r="GQ38" s="926"/>
      <c r="GR38" s="926"/>
      <c r="GS38" s="926"/>
      <c r="GT38" s="926"/>
      <c r="GU38" s="926"/>
      <c r="GV38" s="926"/>
      <c r="GW38" s="926"/>
      <c r="GX38" s="926"/>
      <c r="GY38" s="926"/>
      <c r="GZ38" s="926"/>
      <c r="HA38" s="926"/>
      <c r="HB38" s="926"/>
      <c r="HC38" s="926"/>
      <c r="HD38" s="926"/>
      <c r="HE38" s="926"/>
      <c r="HF38" s="926"/>
      <c r="HG38" s="926"/>
      <c r="HH38" s="926"/>
      <c r="HI38" s="926"/>
      <c r="HJ38" s="926"/>
      <c r="HK38" s="926"/>
      <c r="HL38" s="926"/>
      <c r="HM38" s="926"/>
      <c r="HN38" s="926"/>
      <c r="HO38" s="926"/>
      <c r="HP38" s="926"/>
      <c r="HQ38" s="926"/>
      <c r="HR38" s="926"/>
      <c r="HS38" s="926"/>
      <c r="HT38" s="926"/>
      <c r="HU38" s="926"/>
      <c r="HV38" s="926"/>
      <c r="HW38" s="926"/>
      <c r="HX38" s="926"/>
      <c r="HY38" s="926"/>
      <c r="HZ38" s="926"/>
      <c r="IA38" s="926"/>
      <c r="IB38" s="926"/>
      <c r="IC38" s="926"/>
      <c r="ID38" s="926"/>
      <c r="IE38" s="926"/>
      <c r="IF38" s="926"/>
      <c r="IG38" s="926"/>
      <c r="IH38" s="926"/>
      <c r="II38" s="926"/>
      <c r="IJ38" s="926"/>
      <c r="IK38" s="926"/>
      <c r="IL38" s="926"/>
      <c r="IM38" s="926"/>
    </row>
    <row r="39" spans="1:247" x14ac:dyDescent="0.45">
      <c r="A39" s="441">
        <v>1761</v>
      </c>
      <c r="B39" s="939" t="s">
        <v>2574</v>
      </c>
      <c r="C39" s="47" t="s">
        <v>699</v>
      </c>
      <c r="D39" s="449" t="s">
        <v>2537</v>
      </c>
      <c r="E39" s="946"/>
      <c r="F39" s="941">
        <f t="shared" si="0"/>
        <v>1.0209999999999999</v>
      </c>
      <c r="G39" s="947">
        <f t="shared" si="6"/>
        <v>1.0269999999999999</v>
      </c>
      <c r="H39" s="946"/>
      <c r="I39" s="948"/>
      <c r="J39" s="948"/>
      <c r="K39" s="948"/>
      <c r="L39" s="948"/>
      <c r="M39" s="948"/>
      <c r="N39" s="947"/>
      <c r="O39" s="949"/>
      <c r="P39" s="946"/>
      <c r="Q39" s="947"/>
      <c r="R39" s="950">
        <f t="shared" si="1"/>
        <v>1.0485669999999998</v>
      </c>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c r="BA39" s="926"/>
      <c r="BB39" s="926"/>
      <c r="BC39" s="926"/>
      <c r="BD39" s="926"/>
      <c r="BE39" s="926"/>
      <c r="BF39" s="926"/>
      <c r="BG39" s="926"/>
      <c r="BH39" s="926"/>
      <c r="BI39" s="926"/>
      <c r="BJ39" s="926"/>
      <c r="BK39" s="926"/>
      <c r="BL39" s="926"/>
      <c r="BM39" s="926"/>
      <c r="BN39" s="926"/>
      <c r="BO39" s="926"/>
      <c r="BP39" s="926"/>
      <c r="BQ39" s="926"/>
      <c r="BR39" s="926"/>
      <c r="BS39" s="926"/>
      <c r="BT39" s="926"/>
      <c r="BU39" s="926"/>
      <c r="BV39" s="926"/>
      <c r="BW39" s="926"/>
      <c r="BX39" s="926"/>
      <c r="BY39" s="926"/>
      <c r="BZ39" s="926"/>
      <c r="CA39" s="926"/>
      <c r="CB39" s="926"/>
      <c r="CC39" s="926"/>
      <c r="CD39" s="926"/>
      <c r="CE39" s="926"/>
      <c r="CF39" s="926"/>
      <c r="CG39" s="926"/>
      <c r="CH39" s="926"/>
      <c r="CI39" s="926"/>
      <c r="CJ39" s="926"/>
      <c r="CK39" s="926"/>
      <c r="CL39" s="926"/>
      <c r="CM39" s="926"/>
      <c r="CN39" s="926"/>
      <c r="CO39" s="926"/>
      <c r="CP39" s="926"/>
      <c r="CQ39" s="926"/>
      <c r="CR39" s="926"/>
      <c r="CS39" s="926"/>
      <c r="CT39" s="926"/>
      <c r="CU39" s="926"/>
      <c r="CV39" s="926"/>
      <c r="CW39" s="926"/>
      <c r="CX39" s="926"/>
      <c r="CY39" s="926"/>
      <c r="CZ39" s="926"/>
      <c r="DA39" s="926"/>
      <c r="DB39" s="926"/>
      <c r="DC39" s="926"/>
      <c r="DD39" s="926"/>
      <c r="DE39" s="926"/>
      <c r="DF39" s="926"/>
      <c r="DG39" s="926"/>
      <c r="DH39" s="926"/>
      <c r="DI39" s="926"/>
      <c r="DJ39" s="926"/>
      <c r="DK39" s="926"/>
      <c r="DL39" s="926"/>
      <c r="DM39" s="926"/>
      <c r="DN39" s="926"/>
      <c r="DO39" s="926"/>
      <c r="DP39" s="926"/>
      <c r="DQ39" s="926"/>
      <c r="DR39" s="926"/>
      <c r="DS39" s="926"/>
      <c r="DT39" s="926"/>
      <c r="DU39" s="926"/>
      <c r="DV39" s="926"/>
      <c r="DW39" s="926"/>
      <c r="DX39" s="926"/>
      <c r="DY39" s="926"/>
      <c r="DZ39" s="926"/>
      <c r="EA39" s="926"/>
      <c r="EB39" s="926"/>
      <c r="EC39" s="926"/>
      <c r="ED39" s="926"/>
      <c r="EE39" s="926"/>
      <c r="EF39" s="926"/>
      <c r="EG39" s="926"/>
      <c r="EH39" s="926"/>
      <c r="EI39" s="926"/>
      <c r="EJ39" s="926"/>
      <c r="EK39" s="926"/>
      <c r="EL39" s="926"/>
      <c r="EM39" s="926"/>
      <c r="EN39" s="926"/>
      <c r="EO39" s="926"/>
      <c r="EP39" s="926"/>
      <c r="EQ39" s="926"/>
      <c r="ER39" s="926"/>
      <c r="ES39" s="926"/>
      <c r="ET39" s="926"/>
      <c r="EU39" s="926"/>
      <c r="EV39" s="926"/>
      <c r="EW39" s="926"/>
      <c r="EX39" s="926"/>
      <c r="EY39" s="926"/>
      <c r="EZ39" s="926"/>
      <c r="FA39" s="926"/>
      <c r="FB39" s="926"/>
      <c r="FC39" s="926"/>
      <c r="FD39" s="926"/>
      <c r="FE39" s="926"/>
      <c r="FF39" s="926"/>
      <c r="FG39" s="926"/>
      <c r="FH39" s="926"/>
      <c r="FI39" s="926"/>
      <c r="FJ39" s="926"/>
      <c r="FK39" s="926"/>
      <c r="FL39" s="926"/>
      <c r="FM39" s="926"/>
      <c r="FN39" s="926"/>
      <c r="FO39" s="926"/>
      <c r="FP39" s="926"/>
      <c r="FQ39" s="926"/>
      <c r="FR39" s="926"/>
      <c r="FS39" s="926"/>
      <c r="FT39" s="926"/>
      <c r="FU39" s="926"/>
      <c r="FV39" s="926"/>
      <c r="FW39" s="926"/>
      <c r="FX39" s="926"/>
      <c r="FY39" s="926"/>
      <c r="FZ39" s="926"/>
      <c r="GA39" s="926"/>
      <c r="GB39" s="926"/>
      <c r="GC39" s="926"/>
      <c r="GD39" s="926"/>
      <c r="GE39" s="926"/>
      <c r="GF39" s="926"/>
      <c r="GG39" s="926"/>
      <c r="GH39" s="926"/>
      <c r="GI39" s="926"/>
      <c r="GJ39" s="926"/>
      <c r="GK39" s="926"/>
      <c r="GL39" s="926"/>
      <c r="GM39" s="926"/>
      <c r="GN39" s="926"/>
      <c r="GO39" s="926"/>
      <c r="GP39" s="926"/>
      <c r="GQ39" s="926"/>
      <c r="GR39" s="926"/>
      <c r="GS39" s="926"/>
      <c r="GT39" s="926"/>
      <c r="GU39" s="926"/>
      <c r="GV39" s="926"/>
      <c r="GW39" s="926"/>
      <c r="GX39" s="926"/>
      <c r="GY39" s="926"/>
      <c r="GZ39" s="926"/>
      <c r="HA39" s="926"/>
      <c r="HB39" s="926"/>
      <c r="HC39" s="926"/>
      <c r="HD39" s="926"/>
      <c r="HE39" s="926"/>
      <c r="HF39" s="926"/>
      <c r="HG39" s="926"/>
      <c r="HH39" s="926"/>
      <c r="HI39" s="926"/>
      <c r="HJ39" s="926"/>
      <c r="HK39" s="926"/>
      <c r="HL39" s="926"/>
      <c r="HM39" s="926"/>
      <c r="HN39" s="926"/>
      <c r="HO39" s="926"/>
      <c r="HP39" s="926"/>
      <c r="HQ39" s="926"/>
      <c r="HR39" s="926"/>
      <c r="HS39" s="926"/>
      <c r="HT39" s="926"/>
      <c r="HU39" s="926"/>
      <c r="HV39" s="926"/>
      <c r="HW39" s="926"/>
      <c r="HX39" s="926"/>
      <c r="HY39" s="926"/>
      <c r="HZ39" s="926"/>
      <c r="IA39" s="926"/>
      <c r="IB39" s="926"/>
      <c r="IC39" s="926"/>
      <c r="ID39" s="926"/>
      <c r="IE39" s="926"/>
      <c r="IF39" s="926"/>
      <c r="IG39" s="926"/>
      <c r="IH39" s="926"/>
      <c r="II39" s="926"/>
      <c r="IJ39" s="926"/>
      <c r="IK39" s="926"/>
      <c r="IL39" s="926"/>
      <c r="IM39" s="926"/>
    </row>
    <row r="40" spans="1:247" x14ac:dyDescent="0.45">
      <c r="A40" s="441">
        <v>1762</v>
      </c>
      <c r="B40" s="939" t="s">
        <v>2575</v>
      </c>
      <c r="C40" s="47" t="s">
        <v>773</v>
      </c>
      <c r="D40" s="449" t="s">
        <v>2537</v>
      </c>
      <c r="E40" s="946"/>
      <c r="F40" s="941">
        <f t="shared" si="0"/>
        <v>1.0209999999999999</v>
      </c>
      <c r="G40" s="947">
        <f t="shared" si="6"/>
        <v>1.0269999999999999</v>
      </c>
      <c r="H40" s="946"/>
      <c r="I40" s="948"/>
      <c r="J40" s="948"/>
      <c r="K40" s="948"/>
      <c r="L40" s="948"/>
      <c r="M40" s="948"/>
      <c r="N40" s="947"/>
      <c r="O40" s="949"/>
      <c r="P40" s="946"/>
      <c r="Q40" s="947"/>
      <c r="R40" s="950">
        <f t="shared" si="1"/>
        <v>1.0485669999999998</v>
      </c>
      <c r="S40" s="926"/>
      <c r="T40" s="926"/>
      <c r="U40" s="926"/>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6"/>
      <c r="AV40" s="926"/>
      <c r="AW40" s="926"/>
      <c r="AX40" s="926"/>
      <c r="AY40" s="926"/>
      <c r="AZ40" s="926"/>
      <c r="BA40" s="926"/>
      <c r="BB40" s="926"/>
      <c r="BC40" s="926"/>
      <c r="BD40" s="926"/>
      <c r="BE40" s="926"/>
      <c r="BF40" s="926"/>
      <c r="BG40" s="926"/>
      <c r="BH40" s="926"/>
      <c r="BI40" s="926"/>
      <c r="BJ40" s="926"/>
      <c r="BK40" s="926"/>
      <c r="BL40" s="926"/>
      <c r="BM40" s="926"/>
      <c r="BN40" s="926"/>
      <c r="BO40" s="926"/>
      <c r="BP40" s="926"/>
      <c r="BQ40" s="926"/>
      <c r="BR40" s="926"/>
      <c r="BS40" s="926"/>
      <c r="BT40" s="926"/>
      <c r="BU40" s="926"/>
      <c r="BV40" s="926"/>
      <c r="BW40" s="926"/>
      <c r="BX40" s="926"/>
      <c r="BY40" s="926"/>
      <c r="BZ40" s="926"/>
      <c r="CA40" s="926"/>
      <c r="CB40" s="926"/>
      <c r="CC40" s="926"/>
      <c r="CD40" s="926"/>
      <c r="CE40" s="926"/>
      <c r="CF40" s="926"/>
      <c r="CG40" s="926"/>
      <c r="CH40" s="926"/>
      <c r="CI40" s="926"/>
      <c r="CJ40" s="926"/>
      <c r="CK40" s="926"/>
      <c r="CL40" s="926"/>
      <c r="CM40" s="926"/>
      <c r="CN40" s="926"/>
      <c r="CO40" s="926"/>
      <c r="CP40" s="926"/>
      <c r="CQ40" s="926"/>
      <c r="CR40" s="926"/>
      <c r="CS40" s="926"/>
      <c r="CT40" s="926"/>
      <c r="CU40" s="926"/>
      <c r="CV40" s="926"/>
      <c r="CW40" s="926"/>
      <c r="CX40" s="926"/>
      <c r="CY40" s="926"/>
      <c r="CZ40" s="926"/>
      <c r="DA40" s="926"/>
      <c r="DB40" s="926"/>
      <c r="DC40" s="926"/>
      <c r="DD40" s="926"/>
      <c r="DE40" s="926"/>
      <c r="DF40" s="926"/>
      <c r="DG40" s="926"/>
      <c r="DH40" s="926"/>
      <c r="DI40" s="926"/>
      <c r="DJ40" s="926"/>
      <c r="DK40" s="926"/>
      <c r="DL40" s="926"/>
      <c r="DM40" s="926"/>
      <c r="DN40" s="926"/>
      <c r="DO40" s="926"/>
      <c r="DP40" s="926"/>
      <c r="DQ40" s="926"/>
      <c r="DR40" s="926"/>
      <c r="DS40" s="926"/>
      <c r="DT40" s="926"/>
      <c r="DU40" s="926"/>
      <c r="DV40" s="926"/>
      <c r="DW40" s="926"/>
      <c r="DX40" s="926"/>
      <c r="DY40" s="926"/>
      <c r="DZ40" s="926"/>
      <c r="EA40" s="926"/>
      <c r="EB40" s="926"/>
      <c r="EC40" s="926"/>
      <c r="ED40" s="926"/>
      <c r="EE40" s="926"/>
      <c r="EF40" s="926"/>
      <c r="EG40" s="926"/>
      <c r="EH40" s="926"/>
      <c r="EI40" s="926"/>
      <c r="EJ40" s="926"/>
      <c r="EK40" s="926"/>
      <c r="EL40" s="926"/>
      <c r="EM40" s="926"/>
      <c r="EN40" s="926"/>
      <c r="EO40" s="926"/>
      <c r="EP40" s="926"/>
      <c r="EQ40" s="926"/>
      <c r="ER40" s="926"/>
      <c r="ES40" s="926"/>
      <c r="ET40" s="926"/>
      <c r="EU40" s="926"/>
      <c r="EV40" s="926"/>
      <c r="EW40" s="926"/>
      <c r="EX40" s="926"/>
      <c r="EY40" s="926"/>
      <c r="EZ40" s="926"/>
      <c r="FA40" s="926"/>
      <c r="FB40" s="926"/>
      <c r="FC40" s="926"/>
      <c r="FD40" s="926"/>
      <c r="FE40" s="926"/>
      <c r="FF40" s="926"/>
      <c r="FG40" s="926"/>
      <c r="FH40" s="926"/>
      <c r="FI40" s="926"/>
      <c r="FJ40" s="926"/>
      <c r="FK40" s="926"/>
      <c r="FL40" s="926"/>
      <c r="FM40" s="926"/>
      <c r="FN40" s="926"/>
      <c r="FO40" s="926"/>
      <c r="FP40" s="926"/>
      <c r="FQ40" s="926"/>
      <c r="FR40" s="926"/>
      <c r="FS40" s="926"/>
      <c r="FT40" s="926"/>
      <c r="FU40" s="926"/>
      <c r="FV40" s="926"/>
      <c r="FW40" s="926"/>
      <c r="FX40" s="926"/>
      <c r="FY40" s="926"/>
      <c r="FZ40" s="926"/>
      <c r="GA40" s="926"/>
      <c r="GB40" s="926"/>
      <c r="GC40" s="926"/>
      <c r="GD40" s="926"/>
      <c r="GE40" s="926"/>
      <c r="GF40" s="926"/>
      <c r="GG40" s="926"/>
      <c r="GH40" s="926"/>
      <c r="GI40" s="926"/>
      <c r="GJ40" s="926"/>
      <c r="GK40" s="926"/>
      <c r="GL40" s="926"/>
      <c r="GM40" s="926"/>
      <c r="GN40" s="926"/>
      <c r="GO40" s="926"/>
      <c r="GP40" s="926"/>
      <c r="GQ40" s="926"/>
      <c r="GR40" s="926"/>
      <c r="GS40" s="926"/>
      <c r="GT40" s="926"/>
      <c r="GU40" s="926"/>
      <c r="GV40" s="926"/>
      <c r="GW40" s="926"/>
      <c r="GX40" s="926"/>
      <c r="GY40" s="926"/>
      <c r="GZ40" s="926"/>
      <c r="HA40" s="926"/>
      <c r="HB40" s="926"/>
      <c r="HC40" s="926"/>
      <c r="HD40" s="926"/>
      <c r="HE40" s="926"/>
      <c r="HF40" s="926"/>
      <c r="HG40" s="926"/>
      <c r="HH40" s="926"/>
      <c r="HI40" s="926"/>
      <c r="HJ40" s="926"/>
      <c r="HK40" s="926"/>
      <c r="HL40" s="926"/>
      <c r="HM40" s="926"/>
      <c r="HN40" s="926"/>
      <c r="HO40" s="926"/>
      <c r="HP40" s="926"/>
      <c r="HQ40" s="926"/>
      <c r="HR40" s="926"/>
      <c r="HS40" s="926"/>
      <c r="HT40" s="926"/>
      <c r="HU40" s="926"/>
      <c r="HV40" s="926"/>
      <c r="HW40" s="926"/>
      <c r="HX40" s="926"/>
      <c r="HY40" s="926"/>
      <c r="HZ40" s="926"/>
      <c r="IA40" s="926"/>
      <c r="IB40" s="926"/>
      <c r="IC40" s="926"/>
      <c r="ID40" s="926"/>
      <c r="IE40" s="926"/>
      <c r="IF40" s="926"/>
      <c r="IG40" s="926"/>
      <c r="IH40" s="926"/>
      <c r="II40" s="926"/>
      <c r="IJ40" s="926"/>
      <c r="IK40" s="926"/>
      <c r="IL40" s="926"/>
      <c r="IM40" s="926"/>
    </row>
    <row r="41" spans="1:247" x14ac:dyDescent="0.45">
      <c r="A41" s="441">
        <v>1763</v>
      </c>
      <c r="B41" s="939" t="s">
        <v>2576</v>
      </c>
      <c r="C41" s="47" t="s">
        <v>699</v>
      </c>
      <c r="D41" s="449" t="s">
        <v>2537</v>
      </c>
      <c r="E41" s="946"/>
      <c r="F41" s="941">
        <f t="shared" si="0"/>
        <v>1.0209999999999999</v>
      </c>
      <c r="G41" s="947">
        <f t="shared" si="6"/>
        <v>1.0269999999999999</v>
      </c>
      <c r="H41" s="946"/>
      <c r="I41" s="948"/>
      <c r="J41" s="948"/>
      <c r="K41" s="948"/>
      <c r="L41" s="948"/>
      <c r="M41" s="948"/>
      <c r="N41" s="947"/>
      <c r="O41" s="949"/>
      <c r="P41" s="946"/>
      <c r="Q41" s="947"/>
      <c r="R41" s="950">
        <f t="shared" si="1"/>
        <v>1.0485669999999998</v>
      </c>
      <c r="S41" s="926"/>
      <c r="T41" s="926"/>
      <c r="U41" s="926"/>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6"/>
      <c r="AV41" s="926"/>
      <c r="AW41" s="926"/>
      <c r="AX41" s="926"/>
      <c r="AY41" s="926"/>
      <c r="AZ41" s="926"/>
      <c r="BA41" s="926"/>
      <c r="BB41" s="926"/>
      <c r="BC41" s="926"/>
      <c r="BD41" s="926"/>
      <c r="BE41" s="926"/>
      <c r="BF41" s="926"/>
      <c r="BG41" s="926"/>
      <c r="BH41" s="926"/>
      <c r="BI41" s="926"/>
      <c r="BJ41" s="926"/>
      <c r="BK41" s="926"/>
      <c r="BL41" s="926"/>
      <c r="BM41" s="926"/>
      <c r="BN41" s="926"/>
      <c r="BO41" s="926"/>
      <c r="BP41" s="926"/>
      <c r="BQ41" s="926"/>
      <c r="BR41" s="926"/>
      <c r="BS41" s="926"/>
      <c r="BT41" s="926"/>
      <c r="BU41" s="926"/>
      <c r="BV41" s="926"/>
      <c r="BW41" s="926"/>
      <c r="BX41" s="926"/>
      <c r="BY41" s="926"/>
      <c r="BZ41" s="926"/>
      <c r="CA41" s="926"/>
      <c r="CB41" s="926"/>
      <c r="CC41" s="926"/>
      <c r="CD41" s="926"/>
      <c r="CE41" s="926"/>
      <c r="CF41" s="926"/>
      <c r="CG41" s="926"/>
      <c r="CH41" s="926"/>
      <c r="CI41" s="926"/>
      <c r="CJ41" s="926"/>
      <c r="CK41" s="926"/>
      <c r="CL41" s="926"/>
      <c r="CM41" s="926"/>
      <c r="CN41" s="926"/>
      <c r="CO41" s="926"/>
      <c r="CP41" s="926"/>
      <c r="CQ41" s="926"/>
      <c r="CR41" s="926"/>
      <c r="CS41" s="926"/>
      <c r="CT41" s="926"/>
      <c r="CU41" s="926"/>
      <c r="CV41" s="926"/>
      <c r="CW41" s="926"/>
      <c r="CX41" s="926"/>
      <c r="CY41" s="926"/>
      <c r="CZ41" s="926"/>
      <c r="DA41" s="926"/>
      <c r="DB41" s="926"/>
      <c r="DC41" s="926"/>
      <c r="DD41" s="926"/>
      <c r="DE41" s="926"/>
      <c r="DF41" s="926"/>
      <c r="DG41" s="926"/>
      <c r="DH41" s="926"/>
      <c r="DI41" s="926"/>
      <c r="DJ41" s="926"/>
      <c r="DK41" s="926"/>
      <c r="DL41" s="926"/>
      <c r="DM41" s="926"/>
      <c r="DN41" s="926"/>
      <c r="DO41" s="926"/>
      <c r="DP41" s="926"/>
      <c r="DQ41" s="926"/>
      <c r="DR41" s="926"/>
      <c r="DS41" s="926"/>
      <c r="DT41" s="926"/>
      <c r="DU41" s="926"/>
      <c r="DV41" s="926"/>
      <c r="DW41" s="926"/>
      <c r="DX41" s="926"/>
      <c r="DY41" s="926"/>
      <c r="DZ41" s="926"/>
      <c r="EA41" s="926"/>
      <c r="EB41" s="926"/>
      <c r="EC41" s="926"/>
      <c r="ED41" s="926"/>
      <c r="EE41" s="926"/>
      <c r="EF41" s="926"/>
      <c r="EG41" s="926"/>
      <c r="EH41" s="926"/>
      <c r="EI41" s="926"/>
      <c r="EJ41" s="926"/>
      <c r="EK41" s="926"/>
      <c r="EL41" s="926"/>
      <c r="EM41" s="926"/>
      <c r="EN41" s="926"/>
      <c r="EO41" s="926"/>
      <c r="EP41" s="926"/>
      <c r="EQ41" s="926"/>
      <c r="ER41" s="926"/>
      <c r="ES41" s="926"/>
      <c r="ET41" s="926"/>
      <c r="EU41" s="926"/>
      <c r="EV41" s="926"/>
      <c r="EW41" s="926"/>
      <c r="EX41" s="926"/>
      <c r="EY41" s="926"/>
      <c r="EZ41" s="926"/>
      <c r="FA41" s="926"/>
      <c r="FB41" s="926"/>
      <c r="FC41" s="926"/>
      <c r="FD41" s="926"/>
      <c r="FE41" s="926"/>
      <c r="FF41" s="926"/>
      <c r="FG41" s="926"/>
      <c r="FH41" s="926"/>
      <c r="FI41" s="926"/>
      <c r="FJ41" s="926"/>
      <c r="FK41" s="926"/>
      <c r="FL41" s="926"/>
      <c r="FM41" s="926"/>
      <c r="FN41" s="926"/>
      <c r="FO41" s="926"/>
      <c r="FP41" s="926"/>
      <c r="FQ41" s="926"/>
      <c r="FR41" s="926"/>
      <c r="FS41" s="926"/>
      <c r="FT41" s="926"/>
      <c r="FU41" s="926"/>
      <c r="FV41" s="926"/>
      <c r="FW41" s="926"/>
      <c r="FX41" s="926"/>
      <c r="FY41" s="926"/>
      <c r="FZ41" s="926"/>
      <c r="GA41" s="926"/>
      <c r="GB41" s="926"/>
      <c r="GC41" s="926"/>
      <c r="GD41" s="926"/>
      <c r="GE41" s="926"/>
      <c r="GF41" s="926"/>
      <c r="GG41" s="926"/>
      <c r="GH41" s="926"/>
      <c r="GI41" s="926"/>
      <c r="GJ41" s="926"/>
      <c r="GK41" s="926"/>
      <c r="GL41" s="926"/>
      <c r="GM41" s="926"/>
      <c r="GN41" s="926"/>
      <c r="GO41" s="926"/>
      <c r="GP41" s="926"/>
      <c r="GQ41" s="926"/>
      <c r="GR41" s="926"/>
      <c r="GS41" s="926"/>
      <c r="GT41" s="926"/>
      <c r="GU41" s="926"/>
      <c r="GV41" s="926"/>
      <c r="GW41" s="926"/>
      <c r="GX41" s="926"/>
      <c r="GY41" s="926"/>
      <c r="GZ41" s="926"/>
      <c r="HA41" s="926"/>
      <c r="HB41" s="926"/>
      <c r="HC41" s="926"/>
      <c r="HD41" s="926"/>
      <c r="HE41" s="926"/>
      <c r="HF41" s="926"/>
      <c r="HG41" s="926"/>
      <c r="HH41" s="926"/>
      <c r="HI41" s="926"/>
      <c r="HJ41" s="926"/>
      <c r="HK41" s="926"/>
      <c r="HL41" s="926"/>
      <c r="HM41" s="926"/>
      <c r="HN41" s="926"/>
      <c r="HO41" s="926"/>
      <c r="HP41" s="926"/>
      <c r="HQ41" s="926"/>
      <c r="HR41" s="926"/>
      <c r="HS41" s="926"/>
      <c r="HT41" s="926"/>
      <c r="HU41" s="926"/>
      <c r="HV41" s="926"/>
      <c r="HW41" s="926"/>
      <c r="HX41" s="926"/>
      <c r="HY41" s="926"/>
      <c r="HZ41" s="926"/>
      <c r="IA41" s="926"/>
      <c r="IB41" s="926"/>
      <c r="IC41" s="926"/>
      <c r="ID41" s="926"/>
      <c r="IE41" s="926"/>
      <c r="IF41" s="926"/>
      <c r="IG41" s="926"/>
      <c r="IH41" s="926"/>
      <c r="II41" s="926"/>
      <c r="IJ41" s="926"/>
      <c r="IK41" s="926"/>
      <c r="IL41" s="926"/>
      <c r="IM41" s="926"/>
    </row>
    <row r="42" spans="1:247" x14ac:dyDescent="0.45">
      <c r="A42" s="441">
        <v>1764</v>
      </c>
      <c r="B42" s="939" t="s">
        <v>2577</v>
      </c>
      <c r="C42" s="47" t="s">
        <v>773</v>
      </c>
      <c r="D42" s="449" t="s">
        <v>2537</v>
      </c>
      <c r="E42" s="946"/>
      <c r="F42" s="941">
        <f t="shared" si="0"/>
        <v>1.0209999999999999</v>
      </c>
      <c r="G42" s="947">
        <f t="shared" si="6"/>
        <v>1.0269999999999999</v>
      </c>
      <c r="H42" s="946"/>
      <c r="I42" s="948"/>
      <c r="J42" s="948"/>
      <c r="K42" s="948"/>
      <c r="L42" s="948"/>
      <c r="M42" s="948"/>
      <c r="N42" s="947"/>
      <c r="O42" s="949"/>
      <c r="P42" s="946"/>
      <c r="Q42" s="947"/>
      <c r="R42" s="950">
        <f t="shared" si="1"/>
        <v>1.0485669999999998</v>
      </c>
      <c r="S42" s="926"/>
      <c r="T42" s="926"/>
      <c r="U42" s="926"/>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6"/>
      <c r="AV42" s="926"/>
      <c r="AW42" s="926"/>
      <c r="AX42" s="926"/>
      <c r="AY42" s="926"/>
      <c r="AZ42" s="926"/>
      <c r="BA42" s="926"/>
      <c r="BB42" s="926"/>
      <c r="BC42" s="926"/>
      <c r="BD42" s="926"/>
      <c r="BE42" s="926"/>
      <c r="BF42" s="926"/>
      <c r="BG42" s="926"/>
      <c r="BH42" s="926"/>
      <c r="BI42" s="926"/>
      <c r="BJ42" s="926"/>
      <c r="BK42" s="926"/>
      <c r="BL42" s="926"/>
      <c r="BM42" s="926"/>
      <c r="BN42" s="926"/>
      <c r="BO42" s="926"/>
      <c r="BP42" s="926"/>
      <c r="BQ42" s="926"/>
      <c r="BR42" s="926"/>
      <c r="BS42" s="926"/>
      <c r="BT42" s="926"/>
      <c r="BU42" s="926"/>
      <c r="BV42" s="926"/>
      <c r="BW42" s="926"/>
      <c r="BX42" s="926"/>
      <c r="BY42" s="926"/>
      <c r="BZ42" s="926"/>
      <c r="CA42" s="926"/>
      <c r="CB42" s="926"/>
      <c r="CC42" s="926"/>
      <c r="CD42" s="926"/>
      <c r="CE42" s="926"/>
      <c r="CF42" s="926"/>
      <c r="CG42" s="926"/>
      <c r="CH42" s="926"/>
      <c r="CI42" s="926"/>
      <c r="CJ42" s="926"/>
      <c r="CK42" s="926"/>
      <c r="CL42" s="926"/>
      <c r="CM42" s="926"/>
      <c r="CN42" s="926"/>
      <c r="CO42" s="926"/>
      <c r="CP42" s="926"/>
      <c r="CQ42" s="926"/>
      <c r="CR42" s="926"/>
      <c r="CS42" s="926"/>
      <c r="CT42" s="926"/>
      <c r="CU42" s="926"/>
      <c r="CV42" s="926"/>
      <c r="CW42" s="926"/>
      <c r="CX42" s="926"/>
      <c r="CY42" s="926"/>
      <c r="CZ42" s="926"/>
      <c r="DA42" s="926"/>
      <c r="DB42" s="926"/>
      <c r="DC42" s="926"/>
      <c r="DD42" s="926"/>
      <c r="DE42" s="926"/>
      <c r="DF42" s="926"/>
      <c r="DG42" s="926"/>
      <c r="DH42" s="926"/>
      <c r="DI42" s="926"/>
      <c r="DJ42" s="926"/>
      <c r="DK42" s="926"/>
      <c r="DL42" s="926"/>
      <c r="DM42" s="926"/>
      <c r="DN42" s="926"/>
      <c r="DO42" s="926"/>
      <c r="DP42" s="926"/>
      <c r="DQ42" s="926"/>
      <c r="DR42" s="926"/>
      <c r="DS42" s="926"/>
      <c r="DT42" s="926"/>
      <c r="DU42" s="926"/>
      <c r="DV42" s="926"/>
      <c r="DW42" s="926"/>
      <c r="DX42" s="926"/>
      <c r="DY42" s="926"/>
      <c r="DZ42" s="926"/>
      <c r="EA42" s="926"/>
      <c r="EB42" s="926"/>
      <c r="EC42" s="926"/>
      <c r="ED42" s="926"/>
      <c r="EE42" s="926"/>
      <c r="EF42" s="926"/>
      <c r="EG42" s="926"/>
      <c r="EH42" s="926"/>
      <c r="EI42" s="926"/>
      <c r="EJ42" s="926"/>
      <c r="EK42" s="926"/>
      <c r="EL42" s="926"/>
      <c r="EM42" s="926"/>
      <c r="EN42" s="926"/>
      <c r="EO42" s="926"/>
      <c r="EP42" s="926"/>
      <c r="EQ42" s="926"/>
      <c r="ER42" s="926"/>
      <c r="ES42" s="926"/>
      <c r="ET42" s="926"/>
      <c r="EU42" s="926"/>
      <c r="EV42" s="926"/>
      <c r="EW42" s="926"/>
      <c r="EX42" s="926"/>
      <c r="EY42" s="926"/>
      <c r="EZ42" s="926"/>
      <c r="FA42" s="926"/>
      <c r="FB42" s="926"/>
      <c r="FC42" s="926"/>
      <c r="FD42" s="926"/>
      <c r="FE42" s="926"/>
      <c r="FF42" s="926"/>
      <c r="FG42" s="926"/>
      <c r="FH42" s="926"/>
      <c r="FI42" s="926"/>
      <c r="FJ42" s="926"/>
      <c r="FK42" s="926"/>
      <c r="FL42" s="926"/>
      <c r="FM42" s="926"/>
      <c r="FN42" s="926"/>
      <c r="FO42" s="926"/>
      <c r="FP42" s="926"/>
      <c r="FQ42" s="926"/>
      <c r="FR42" s="926"/>
      <c r="FS42" s="926"/>
      <c r="FT42" s="926"/>
      <c r="FU42" s="926"/>
      <c r="FV42" s="926"/>
      <c r="FW42" s="926"/>
      <c r="FX42" s="926"/>
      <c r="FY42" s="926"/>
      <c r="FZ42" s="926"/>
      <c r="GA42" s="926"/>
      <c r="GB42" s="926"/>
      <c r="GC42" s="926"/>
      <c r="GD42" s="926"/>
      <c r="GE42" s="926"/>
      <c r="GF42" s="926"/>
      <c r="GG42" s="926"/>
      <c r="GH42" s="926"/>
      <c r="GI42" s="926"/>
      <c r="GJ42" s="926"/>
      <c r="GK42" s="926"/>
      <c r="GL42" s="926"/>
      <c r="GM42" s="926"/>
      <c r="GN42" s="926"/>
      <c r="GO42" s="926"/>
      <c r="GP42" s="926"/>
      <c r="GQ42" s="926"/>
      <c r="GR42" s="926"/>
      <c r="GS42" s="926"/>
      <c r="GT42" s="926"/>
      <c r="GU42" s="926"/>
      <c r="GV42" s="926"/>
      <c r="GW42" s="926"/>
      <c r="GX42" s="926"/>
      <c r="GY42" s="926"/>
      <c r="GZ42" s="926"/>
      <c r="HA42" s="926"/>
      <c r="HB42" s="926"/>
      <c r="HC42" s="926"/>
      <c r="HD42" s="926"/>
      <c r="HE42" s="926"/>
      <c r="HF42" s="926"/>
      <c r="HG42" s="926"/>
      <c r="HH42" s="926"/>
      <c r="HI42" s="926"/>
      <c r="HJ42" s="926"/>
      <c r="HK42" s="926"/>
      <c r="HL42" s="926"/>
      <c r="HM42" s="926"/>
      <c r="HN42" s="926"/>
      <c r="HO42" s="926"/>
      <c r="HP42" s="926"/>
      <c r="HQ42" s="926"/>
      <c r="HR42" s="926"/>
      <c r="HS42" s="926"/>
      <c r="HT42" s="926"/>
      <c r="HU42" s="926"/>
      <c r="HV42" s="926"/>
      <c r="HW42" s="926"/>
      <c r="HX42" s="926"/>
      <c r="HY42" s="926"/>
      <c r="HZ42" s="926"/>
      <c r="IA42" s="926"/>
      <c r="IB42" s="926"/>
      <c r="IC42" s="926"/>
      <c r="ID42" s="926"/>
      <c r="IE42" s="926"/>
      <c r="IF42" s="926"/>
      <c r="IG42" s="926"/>
      <c r="IH42" s="926"/>
      <c r="II42" s="926"/>
      <c r="IJ42" s="926"/>
      <c r="IK42" s="926"/>
      <c r="IL42" s="926"/>
      <c r="IM42" s="926"/>
    </row>
    <row r="43" spans="1:247" x14ac:dyDescent="0.45">
      <c r="A43" s="441">
        <v>1765</v>
      </c>
      <c r="B43" s="939" t="s">
        <v>2578</v>
      </c>
      <c r="C43" s="47" t="s">
        <v>88</v>
      </c>
      <c r="D43" s="449" t="s">
        <v>2537</v>
      </c>
      <c r="E43" s="946"/>
      <c r="F43" s="941">
        <f t="shared" si="0"/>
        <v>1.0209999999999999</v>
      </c>
      <c r="G43" s="947">
        <f t="shared" si="6"/>
        <v>1.0269999999999999</v>
      </c>
      <c r="H43" s="946"/>
      <c r="I43" s="948"/>
      <c r="J43" s="948"/>
      <c r="K43" s="948"/>
      <c r="L43" s="948"/>
      <c r="M43" s="948"/>
      <c r="N43" s="947"/>
      <c r="O43" s="949"/>
      <c r="P43" s="946"/>
      <c r="Q43" s="947"/>
      <c r="R43" s="950">
        <f t="shared" si="1"/>
        <v>1.0485669999999998</v>
      </c>
      <c r="S43" s="926"/>
      <c r="T43" s="926"/>
      <c r="U43" s="926"/>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6"/>
      <c r="AV43" s="926"/>
      <c r="AW43" s="926"/>
      <c r="AX43" s="926"/>
      <c r="AY43" s="926"/>
      <c r="AZ43" s="926"/>
      <c r="BA43" s="926"/>
      <c r="BB43" s="926"/>
      <c r="BC43" s="926"/>
      <c r="BD43" s="926"/>
      <c r="BE43" s="926"/>
      <c r="BF43" s="926"/>
      <c r="BG43" s="926"/>
      <c r="BH43" s="926"/>
      <c r="BI43" s="926"/>
      <c r="BJ43" s="926"/>
      <c r="BK43" s="926"/>
      <c r="BL43" s="926"/>
      <c r="BM43" s="926"/>
      <c r="BN43" s="926"/>
      <c r="BO43" s="926"/>
      <c r="BP43" s="926"/>
      <c r="BQ43" s="926"/>
      <c r="BR43" s="926"/>
      <c r="BS43" s="926"/>
      <c r="BT43" s="926"/>
      <c r="BU43" s="926"/>
      <c r="BV43" s="926"/>
      <c r="BW43" s="926"/>
      <c r="BX43" s="926"/>
      <c r="BY43" s="926"/>
      <c r="BZ43" s="926"/>
      <c r="CA43" s="926"/>
      <c r="CB43" s="926"/>
      <c r="CC43" s="926"/>
      <c r="CD43" s="926"/>
      <c r="CE43" s="926"/>
      <c r="CF43" s="926"/>
      <c r="CG43" s="926"/>
      <c r="CH43" s="926"/>
      <c r="CI43" s="926"/>
      <c r="CJ43" s="926"/>
      <c r="CK43" s="926"/>
      <c r="CL43" s="926"/>
      <c r="CM43" s="926"/>
      <c r="CN43" s="926"/>
      <c r="CO43" s="926"/>
      <c r="CP43" s="926"/>
      <c r="CQ43" s="926"/>
      <c r="CR43" s="926"/>
      <c r="CS43" s="926"/>
      <c r="CT43" s="926"/>
      <c r="CU43" s="926"/>
      <c r="CV43" s="926"/>
      <c r="CW43" s="926"/>
      <c r="CX43" s="926"/>
      <c r="CY43" s="926"/>
      <c r="CZ43" s="926"/>
      <c r="DA43" s="926"/>
      <c r="DB43" s="926"/>
      <c r="DC43" s="926"/>
      <c r="DD43" s="926"/>
      <c r="DE43" s="926"/>
      <c r="DF43" s="926"/>
      <c r="DG43" s="926"/>
      <c r="DH43" s="926"/>
      <c r="DI43" s="926"/>
      <c r="DJ43" s="926"/>
      <c r="DK43" s="926"/>
      <c r="DL43" s="926"/>
      <c r="DM43" s="926"/>
      <c r="DN43" s="926"/>
      <c r="DO43" s="926"/>
      <c r="DP43" s="926"/>
      <c r="DQ43" s="926"/>
      <c r="DR43" s="926"/>
      <c r="DS43" s="926"/>
      <c r="DT43" s="926"/>
      <c r="DU43" s="926"/>
      <c r="DV43" s="926"/>
      <c r="DW43" s="926"/>
      <c r="DX43" s="926"/>
      <c r="DY43" s="926"/>
      <c r="DZ43" s="926"/>
      <c r="EA43" s="926"/>
      <c r="EB43" s="926"/>
      <c r="EC43" s="926"/>
      <c r="ED43" s="926"/>
      <c r="EE43" s="926"/>
      <c r="EF43" s="926"/>
      <c r="EG43" s="926"/>
      <c r="EH43" s="926"/>
      <c r="EI43" s="926"/>
      <c r="EJ43" s="926"/>
      <c r="EK43" s="926"/>
      <c r="EL43" s="926"/>
      <c r="EM43" s="926"/>
      <c r="EN43" s="926"/>
      <c r="EO43" s="926"/>
      <c r="EP43" s="926"/>
      <c r="EQ43" s="926"/>
      <c r="ER43" s="926"/>
      <c r="ES43" s="926"/>
      <c r="ET43" s="926"/>
      <c r="EU43" s="926"/>
      <c r="EV43" s="926"/>
      <c r="EW43" s="926"/>
      <c r="EX43" s="926"/>
      <c r="EY43" s="926"/>
      <c r="EZ43" s="926"/>
      <c r="FA43" s="926"/>
      <c r="FB43" s="926"/>
      <c r="FC43" s="926"/>
      <c r="FD43" s="926"/>
      <c r="FE43" s="926"/>
      <c r="FF43" s="926"/>
      <c r="FG43" s="926"/>
      <c r="FH43" s="926"/>
      <c r="FI43" s="926"/>
      <c r="FJ43" s="926"/>
      <c r="FK43" s="926"/>
      <c r="FL43" s="926"/>
      <c r="FM43" s="926"/>
      <c r="FN43" s="926"/>
      <c r="FO43" s="926"/>
      <c r="FP43" s="926"/>
      <c r="FQ43" s="926"/>
      <c r="FR43" s="926"/>
      <c r="FS43" s="926"/>
      <c r="FT43" s="926"/>
      <c r="FU43" s="926"/>
      <c r="FV43" s="926"/>
      <c r="FW43" s="926"/>
      <c r="FX43" s="926"/>
      <c r="FY43" s="926"/>
      <c r="FZ43" s="926"/>
      <c r="GA43" s="926"/>
      <c r="GB43" s="926"/>
      <c r="GC43" s="926"/>
      <c r="GD43" s="926"/>
      <c r="GE43" s="926"/>
      <c r="GF43" s="926"/>
      <c r="GG43" s="926"/>
      <c r="GH43" s="926"/>
      <c r="GI43" s="926"/>
      <c r="GJ43" s="926"/>
      <c r="GK43" s="926"/>
      <c r="GL43" s="926"/>
      <c r="GM43" s="926"/>
      <c r="GN43" s="926"/>
      <c r="GO43" s="926"/>
      <c r="GP43" s="926"/>
      <c r="GQ43" s="926"/>
      <c r="GR43" s="926"/>
      <c r="GS43" s="926"/>
      <c r="GT43" s="926"/>
      <c r="GU43" s="926"/>
      <c r="GV43" s="926"/>
      <c r="GW43" s="926"/>
      <c r="GX43" s="926"/>
      <c r="GY43" s="926"/>
      <c r="GZ43" s="926"/>
      <c r="HA43" s="926"/>
      <c r="HB43" s="926"/>
      <c r="HC43" s="926"/>
      <c r="HD43" s="926"/>
      <c r="HE43" s="926"/>
      <c r="HF43" s="926"/>
      <c r="HG43" s="926"/>
      <c r="HH43" s="926"/>
      <c r="HI43" s="926"/>
      <c r="HJ43" s="926"/>
      <c r="HK43" s="926"/>
      <c r="HL43" s="926"/>
      <c r="HM43" s="926"/>
      <c r="HN43" s="926"/>
      <c r="HO43" s="926"/>
      <c r="HP43" s="926"/>
      <c r="HQ43" s="926"/>
      <c r="HR43" s="926"/>
      <c r="HS43" s="926"/>
      <c r="HT43" s="926"/>
      <c r="HU43" s="926"/>
      <c r="HV43" s="926"/>
      <c r="HW43" s="926"/>
      <c r="HX43" s="926"/>
      <c r="HY43" s="926"/>
      <c r="HZ43" s="926"/>
      <c r="IA43" s="926"/>
      <c r="IB43" s="926"/>
      <c r="IC43" s="926"/>
      <c r="ID43" s="926"/>
      <c r="IE43" s="926"/>
      <c r="IF43" s="926"/>
      <c r="IG43" s="926"/>
      <c r="IH43" s="926"/>
      <c r="II43" s="926"/>
      <c r="IJ43" s="926"/>
      <c r="IK43" s="926"/>
      <c r="IL43" s="926"/>
      <c r="IM43" s="926"/>
    </row>
    <row r="44" spans="1:247" x14ac:dyDescent="0.45">
      <c r="A44" s="441">
        <v>1766</v>
      </c>
      <c r="B44" s="939" t="s">
        <v>2579</v>
      </c>
      <c r="C44" s="47" t="s">
        <v>88</v>
      </c>
      <c r="D44" s="449" t="s">
        <v>2537</v>
      </c>
      <c r="E44" s="946"/>
      <c r="F44" s="941">
        <f t="shared" si="0"/>
        <v>1.0209999999999999</v>
      </c>
      <c r="G44" s="947">
        <f t="shared" si="6"/>
        <v>1.0269999999999999</v>
      </c>
      <c r="H44" s="946"/>
      <c r="I44" s="948"/>
      <c r="J44" s="948"/>
      <c r="K44" s="948"/>
      <c r="L44" s="948"/>
      <c r="M44" s="948"/>
      <c r="N44" s="947"/>
      <c r="O44" s="949"/>
      <c r="P44" s="946"/>
      <c r="Q44" s="947"/>
      <c r="R44" s="950">
        <f t="shared" si="1"/>
        <v>1.0485669999999998</v>
      </c>
      <c r="S44" s="926"/>
      <c r="T44" s="926"/>
      <c r="U44" s="926"/>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6"/>
      <c r="AV44" s="926"/>
      <c r="AW44" s="926"/>
      <c r="AX44" s="926"/>
      <c r="AY44" s="926"/>
      <c r="AZ44" s="926"/>
      <c r="BA44" s="926"/>
      <c r="BB44" s="926"/>
      <c r="BC44" s="926"/>
      <c r="BD44" s="926"/>
      <c r="BE44" s="926"/>
      <c r="BF44" s="926"/>
      <c r="BG44" s="926"/>
      <c r="BH44" s="926"/>
      <c r="BI44" s="926"/>
      <c r="BJ44" s="926"/>
      <c r="BK44" s="926"/>
      <c r="BL44" s="926"/>
      <c r="BM44" s="926"/>
      <c r="BN44" s="926"/>
      <c r="BO44" s="926"/>
      <c r="BP44" s="926"/>
      <c r="BQ44" s="926"/>
      <c r="BR44" s="926"/>
      <c r="BS44" s="926"/>
      <c r="BT44" s="926"/>
      <c r="BU44" s="926"/>
      <c r="BV44" s="926"/>
      <c r="BW44" s="926"/>
      <c r="BX44" s="926"/>
      <c r="BY44" s="926"/>
      <c r="BZ44" s="926"/>
      <c r="CA44" s="926"/>
      <c r="CB44" s="926"/>
      <c r="CC44" s="926"/>
      <c r="CD44" s="926"/>
      <c r="CE44" s="926"/>
      <c r="CF44" s="926"/>
      <c r="CG44" s="926"/>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926"/>
      <c r="DH44" s="926"/>
      <c r="DI44" s="926"/>
      <c r="DJ44" s="926"/>
      <c r="DK44" s="926"/>
      <c r="DL44" s="926"/>
      <c r="DM44" s="926"/>
      <c r="DN44" s="926"/>
      <c r="DO44" s="926"/>
      <c r="DP44" s="926"/>
      <c r="DQ44" s="926"/>
      <c r="DR44" s="926"/>
      <c r="DS44" s="926"/>
      <c r="DT44" s="926"/>
      <c r="DU44" s="926"/>
      <c r="DV44" s="926"/>
      <c r="DW44" s="926"/>
      <c r="DX44" s="926"/>
      <c r="DY44" s="926"/>
      <c r="DZ44" s="926"/>
      <c r="EA44" s="926"/>
      <c r="EB44" s="926"/>
      <c r="EC44" s="926"/>
      <c r="ED44" s="926"/>
      <c r="EE44" s="926"/>
      <c r="EF44" s="926"/>
      <c r="EG44" s="926"/>
      <c r="EH44" s="926"/>
      <c r="EI44" s="926"/>
      <c r="EJ44" s="926"/>
      <c r="EK44" s="926"/>
      <c r="EL44" s="926"/>
      <c r="EM44" s="926"/>
      <c r="EN44" s="926"/>
      <c r="EO44" s="926"/>
      <c r="EP44" s="926"/>
      <c r="EQ44" s="926"/>
      <c r="ER44" s="926"/>
      <c r="ES44" s="926"/>
      <c r="ET44" s="926"/>
      <c r="EU44" s="926"/>
      <c r="EV44" s="926"/>
      <c r="EW44" s="926"/>
      <c r="EX44" s="926"/>
      <c r="EY44" s="926"/>
      <c r="EZ44" s="926"/>
      <c r="FA44" s="926"/>
      <c r="FB44" s="926"/>
      <c r="FC44" s="926"/>
      <c r="FD44" s="926"/>
      <c r="FE44" s="926"/>
      <c r="FF44" s="926"/>
      <c r="FG44" s="926"/>
      <c r="FH44" s="926"/>
      <c r="FI44" s="926"/>
      <c r="FJ44" s="926"/>
      <c r="FK44" s="926"/>
      <c r="FL44" s="926"/>
      <c r="FM44" s="926"/>
      <c r="FN44" s="926"/>
      <c r="FO44" s="926"/>
      <c r="FP44" s="926"/>
      <c r="FQ44" s="926"/>
      <c r="FR44" s="926"/>
      <c r="FS44" s="926"/>
      <c r="FT44" s="926"/>
      <c r="FU44" s="926"/>
      <c r="FV44" s="926"/>
      <c r="FW44" s="926"/>
      <c r="FX44" s="926"/>
      <c r="FY44" s="926"/>
      <c r="FZ44" s="926"/>
      <c r="GA44" s="926"/>
      <c r="GB44" s="926"/>
      <c r="GC44" s="926"/>
      <c r="GD44" s="926"/>
      <c r="GE44" s="926"/>
      <c r="GF44" s="926"/>
      <c r="GG44" s="926"/>
      <c r="GH44" s="926"/>
      <c r="GI44" s="926"/>
      <c r="GJ44" s="926"/>
      <c r="GK44" s="926"/>
      <c r="GL44" s="926"/>
      <c r="GM44" s="926"/>
      <c r="GN44" s="926"/>
      <c r="GO44" s="926"/>
      <c r="GP44" s="926"/>
      <c r="GQ44" s="926"/>
      <c r="GR44" s="926"/>
      <c r="GS44" s="926"/>
      <c r="GT44" s="926"/>
      <c r="GU44" s="926"/>
      <c r="GV44" s="926"/>
      <c r="GW44" s="926"/>
      <c r="GX44" s="926"/>
      <c r="GY44" s="926"/>
      <c r="GZ44" s="926"/>
      <c r="HA44" s="926"/>
      <c r="HB44" s="926"/>
      <c r="HC44" s="926"/>
      <c r="HD44" s="926"/>
      <c r="HE44" s="926"/>
      <c r="HF44" s="926"/>
      <c r="HG44" s="926"/>
      <c r="HH44" s="926"/>
      <c r="HI44" s="926"/>
      <c r="HJ44" s="926"/>
      <c r="HK44" s="926"/>
      <c r="HL44" s="926"/>
      <c r="HM44" s="926"/>
      <c r="HN44" s="926"/>
      <c r="HO44" s="926"/>
      <c r="HP44" s="926"/>
      <c r="HQ44" s="926"/>
      <c r="HR44" s="926"/>
      <c r="HS44" s="926"/>
      <c r="HT44" s="926"/>
      <c r="HU44" s="926"/>
      <c r="HV44" s="926"/>
      <c r="HW44" s="926"/>
      <c r="HX44" s="926"/>
      <c r="HY44" s="926"/>
      <c r="HZ44" s="926"/>
      <c r="IA44" s="926"/>
      <c r="IB44" s="926"/>
      <c r="IC44" s="926"/>
      <c r="ID44" s="926"/>
      <c r="IE44" s="926"/>
      <c r="IF44" s="926"/>
      <c r="IG44" s="926"/>
      <c r="IH44" s="926"/>
      <c r="II44" s="926"/>
      <c r="IJ44" s="926"/>
      <c r="IK44" s="926"/>
      <c r="IL44" s="926"/>
      <c r="IM44" s="926"/>
    </row>
    <row r="45" spans="1:247" x14ac:dyDescent="0.45">
      <c r="A45" s="441">
        <v>1767</v>
      </c>
      <c r="B45" s="939" t="s">
        <v>2580</v>
      </c>
      <c r="C45" s="47" t="s">
        <v>88</v>
      </c>
      <c r="D45" s="449" t="s">
        <v>2537</v>
      </c>
      <c r="E45" s="946"/>
      <c r="F45" s="941">
        <f t="shared" si="0"/>
        <v>1.0209999999999999</v>
      </c>
      <c r="G45" s="947">
        <f t="shared" si="6"/>
        <v>1.0269999999999999</v>
      </c>
      <c r="H45" s="946"/>
      <c r="I45" s="948"/>
      <c r="J45" s="948"/>
      <c r="K45" s="948"/>
      <c r="L45" s="948"/>
      <c r="M45" s="948"/>
      <c r="N45" s="947"/>
      <c r="O45" s="949"/>
      <c r="P45" s="946"/>
      <c r="Q45" s="947"/>
      <c r="R45" s="950">
        <f t="shared" si="1"/>
        <v>1.0485669999999998</v>
      </c>
      <c r="S45" s="926"/>
      <c r="T45" s="926"/>
      <c r="U45" s="926"/>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6"/>
      <c r="AV45" s="926"/>
      <c r="AW45" s="926"/>
      <c r="AX45" s="926"/>
      <c r="AY45" s="926"/>
      <c r="AZ45" s="926"/>
      <c r="BA45" s="926"/>
      <c r="BB45" s="926"/>
      <c r="BC45" s="926"/>
      <c r="BD45" s="926"/>
      <c r="BE45" s="926"/>
      <c r="BF45" s="926"/>
      <c r="BG45" s="926"/>
      <c r="BH45" s="926"/>
      <c r="BI45" s="926"/>
      <c r="BJ45" s="926"/>
      <c r="BK45" s="926"/>
      <c r="BL45" s="926"/>
      <c r="BM45" s="926"/>
      <c r="BN45" s="926"/>
      <c r="BO45" s="926"/>
      <c r="BP45" s="926"/>
      <c r="BQ45" s="926"/>
      <c r="BR45" s="926"/>
      <c r="BS45" s="926"/>
      <c r="BT45" s="926"/>
      <c r="BU45" s="926"/>
      <c r="BV45" s="926"/>
      <c r="BW45" s="926"/>
      <c r="BX45" s="926"/>
      <c r="BY45" s="926"/>
      <c r="BZ45" s="926"/>
      <c r="CA45" s="926"/>
      <c r="CB45" s="926"/>
      <c r="CC45" s="926"/>
      <c r="CD45" s="926"/>
      <c r="CE45" s="926"/>
      <c r="CF45" s="926"/>
      <c r="CG45" s="926"/>
      <c r="CH45" s="926"/>
      <c r="CI45" s="926"/>
      <c r="CJ45" s="926"/>
      <c r="CK45" s="926"/>
      <c r="CL45" s="926"/>
      <c r="CM45" s="926"/>
      <c r="CN45" s="926"/>
      <c r="CO45" s="926"/>
      <c r="CP45" s="926"/>
      <c r="CQ45" s="926"/>
      <c r="CR45" s="926"/>
      <c r="CS45" s="926"/>
      <c r="CT45" s="926"/>
      <c r="CU45" s="926"/>
      <c r="CV45" s="926"/>
      <c r="CW45" s="926"/>
      <c r="CX45" s="926"/>
      <c r="CY45" s="926"/>
      <c r="CZ45" s="926"/>
      <c r="DA45" s="926"/>
      <c r="DB45" s="926"/>
      <c r="DC45" s="926"/>
      <c r="DD45" s="926"/>
      <c r="DE45" s="926"/>
      <c r="DF45" s="926"/>
      <c r="DG45" s="926"/>
      <c r="DH45" s="926"/>
      <c r="DI45" s="926"/>
      <c r="DJ45" s="926"/>
      <c r="DK45" s="926"/>
      <c r="DL45" s="926"/>
      <c r="DM45" s="926"/>
      <c r="DN45" s="926"/>
      <c r="DO45" s="926"/>
      <c r="DP45" s="926"/>
      <c r="DQ45" s="926"/>
      <c r="DR45" s="926"/>
      <c r="DS45" s="926"/>
      <c r="DT45" s="926"/>
      <c r="DU45" s="926"/>
      <c r="DV45" s="926"/>
      <c r="DW45" s="926"/>
      <c r="DX45" s="926"/>
      <c r="DY45" s="926"/>
      <c r="DZ45" s="926"/>
      <c r="EA45" s="926"/>
      <c r="EB45" s="926"/>
      <c r="EC45" s="926"/>
      <c r="ED45" s="926"/>
      <c r="EE45" s="926"/>
      <c r="EF45" s="926"/>
      <c r="EG45" s="926"/>
      <c r="EH45" s="926"/>
      <c r="EI45" s="926"/>
      <c r="EJ45" s="926"/>
      <c r="EK45" s="926"/>
      <c r="EL45" s="926"/>
      <c r="EM45" s="926"/>
      <c r="EN45" s="926"/>
      <c r="EO45" s="926"/>
      <c r="EP45" s="926"/>
      <c r="EQ45" s="926"/>
      <c r="ER45" s="926"/>
      <c r="ES45" s="926"/>
      <c r="ET45" s="926"/>
      <c r="EU45" s="926"/>
      <c r="EV45" s="926"/>
      <c r="EW45" s="926"/>
      <c r="EX45" s="926"/>
      <c r="EY45" s="926"/>
      <c r="EZ45" s="926"/>
      <c r="FA45" s="926"/>
      <c r="FB45" s="926"/>
      <c r="FC45" s="926"/>
      <c r="FD45" s="926"/>
      <c r="FE45" s="926"/>
      <c r="FF45" s="926"/>
      <c r="FG45" s="926"/>
      <c r="FH45" s="926"/>
      <c r="FI45" s="926"/>
      <c r="FJ45" s="926"/>
      <c r="FK45" s="926"/>
      <c r="FL45" s="926"/>
      <c r="FM45" s="926"/>
      <c r="FN45" s="926"/>
      <c r="FO45" s="926"/>
      <c r="FP45" s="926"/>
      <c r="FQ45" s="926"/>
      <c r="FR45" s="926"/>
      <c r="FS45" s="926"/>
      <c r="FT45" s="926"/>
      <c r="FU45" s="926"/>
      <c r="FV45" s="926"/>
      <c r="FW45" s="926"/>
      <c r="FX45" s="926"/>
      <c r="FY45" s="926"/>
      <c r="FZ45" s="926"/>
      <c r="GA45" s="926"/>
      <c r="GB45" s="926"/>
      <c r="GC45" s="926"/>
      <c r="GD45" s="926"/>
      <c r="GE45" s="926"/>
      <c r="GF45" s="926"/>
      <c r="GG45" s="926"/>
      <c r="GH45" s="926"/>
      <c r="GI45" s="926"/>
      <c r="GJ45" s="926"/>
      <c r="GK45" s="926"/>
      <c r="GL45" s="926"/>
      <c r="GM45" s="926"/>
      <c r="GN45" s="926"/>
      <c r="GO45" s="926"/>
      <c r="GP45" s="926"/>
      <c r="GQ45" s="926"/>
      <c r="GR45" s="926"/>
      <c r="GS45" s="926"/>
      <c r="GT45" s="926"/>
      <c r="GU45" s="926"/>
      <c r="GV45" s="926"/>
      <c r="GW45" s="926"/>
      <c r="GX45" s="926"/>
      <c r="GY45" s="926"/>
      <c r="GZ45" s="926"/>
      <c r="HA45" s="926"/>
      <c r="HB45" s="926"/>
      <c r="HC45" s="926"/>
      <c r="HD45" s="926"/>
      <c r="HE45" s="926"/>
      <c r="HF45" s="926"/>
      <c r="HG45" s="926"/>
      <c r="HH45" s="926"/>
      <c r="HI45" s="926"/>
      <c r="HJ45" s="926"/>
      <c r="HK45" s="926"/>
      <c r="HL45" s="926"/>
      <c r="HM45" s="926"/>
      <c r="HN45" s="926"/>
      <c r="HO45" s="926"/>
      <c r="HP45" s="926"/>
      <c r="HQ45" s="926"/>
      <c r="HR45" s="926"/>
      <c r="HS45" s="926"/>
      <c r="HT45" s="926"/>
      <c r="HU45" s="926"/>
      <c r="HV45" s="926"/>
      <c r="HW45" s="926"/>
      <c r="HX45" s="926"/>
      <c r="HY45" s="926"/>
      <c r="HZ45" s="926"/>
      <c r="IA45" s="926"/>
      <c r="IB45" s="926"/>
      <c r="IC45" s="926"/>
      <c r="ID45" s="926"/>
      <c r="IE45" s="926"/>
      <c r="IF45" s="926"/>
      <c r="IG45" s="926"/>
      <c r="IH45" s="926"/>
      <c r="II45" s="926"/>
      <c r="IJ45" s="926"/>
      <c r="IK45" s="926"/>
      <c r="IL45" s="926"/>
      <c r="IM45" s="926"/>
    </row>
    <row r="46" spans="1:247" x14ac:dyDescent="0.45">
      <c r="A46" s="441">
        <v>1768</v>
      </c>
      <c r="B46" s="939" t="s">
        <v>2581</v>
      </c>
      <c r="C46" s="47" t="s">
        <v>88</v>
      </c>
      <c r="D46" s="449" t="s">
        <v>2537</v>
      </c>
      <c r="E46" s="946"/>
      <c r="F46" s="941">
        <f t="shared" si="0"/>
        <v>1.0209999999999999</v>
      </c>
      <c r="G46" s="947">
        <f t="shared" si="6"/>
        <v>1.0269999999999999</v>
      </c>
      <c r="H46" s="946"/>
      <c r="I46" s="948"/>
      <c r="J46" s="948"/>
      <c r="K46" s="948"/>
      <c r="L46" s="948"/>
      <c r="M46" s="948"/>
      <c r="N46" s="947"/>
      <c r="O46" s="949"/>
      <c r="P46" s="946"/>
      <c r="Q46" s="947"/>
      <c r="R46" s="950">
        <f t="shared" si="1"/>
        <v>1.0485669999999998</v>
      </c>
      <c r="S46" s="926"/>
      <c r="T46" s="926"/>
      <c r="U46" s="926"/>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6"/>
      <c r="AV46" s="926"/>
      <c r="AW46" s="926"/>
      <c r="AX46" s="926"/>
      <c r="AY46" s="926"/>
      <c r="AZ46" s="926"/>
      <c r="BA46" s="926"/>
      <c r="BB46" s="926"/>
      <c r="BC46" s="926"/>
      <c r="BD46" s="926"/>
      <c r="BE46" s="926"/>
      <c r="BF46" s="926"/>
      <c r="BG46" s="926"/>
      <c r="BH46" s="926"/>
      <c r="BI46" s="926"/>
      <c r="BJ46" s="926"/>
      <c r="BK46" s="926"/>
      <c r="BL46" s="926"/>
      <c r="BM46" s="926"/>
      <c r="BN46" s="926"/>
      <c r="BO46" s="926"/>
      <c r="BP46" s="926"/>
      <c r="BQ46" s="926"/>
      <c r="BR46" s="926"/>
      <c r="BS46" s="926"/>
      <c r="BT46" s="926"/>
      <c r="BU46" s="926"/>
      <c r="BV46" s="926"/>
      <c r="BW46" s="926"/>
      <c r="BX46" s="926"/>
      <c r="BY46" s="926"/>
      <c r="BZ46" s="926"/>
      <c r="CA46" s="926"/>
      <c r="CB46" s="926"/>
      <c r="CC46" s="926"/>
      <c r="CD46" s="926"/>
      <c r="CE46" s="926"/>
      <c r="CF46" s="926"/>
      <c r="CG46" s="926"/>
      <c r="CH46" s="926"/>
      <c r="CI46" s="926"/>
      <c r="CJ46" s="926"/>
      <c r="CK46" s="926"/>
      <c r="CL46" s="926"/>
      <c r="CM46" s="926"/>
      <c r="CN46" s="926"/>
      <c r="CO46" s="926"/>
      <c r="CP46" s="926"/>
      <c r="CQ46" s="926"/>
      <c r="CR46" s="926"/>
      <c r="CS46" s="926"/>
      <c r="CT46" s="926"/>
      <c r="CU46" s="926"/>
      <c r="CV46" s="926"/>
      <c r="CW46" s="926"/>
      <c r="CX46" s="926"/>
      <c r="CY46" s="926"/>
      <c r="CZ46" s="926"/>
      <c r="DA46" s="926"/>
      <c r="DB46" s="926"/>
      <c r="DC46" s="926"/>
      <c r="DD46" s="926"/>
      <c r="DE46" s="926"/>
      <c r="DF46" s="926"/>
      <c r="DG46" s="926"/>
      <c r="DH46" s="926"/>
      <c r="DI46" s="926"/>
      <c r="DJ46" s="926"/>
      <c r="DK46" s="926"/>
      <c r="DL46" s="926"/>
      <c r="DM46" s="926"/>
      <c r="DN46" s="926"/>
      <c r="DO46" s="926"/>
      <c r="DP46" s="926"/>
      <c r="DQ46" s="926"/>
      <c r="DR46" s="926"/>
      <c r="DS46" s="926"/>
      <c r="DT46" s="926"/>
      <c r="DU46" s="926"/>
      <c r="DV46" s="926"/>
      <c r="DW46" s="926"/>
      <c r="DX46" s="926"/>
      <c r="DY46" s="926"/>
      <c r="DZ46" s="926"/>
      <c r="EA46" s="926"/>
      <c r="EB46" s="926"/>
      <c r="EC46" s="926"/>
      <c r="ED46" s="926"/>
      <c r="EE46" s="926"/>
      <c r="EF46" s="926"/>
      <c r="EG46" s="926"/>
      <c r="EH46" s="926"/>
      <c r="EI46" s="926"/>
      <c r="EJ46" s="926"/>
      <c r="EK46" s="926"/>
      <c r="EL46" s="926"/>
      <c r="EM46" s="926"/>
      <c r="EN46" s="926"/>
      <c r="EO46" s="926"/>
      <c r="EP46" s="926"/>
      <c r="EQ46" s="926"/>
      <c r="ER46" s="926"/>
      <c r="ES46" s="926"/>
      <c r="ET46" s="926"/>
      <c r="EU46" s="926"/>
      <c r="EV46" s="926"/>
      <c r="EW46" s="926"/>
      <c r="EX46" s="926"/>
      <c r="EY46" s="926"/>
      <c r="EZ46" s="926"/>
      <c r="FA46" s="926"/>
      <c r="FB46" s="926"/>
      <c r="FC46" s="926"/>
      <c r="FD46" s="926"/>
      <c r="FE46" s="926"/>
      <c r="FF46" s="926"/>
      <c r="FG46" s="926"/>
      <c r="FH46" s="926"/>
      <c r="FI46" s="926"/>
      <c r="FJ46" s="926"/>
      <c r="FK46" s="926"/>
      <c r="FL46" s="926"/>
      <c r="FM46" s="926"/>
      <c r="FN46" s="926"/>
      <c r="FO46" s="926"/>
      <c r="FP46" s="926"/>
      <c r="FQ46" s="926"/>
      <c r="FR46" s="926"/>
      <c r="FS46" s="926"/>
      <c r="FT46" s="926"/>
      <c r="FU46" s="926"/>
      <c r="FV46" s="926"/>
      <c r="FW46" s="926"/>
      <c r="FX46" s="926"/>
      <c r="FY46" s="926"/>
      <c r="FZ46" s="926"/>
      <c r="GA46" s="926"/>
      <c r="GB46" s="926"/>
      <c r="GC46" s="926"/>
      <c r="GD46" s="926"/>
      <c r="GE46" s="926"/>
      <c r="GF46" s="926"/>
      <c r="GG46" s="926"/>
      <c r="GH46" s="926"/>
      <c r="GI46" s="926"/>
      <c r="GJ46" s="926"/>
      <c r="GK46" s="926"/>
      <c r="GL46" s="926"/>
      <c r="GM46" s="926"/>
      <c r="GN46" s="926"/>
      <c r="GO46" s="926"/>
      <c r="GP46" s="926"/>
      <c r="GQ46" s="926"/>
      <c r="GR46" s="926"/>
      <c r="GS46" s="926"/>
      <c r="GT46" s="926"/>
      <c r="GU46" s="926"/>
      <c r="GV46" s="926"/>
      <c r="GW46" s="926"/>
      <c r="GX46" s="926"/>
      <c r="GY46" s="926"/>
      <c r="GZ46" s="926"/>
      <c r="HA46" s="926"/>
      <c r="HB46" s="926"/>
      <c r="HC46" s="926"/>
      <c r="HD46" s="926"/>
      <c r="HE46" s="926"/>
      <c r="HF46" s="926"/>
      <c r="HG46" s="926"/>
      <c r="HH46" s="926"/>
      <c r="HI46" s="926"/>
      <c r="HJ46" s="926"/>
      <c r="HK46" s="926"/>
      <c r="HL46" s="926"/>
      <c r="HM46" s="926"/>
      <c r="HN46" s="926"/>
      <c r="HO46" s="926"/>
      <c r="HP46" s="926"/>
      <c r="HQ46" s="926"/>
      <c r="HR46" s="926"/>
      <c r="HS46" s="926"/>
      <c r="HT46" s="926"/>
      <c r="HU46" s="926"/>
      <c r="HV46" s="926"/>
      <c r="HW46" s="926"/>
      <c r="HX46" s="926"/>
      <c r="HY46" s="926"/>
      <c r="HZ46" s="926"/>
      <c r="IA46" s="926"/>
      <c r="IB46" s="926"/>
      <c r="IC46" s="926"/>
      <c r="ID46" s="926"/>
      <c r="IE46" s="926"/>
      <c r="IF46" s="926"/>
      <c r="IG46" s="926"/>
      <c r="IH46" s="926"/>
      <c r="II46" s="926"/>
      <c r="IJ46" s="926"/>
      <c r="IK46" s="926"/>
      <c r="IL46" s="926"/>
      <c r="IM46" s="926"/>
    </row>
    <row r="47" spans="1:247" x14ac:dyDescent="0.45">
      <c r="A47" s="441">
        <v>1769</v>
      </c>
      <c r="B47" s="939" t="s">
        <v>2582</v>
      </c>
      <c r="C47" s="47" t="s">
        <v>88</v>
      </c>
      <c r="D47" s="449" t="s">
        <v>2537</v>
      </c>
      <c r="E47" s="946"/>
      <c r="F47" s="941">
        <f t="shared" si="0"/>
        <v>1.0209999999999999</v>
      </c>
      <c r="G47" s="947">
        <f t="shared" si="6"/>
        <v>1.0269999999999999</v>
      </c>
      <c r="H47" s="946"/>
      <c r="I47" s="948"/>
      <c r="J47" s="948"/>
      <c r="K47" s="948"/>
      <c r="L47" s="948"/>
      <c r="M47" s="948"/>
      <c r="N47" s="947"/>
      <c r="O47" s="949"/>
      <c r="P47" s="946"/>
      <c r="Q47" s="947"/>
      <c r="R47" s="950">
        <f t="shared" si="1"/>
        <v>1.0485669999999998</v>
      </c>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926"/>
      <c r="BF47" s="926"/>
      <c r="BG47" s="926"/>
      <c r="BH47" s="926"/>
      <c r="BI47" s="926"/>
      <c r="BJ47" s="926"/>
      <c r="BK47" s="926"/>
      <c r="BL47" s="926"/>
      <c r="BM47" s="926"/>
      <c r="BN47" s="926"/>
      <c r="BO47" s="926"/>
      <c r="BP47" s="926"/>
      <c r="BQ47" s="926"/>
      <c r="BR47" s="926"/>
      <c r="BS47" s="926"/>
      <c r="BT47" s="926"/>
      <c r="BU47" s="926"/>
      <c r="BV47" s="926"/>
      <c r="BW47" s="926"/>
      <c r="BX47" s="926"/>
      <c r="BY47" s="926"/>
      <c r="BZ47" s="926"/>
      <c r="CA47" s="926"/>
      <c r="CB47" s="926"/>
      <c r="CC47" s="926"/>
      <c r="CD47" s="926"/>
      <c r="CE47" s="926"/>
      <c r="CF47" s="926"/>
      <c r="CG47" s="926"/>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926"/>
      <c r="DH47" s="926"/>
      <c r="DI47" s="926"/>
      <c r="DJ47" s="926"/>
      <c r="DK47" s="926"/>
      <c r="DL47" s="926"/>
      <c r="DM47" s="926"/>
      <c r="DN47" s="926"/>
      <c r="DO47" s="926"/>
      <c r="DP47" s="926"/>
      <c r="DQ47" s="926"/>
      <c r="DR47" s="926"/>
      <c r="DS47" s="926"/>
      <c r="DT47" s="926"/>
      <c r="DU47" s="926"/>
      <c r="DV47" s="926"/>
      <c r="DW47" s="926"/>
      <c r="DX47" s="926"/>
      <c r="DY47" s="926"/>
      <c r="DZ47" s="926"/>
      <c r="EA47" s="926"/>
      <c r="EB47" s="926"/>
      <c r="EC47" s="926"/>
      <c r="ED47" s="926"/>
      <c r="EE47" s="926"/>
      <c r="EF47" s="926"/>
      <c r="EG47" s="926"/>
      <c r="EH47" s="926"/>
      <c r="EI47" s="926"/>
      <c r="EJ47" s="926"/>
      <c r="EK47" s="926"/>
      <c r="EL47" s="926"/>
      <c r="EM47" s="926"/>
      <c r="EN47" s="926"/>
      <c r="EO47" s="926"/>
      <c r="EP47" s="926"/>
      <c r="EQ47" s="926"/>
      <c r="ER47" s="926"/>
      <c r="ES47" s="926"/>
      <c r="ET47" s="926"/>
      <c r="EU47" s="926"/>
      <c r="EV47" s="926"/>
      <c r="EW47" s="926"/>
      <c r="EX47" s="926"/>
      <c r="EY47" s="926"/>
      <c r="EZ47" s="926"/>
      <c r="FA47" s="926"/>
      <c r="FB47" s="926"/>
      <c r="FC47" s="926"/>
      <c r="FD47" s="926"/>
      <c r="FE47" s="926"/>
      <c r="FF47" s="926"/>
      <c r="FG47" s="926"/>
      <c r="FH47" s="926"/>
      <c r="FI47" s="926"/>
      <c r="FJ47" s="926"/>
      <c r="FK47" s="926"/>
      <c r="FL47" s="926"/>
      <c r="FM47" s="926"/>
      <c r="FN47" s="926"/>
      <c r="FO47" s="926"/>
      <c r="FP47" s="926"/>
      <c r="FQ47" s="926"/>
      <c r="FR47" s="926"/>
      <c r="FS47" s="926"/>
      <c r="FT47" s="926"/>
      <c r="FU47" s="926"/>
      <c r="FV47" s="926"/>
      <c r="FW47" s="926"/>
      <c r="FX47" s="926"/>
      <c r="FY47" s="926"/>
      <c r="FZ47" s="926"/>
      <c r="GA47" s="926"/>
      <c r="GB47" s="926"/>
      <c r="GC47" s="926"/>
      <c r="GD47" s="926"/>
      <c r="GE47" s="926"/>
      <c r="GF47" s="926"/>
      <c r="GG47" s="926"/>
      <c r="GH47" s="926"/>
      <c r="GI47" s="926"/>
      <c r="GJ47" s="926"/>
      <c r="GK47" s="926"/>
      <c r="GL47" s="926"/>
      <c r="GM47" s="926"/>
      <c r="GN47" s="926"/>
      <c r="GO47" s="926"/>
      <c r="GP47" s="926"/>
      <c r="GQ47" s="926"/>
      <c r="GR47" s="926"/>
      <c r="GS47" s="926"/>
      <c r="GT47" s="926"/>
      <c r="GU47" s="926"/>
      <c r="GV47" s="926"/>
      <c r="GW47" s="926"/>
      <c r="GX47" s="926"/>
      <c r="GY47" s="926"/>
      <c r="GZ47" s="926"/>
      <c r="HA47" s="926"/>
      <c r="HB47" s="926"/>
      <c r="HC47" s="926"/>
      <c r="HD47" s="926"/>
      <c r="HE47" s="926"/>
      <c r="HF47" s="926"/>
      <c r="HG47" s="926"/>
      <c r="HH47" s="926"/>
      <c r="HI47" s="926"/>
      <c r="HJ47" s="926"/>
      <c r="HK47" s="926"/>
      <c r="HL47" s="926"/>
      <c r="HM47" s="926"/>
      <c r="HN47" s="926"/>
      <c r="HO47" s="926"/>
      <c r="HP47" s="926"/>
      <c r="HQ47" s="926"/>
      <c r="HR47" s="926"/>
      <c r="HS47" s="926"/>
      <c r="HT47" s="926"/>
      <c r="HU47" s="926"/>
      <c r="HV47" s="926"/>
      <c r="HW47" s="926"/>
      <c r="HX47" s="926"/>
      <c r="HY47" s="926"/>
      <c r="HZ47" s="926"/>
      <c r="IA47" s="926"/>
      <c r="IB47" s="926"/>
      <c r="IC47" s="926"/>
      <c r="ID47" s="926"/>
      <c r="IE47" s="926"/>
      <c r="IF47" s="926"/>
      <c r="IG47" s="926"/>
      <c r="IH47" s="926"/>
      <c r="II47" s="926"/>
      <c r="IJ47" s="926"/>
      <c r="IK47" s="926"/>
      <c r="IL47" s="926"/>
      <c r="IM47" s="926"/>
    </row>
    <row r="48" spans="1:247" x14ac:dyDescent="0.45">
      <c r="A48" s="441">
        <v>1771</v>
      </c>
      <c r="B48" s="939" t="s">
        <v>2583</v>
      </c>
      <c r="C48" s="47" t="s">
        <v>773</v>
      </c>
      <c r="D48" s="449" t="s">
        <v>2537</v>
      </c>
      <c r="E48" s="946"/>
      <c r="F48" s="941">
        <f t="shared" si="0"/>
        <v>1.0209999999999999</v>
      </c>
      <c r="G48" s="947">
        <f t="shared" si="6"/>
        <v>1.0269999999999999</v>
      </c>
      <c r="H48" s="946"/>
      <c r="I48" s="948"/>
      <c r="J48" s="948"/>
      <c r="K48" s="948"/>
      <c r="L48" s="948"/>
      <c r="M48" s="948"/>
      <c r="N48" s="947"/>
      <c r="O48" s="949"/>
      <c r="P48" s="946">
        <f>+$P$3</f>
        <v>1.032</v>
      </c>
      <c r="Q48" s="947"/>
      <c r="R48" s="950">
        <f t="shared" si="1"/>
        <v>1.0821211439999998</v>
      </c>
      <c r="S48" s="926"/>
      <c r="T48" s="926"/>
      <c r="U48" s="926"/>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6"/>
      <c r="AV48" s="926"/>
      <c r="AW48" s="926"/>
      <c r="AX48" s="926"/>
      <c r="AY48" s="926"/>
      <c r="AZ48" s="926"/>
      <c r="BA48" s="926"/>
      <c r="BB48" s="926"/>
      <c r="BC48" s="926"/>
      <c r="BD48" s="926"/>
      <c r="BE48" s="926"/>
      <c r="BF48" s="926"/>
      <c r="BG48" s="926"/>
      <c r="BH48" s="926"/>
      <c r="BI48" s="926"/>
      <c r="BJ48" s="926"/>
      <c r="BK48" s="926"/>
      <c r="BL48" s="926"/>
      <c r="BM48" s="926"/>
      <c r="BN48" s="926"/>
      <c r="BO48" s="926"/>
      <c r="BP48" s="926"/>
      <c r="BQ48" s="926"/>
      <c r="BR48" s="926"/>
      <c r="BS48" s="926"/>
      <c r="BT48" s="926"/>
      <c r="BU48" s="926"/>
      <c r="BV48" s="926"/>
      <c r="BW48" s="926"/>
      <c r="BX48" s="926"/>
      <c r="BY48" s="926"/>
      <c r="BZ48" s="926"/>
      <c r="CA48" s="926"/>
      <c r="CB48" s="926"/>
      <c r="CC48" s="926"/>
      <c r="CD48" s="926"/>
      <c r="CE48" s="926"/>
      <c r="CF48" s="926"/>
      <c r="CG48" s="926"/>
      <c r="CH48" s="926"/>
      <c r="CI48" s="926"/>
      <c r="CJ48" s="926"/>
      <c r="CK48" s="926"/>
      <c r="CL48" s="926"/>
      <c r="CM48" s="926"/>
      <c r="CN48" s="926"/>
      <c r="CO48" s="926"/>
      <c r="CP48" s="926"/>
      <c r="CQ48" s="926"/>
      <c r="CR48" s="926"/>
      <c r="CS48" s="926"/>
      <c r="CT48" s="926"/>
      <c r="CU48" s="926"/>
      <c r="CV48" s="926"/>
      <c r="CW48" s="926"/>
      <c r="CX48" s="926"/>
      <c r="CY48" s="926"/>
      <c r="CZ48" s="926"/>
      <c r="DA48" s="926"/>
      <c r="DB48" s="926"/>
      <c r="DC48" s="926"/>
      <c r="DD48" s="926"/>
      <c r="DE48" s="926"/>
      <c r="DF48" s="926"/>
      <c r="DG48" s="926"/>
      <c r="DH48" s="926"/>
      <c r="DI48" s="926"/>
      <c r="DJ48" s="926"/>
      <c r="DK48" s="926"/>
      <c r="DL48" s="926"/>
      <c r="DM48" s="926"/>
      <c r="DN48" s="926"/>
      <c r="DO48" s="926"/>
      <c r="DP48" s="926"/>
      <c r="DQ48" s="926"/>
      <c r="DR48" s="926"/>
      <c r="DS48" s="926"/>
      <c r="DT48" s="926"/>
      <c r="DU48" s="926"/>
      <c r="DV48" s="926"/>
      <c r="DW48" s="926"/>
      <c r="DX48" s="926"/>
      <c r="DY48" s="926"/>
      <c r="DZ48" s="926"/>
      <c r="EA48" s="926"/>
      <c r="EB48" s="926"/>
      <c r="EC48" s="926"/>
      <c r="ED48" s="926"/>
      <c r="EE48" s="926"/>
      <c r="EF48" s="926"/>
      <c r="EG48" s="926"/>
      <c r="EH48" s="926"/>
      <c r="EI48" s="926"/>
      <c r="EJ48" s="926"/>
      <c r="EK48" s="926"/>
      <c r="EL48" s="926"/>
      <c r="EM48" s="926"/>
      <c r="EN48" s="926"/>
      <c r="EO48" s="926"/>
      <c r="EP48" s="926"/>
      <c r="EQ48" s="926"/>
      <c r="ER48" s="926"/>
      <c r="ES48" s="926"/>
      <c r="ET48" s="926"/>
      <c r="EU48" s="926"/>
      <c r="EV48" s="926"/>
      <c r="EW48" s="926"/>
      <c r="EX48" s="926"/>
      <c r="EY48" s="926"/>
      <c r="EZ48" s="926"/>
      <c r="FA48" s="926"/>
      <c r="FB48" s="926"/>
      <c r="FC48" s="926"/>
      <c r="FD48" s="926"/>
      <c r="FE48" s="926"/>
      <c r="FF48" s="926"/>
      <c r="FG48" s="926"/>
      <c r="FH48" s="926"/>
      <c r="FI48" s="926"/>
      <c r="FJ48" s="926"/>
      <c r="FK48" s="926"/>
      <c r="FL48" s="926"/>
      <c r="FM48" s="926"/>
      <c r="FN48" s="926"/>
      <c r="FO48" s="926"/>
      <c r="FP48" s="926"/>
      <c r="FQ48" s="926"/>
      <c r="FR48" s="926"/>
      <c r="FS48" s="926"/>
      <c r="FT48" s="926"/>
      <c r="FU48" s="926"/>
      <c r="FV48" s="926"/>
      <c r="FW48" s="926"/>
      <c r="FX48" s="926"/>
      <c r="FY48" s="926"/>
      <c r="FZ48" s="926"/>
      <c r="GA48" s="926"/>
      <c r="GB48" s="926"/>
      <c r="GC48" s="926"/>
      <c r="GD48" s="926"/>
      <c r="GE48" s="926"/>
      <c r="GF48" s="926"/>
      <c r="GG48" s="926"/>
      <c r="GH48" s="926"/>
      <c r="GI48" s="926"/>
      <c r="GJ48" s="926"/>
      <c r="GK48" s="926"/>
      <c r="GL48" s="926"/>
      <c r="GM48" s="926"/>
      <c r="GN48" s="926"/>
      <c r="GO48" s="926"/>
      <c r="GP48" s="926"/>
      <c r="GQ48" s="926"/>
      <c r="GR48" s="926"/>
      <c r="GS48" s="926"/>
      <c r="GT48" s="926"/>
      <c r="GU48" s="926"/>
      <c r="GV48" s="926"/>
      <c r="GW48" s="926"/>
      <c r="GX48" s="926"/>
      <c r="GY48" s="926"/>
      <c r="GZ48" s="926"/>
      <c r="HA48" s="926"/>
      <c r="HB48" s="926"/>
      <c r="HC48" s="926"/>
      <c r="HD48" s="926"/>
      <c r="HE48" s="926"/>
      <c r="HF48" s="926"/>
      <c r="HG48" s="926"/>
      <c r="HH48" s="926"/>
      <c r="HI48" s="926"/>
      <c r="HJ48" s="926"/>
      <c r="HK48" s="926"/>
      <c r="HL48" s="926"/>
      <c r="HM48" s="926"/>
      <c r="HN48" s="926"/>
      <c r="HO48" s="926"/>
      <c r="HP48" s="926"/>
      <c r="HQ48" s="926"/>
      <c r="HR48" s="926"/>
      <c r="HS48" s="926"/>
      <c r="HT48" s="926"/>
      <c r="HU48" s="926"/>
      <c r="HV48" s="926"/>
      <c r="HW48" s="926"/>
      <c r="HX48" s="926"/>
      <c r="HY48" s="926"/>
      <c r="HZ48" s="926"/>
      <c r="IA48" s="926"/>
      <c r="IB48" s="926"/>
      <c r="IC48" s="926"/>
      <c r="ID48" s="926"/>
      <c r="IE48" s="926"/>
      <c r="IF48" s="926"/>
      <c r="IG48" s="926"/>
      <c r="IH48" s="926"/>
      <c r="II48" s="926"/>
      <c r="IJ48" s="926"/>
      <c r="IK48" s="926"/>
      <c r="IL48" s="926"/>
      <c r="IM48" s="926"/>
    </row>
    <row r="49" spans="1:247" x14ac:dyDescent="0.45">
      <c r="A49" s="441">
        <v>1772</v>
      </c>
      <c r="B49" s="939" t="s">
        <v>2584</v>
      </c>
      <c r="C49" s="47" t="s">
        <v>88</v>
      </c>
      <c r="D49" s="449" t="s">
        <v>2537</v>
      </c>
      <c r="E49" s="946"/>
      <c r="F49" s="941">
        <f t="shared" si="0"/>
        <v>1.0209999999999999</v>
      </c>
      <c r="G49" s="947">
        <f t="shared" si="6"/>
        <v>1.0269999999999999</v>
      </c>
      <c r="H49" s="946"/>
      <c r="I49" s="948"/>
      <c r="J49" s="948"/>
      <c r="K49" s="948"/>
      <c r="L49" s="948"/>
      <c r="M49" s="948"/>
      <c r="N49" s="947"/>
      <c r="O49" s="949"/>
      <c r="P49" s="946">
        <f>+$P$3</f>
        <v>1.032</v>
      </c>
      <c r="Q49" s="947"/>
      <c r="R49" s="950">
        <f t="shared" si="1"/>
        <v>1.0821211439999998</v>
      </c>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6"/>
      <c r="AY49" s="926"/>
      <c r="AZ49" s="926"/>
      <c r="BA49" s="926"/>
      <c r="BB49" s="926"/>
      <c r="BC49" s="926"/>
      <c r="BD49" s="926"/>
      <c r="BE49" s="926"/>
      <c r="BF49" s="926"/>
      <c r="BG49" s="926"/>
      <c r="BH49" s="926"/>
      <c r="BI49" s="926"/>
      <c r="BJ49" s="926"/>
      <c r="BK49" s="926"/>
      <c r="BL49" s="926"/>
      <c r="BM49" s="926"/>
      <c r="BN49" s="926"/>
      <c r="BO49" s="926"/>
      <c r="BP49" s="926"/>
      <c r="BQ49" s="926"/>
      <c r="BR49" s="926"/>
      <c r="BS49" s="926"/>
      <c r="BT49" s="926"/>
      <c r="BU49" s="926"/>
      <c r="BV49" s="926"/>
      <c r="BW49" s="926"/>
      <c r="BX49" s="926"/>
      <c r="BY49" s="926"/>
      <c r="BZ49" s="926"/>
      <c r="CA49" s="926"/>
      <c r="CB49" s="926"/>
      <c r="CC49" s="926"/>
      <c r="CD49" s="926"/>
      <c r="CE49" s="926"/>
      <c r="CF49" s="926"/>
      <c r="CG49" s="926"/>
      <c r="CH49" s="926"/>
      <c r="CI49" s="926"/>
      <c r="CJ49" s="926"/>
      <c r="CK49" s="926"/>
      <c r="CL49" s="926"/>
      <c r="CM49" s="926"/>
      <c r="CN49" s="926"/>
      <c r="CO49" s="926"/>
      <c r="CP49" s="926"/>
      <c r="CQ49" s="926"/>
      <c r="CR49" s="926"/>
      <c r="CS49" s="926"/>
      <c r="CT49" s="926"/>
      <c r="CU49" s="926"/>
      <c r="CV49" s="926"/>
      <c r="CW49" s="926"/>
      <c r="CX49" s="926"/>
      <c r="CY49" s="926"/>
      <c r="CZ49" s="926"/>
      <c r="DA49" s="926"/>
      <c r="DB49" s="926"/>
      <c r="DC49" s="926"/>
      <c r="DD49" s="926"/>
      <c r="DE49" s="926"/>
      <c r="DF49" s="926"/>
      <c r="DG49" s="926"/>
      <c r="DH49" s="926"/>
      <c r="DI49" s="926"/>
      <c r="DJ49" s="926"/>
      <c r="DK49" s="926"/>
      <c r="DL49" s="926"/>
      <c r="DM49" s="926"/>
      <c r="DN49" s="926"/>
      <c r="DO49" s="926"/>
      <c r="DP49" s="926"/>
      <c r="DQ49" s="926"/>
      <c r="DR49" s="926"/>
      <c r="DS49" s="926"/>
      <c r="DT49" s="926"/>
      <c r="DU49" s="926"/>
      <c r="DV49" s="926"/>
      <c r="DW49" s="926"/>
      <c r="DX49" s="926"/>
      <c r="DY49" s="926"/>
      <c r="DZ49" s="926"/>
      <c r="EA49" s="926"/>
      <c r="EB49" s="926"/>
      <c r="EC49" s="926"/>
      <c r="ED49" s="926"/>
      <c r="EE49" s="926"/>
      <c r="EF49" s="926"/>
      <c r="EG49" s="926"/>
      <c r="EH49" s="926"/>
      <c r="EI49" s="926"/>
      <c r="EJ49" s="926"/>
      <c r="EK49" s="926"/>
      <c r="EL49" s="926"/>
      <c r="EM49" s="926"/>
      <c r="EN49" s="926"/>
      <c r="EO49" s="926"/>
      <c r="EP49" s="926"/>
      <c r="EQ49" s="926"/>
      <c r="ER49" s="926"/>
      <c r="ES49" s="926"/>
      <c r="ET49" s="926"/>
      <c r="EU49" s="926"/>
      <c r="EV49" s="926"/>
      <c r="EW49" s="926"/>
      <c r="EX49" s="926"/>
      <c r="EY49" s="926"/>
      <c r="EZ49" s="926"/>
      <c r="FA49" s="926"/>
      <c r="FB49" s="926"/>
      <c r="FC49" s="926"/>
      <c r="FD49" s="926"/>
      <c r="FE49" s="926"/>
      <c r="FF49" s="926"/>
      <c r="FG49" s="926"/>
      <c r="FH49" s="926"/>
      <c r="FI49" s="926"/>
      <c r="FJ49" s="926"/>
      <c r="FK49" s="926"/>
      <c r="FL49" s="926"/>
      <c r="FM49" s="926"/>
      <c r="FN49" s="926"/>
      <c r="FO49" s="926"/>
      <c r="FP49" s="926"/>
      <c r="FQ49" s="926"/>
      <c r="FR49" s="926"/>
      <c r="FS49" s="926"/>
      <c r="FT49" s="926"/>
      <c r="FU49" s="926"/>
      <c r="FV49" s="926"/>
      <c r="FW49" s="926"/>
      <c r="FX49" s="926"/>
      <c r="FY49" s="926"/>
      <c r="FZ49" s="926"/>
      <c r="GA49" s="926"/>
      <c r="GB49" s="926"/>
      <c r="GC49" s="926"/>
      <c r="GD49" s="926"/>
      <c r="GE49" s="926"/>
      <c r="GF49" s="926"/>
      <c r="GG49" s="926"/>
      <c r="GH49" s="926"/>
      <c r="GI49" s="926"/>
      <c r="GJ49" s="926"/>
      <c r="GK49" s="926"/>
      <c r="GL49" s="926"/>
      <c r="GM49" s="926"/>
      <c r="GN49" s="926"/>
      <c r="GO49" s="926"/>
      <c r="GP49" s="926"/>
      <c r="GQ49" s="926"/>
      <c r="GR49" s="926"/>
      <c r="GS49" s="926"/>
      <c r="GT49" s="926"/>
      <c r="GU49" s="926"/>
      <c r="GV49" s="926"/>
      <c r="GW49" s="926"/>
      <c r="GX49" s="926"/>
      <c r="GY49" s="926"/>
      <c r="GZ49" s="926"/>
      <c r="HA49" s="926"/>
      <c r="HB49" s="926"/>
      <c r="HC49" s="926"/>
      <c r="HD49" s="926"/>
      <c r="HE49" s="926"/>
      <c r="HF49" s="926"/>
      <c r="HG49" s="926"/>
      <c r="HH49" s="926"/>
      <c r="HI49" s="926"/>
      <c r="HJ49" s="926"/>
      <c r="HK49" s="926"/>
      <c r="HL49" s="926"/>
      <c r="HM49" s="926"/>
      <c r="HN49" s="926"/>
      <c r="HO49" s="926"/>
      <c r="HP49" s="926"/>
      <c r="HQ49" s="926"/>
      <c r="HR49" s="926"/>
      <c r="HS49" s="926"/>
      <c r="HT49" s="926"/>
      <c r="HU49" s="926"/>
      <c r="HV49" s="926"/>
      <c r="HW49" s="926"/>
      <c r="HX49" s="926"/>
      <c r="HY49" s="926"/>
      <c r="HZ49" s="926"/>
      <c r="IA49" s="926"/>
      <c r="IB49" s="926"/>
      <c r="IC49" s="926"/>
      <c r="ID49" s="926"/>
      <c r="IE49" s="926"/>
      <c r="IF49" s="926"/>
      <c r="IG49" s="926"/>
      <c r="IH49" s="926"/>
      <c r="II49" s="926"/>
      <c r="IJ49" s="926"/>
      <c r="IK49" s="926"/>
      <c r="IL49" s="926"/>
      <c r="IM49" s="926"/>
    </row>
    <row r="50" spans="1:247" x14ac:dyDescent="0.45">
      <c r="A50" s="441">
        <v>1773</v>
      </c>
      <c r="B50" s="939" t="s">
        <v>2585</v>
      </c>
      <c r="C50" s="47" t="s">
        <v>773</v>
      </c>
      <c r="D50" s="449" t="s">
        <v>2537</v>
      </c>
      <c r="E50" s="946"/>
      <c r="F50" s="941">
        <f t="shared" si="0"/>
        <v>1.0209999999999999</v>
      </c>
      <c r="G50" s="947">
        <f t="shared" si="6"/>
        <v>1.0269999999999999</v>
      </c>
      <c r="H50" s="946"/>
      <c r="I50" s="948"/>
      <c r="J50" s="948"/>
      <c r="K50" s="948"/>
      <c r="L50" s="948"/>
      <c r="M50" s="948"/>
      <c r="N50" s="947"/>
      <c r="O50" s="949"/>
      <c r="P50" s="946"/>
      <c r="Q50" s="947"/>
      <c r="R50" s="950">
        <f t="shared" si="1"/>
        <v>1.0485669999999998</v>
      </c>
      <c r="S50" s="926"/>
      <c r="T50" s="926"/>
      <c r="U50" s="926"/>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6"/>
      <c r="AV50" s="926"/>
      <c r="AW50" s="926"/>
      <c r="AX50" s="926"/>
      <c r="AY50" s="926"/>
      <c r="AZ50" s="926"/>
      <c r="BA50" s="926"/>
      <c r="BB50" s="926"/>
      <c r="BC50" s="926"/>
      <c r="BD50" s="926"/>
      <c r="BE50" s="926"/>
      <c r="BF50" s="926"/>
      <c r="BG50" s="926"/>
      <c r="BH50" s="926"/>
      <c r="BI50" s="926"/>
      <c r="BJ50" s="926"/>
      <c r="BK50" s="926"/>
      <c r="BL50" s="926"/>
      <c r="BM50" s="926"/>
      <c r="BN50" s="926"/>
      <c r="BO50" s="926"/>
      <c r="BP50" s="926"/>
      <c r="BQ50" s="926"/>
      <c r="BR50" s="926"/>
      <c r="BS50" s="926"/>
      <c r="BT50" s="926"/>
      <c r="BU50" s="926"/>
      <c r="BV50" s="926"/>
      <c r="BW50" s="926"/>
      <c r="BX50" s="926"/>
      <c r="BY50" s="926"/>
      <c r="BZ50" s="926"/>
      <c r="CA50" s="926"/>
      <c r="CB50" s="926"/>
      <c r="CC50" s="926"/>
      <c r="CD50" s="926"/>
      <c r="CE50" s="926"/>
      <c r="CF50" s="926"/>
      <c r="CG50" s="926"/>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926"/>
      <c r="DH50" s="926"/>
      <c r="DI50" s="926"/>
      <c r="DJ50" s="926"/>
      <c r="DK50" s="926"/>
      <c r="DL50" s="926"/>
      <c r="DM50" s="926"/>
      <c r="DN50" s="926"/>
      <c r="DO50" s="926"/>
      <c r="DP50" s="926"/>
      <c r="DQ50" s="926"/>
      <c r="DR50" s="926"/>
      <c r="DS50" s="926"/>
      <c r="DT50" s="926"/>
      <c r="DU50" s="926"/>
      <c r="DV50" s="926"/>
      <c r="DW50" s="926"/>
      <c r="DX50" s="926"/>
      <c r="DY50" s="926"/>
      <c r="DZ50" s="926"/>
      <c r="EA50" s="926"/>
      <c r="EB50" s="926"/>
      <c r="EC50" s="926"/>
      <c r="ED50" s="926"/>
      <c r="EE50" s="926"/>
      <c r="EF50" s="926"/>
      <c r="EG50" s="926"/>
      <c r="EH50" s="926"/>
      <c r="EI50" s="926"/>
      <c r="EJ50" s="926"/>
      <c r="EK50" s="926"/>
      <c r="EL50" s="926"/>
      <c r="EM50" s="926"/>
      <c r="EN50" s="926"/>
      <c r="EO50" s="926"/>
      <c r="EP50" s="926"/>
      <c r="EQ50" s="926"/>
      <c r="ER50" s="926"/>
      <c r="ES50" s="926"/>
      <c r="ET50" s="926"/>
      <c r="EU50" s="926"/>
      <c r="EV50" s="926"/>
      <c r="EW50" s="926"/>
      <c r="EX50" s="926"/>
      <c r="EY50" s="926"/>
      <c r="EZ50" s="926"/>
      <c r="FA50" s="926"/>
      <c r="FB50" s="926"/>
      <c r="FC50" s="926"/>
      <c r="FD50" s="926"/>
      <c r="FE50" s="926"/>
      <c r="FF50" s="926"/>
      <c r="FG50" s="926"/>
      <c r="FH50" s="926"/>
      <c r="FI50" s="926"/>
      <c r="FJ50" s="926"/>
      <c r="FK50" s="926"/>
      <c r="FL50" s="926"/>
      <c r="FM50" s="926"/>
      <c r="FN50" s="926"/>
      <c r="FO50" s="926"/>
      <c r="FP50" s="926"/>
      <c r="FQ50" s="926"/>
      <c r="FR50" s="926"/>
      <c r="FS50" s="926"/>
      <c r="FT50" s="926"/>
      <c r="FU50" s="926"/>
      <c r="FV50" s="926"/>
      <c r="FW50" s="926"/>
      <c r="FX50" s="926"/>
      <c r="FY50" s="926"/>
      <c r="FZ50" s="926"/>
      <c r="GA50" s="926"/>
      <c r="GB50" s="926"/>
      <c r="GC50" s="926"/>
      <c r="GD50" s="926"/>
      <c r="GE50" s="926"/>
      <c r="GF50" s="926"/>
      <c r="GG50" s="926"/>
      <c r="GH50" s="926"/>
      <c r="GI50" s="926"/>
      <c r="GJ50" s="926"/>
      <c r="GK50" s="926"/>
      <c r="GL50" s="926"/>
      <c r="GM50" s="926"/>
      <c r="GN50" s="926"/>
      <c r="GO50" s="926"/>
      <c r="GP50" s="926"/>
      <c r="GQ50" s="926"/>
      <c r="GR50" s="926"/>
      <c r="GS50" s="926"/>
      <c r="GT50" s="926"/>
      <c r="GU50" s="926"/>
      <c r="GV50" s="926"/>
      <c r="GW50" s="926"/>
      <c r="GX50" s="926"/>
      <c r="GY50" s="926"/>
      <c r="GZ50" s="926"/>
      <c r="HA50" s="926"/>
      <c r="HB50" s="926"/>
      <c r="HC50" s="926"/>
      <c r="HD50" s="926"/>
      <c r="HE50" s="926"/>
      <c r="HF50" s="926"/>
      <c r="HG50" s="926"/>
      <c r="HH50" s="926"/>
      <c r="HI50" s="926"/>
      <c r="HJ50" s="926"/>
      <c r="HK50" s="926"/>
      <c r="HL50" s="926"/>
      <c r="HM50" s="926"/>
      <c r="HN50" s="926"/>
      <c r="HO50" s="926"/>
      <c r="HP50" s="926"/>
      <c r="HQ50" s="926"/>
      <c r="HR50" s="926"/>
      <c r="HS50" s="926"/>
      <c r="HT50" s="926"/>
      <c r="HU50" s="926"/>
      <c r="HV50" s="926"/>
      <c r="HW50" s="926"/>
      <c r="HX50" s="926"/>
      <c r="HY50" s="926"/>
      <c r="HZ50" s="926"/>
      <c r="IA50" s="926"/>
      <c r="IB50" s="926"/>
      <c r="IC50" s="926"/>
      <c r="ID50" s="926"/>
      <c r="IE50" s="926"/>
      <c r="IF50" s="926"/>
      <c r="IG50" s="926"/>
      <c r="IH50" s="926"/>
      <c r="II50" s="926"/>
      <c r="IJ50" s="926"/>
      <c r="IK50" s="926"/>
      <c r="IL50" s="926"/>
      <c r="IM50" s="926"/>
    </row>
    <row r="51" spans="1:247" x14ac:dyDescent="0.45">
      <c r="A51" s="441">
        <v>1774</v>
      </c>
      <c r="B51" s="939" t="s">
        <v>2586</v>
      </c>
      <c r="C51" s="47" t="s">
        <v>88</v>
      </c>
      <c r="D51" s="449" t="s">
        <v>2537</v>
      </c>
      <c r="E51" s="946"/>
      <c r="F51" s="941">
        <f t="shared" si="0"/>
        <v>1.0209999999999999</v>
      </c>
      <c r="G51" s="947">
        <f t="shared" si="6"/>
        <v>1.0269999999999999</v>
      </c>
      <c r="H51" s="946"/>
      <c r="I51" s="948"/>
      <c r="J51" s="948"/>
      <c r="K51" s="948"/>
      <c r="L51" s="948"/>
      <c r="M51" s="948"/>
      <c r="N51" s="947"/>
      <c r="O51" s="949"/>
      <c r="P51" s="946"/>
      <c r="Q51" s="947"/>
      <c r="R51" s="950">
        <f t="shared" si="1"/>
        <v>1.0485669999999998</v>
      </c>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6"/>
      <c r="AV51" s="926"/>
      <c r="AW51" s="926"/>
      <c r="AX51" s="926"/>
      <c r="AY51" s="926"/>
      <c r="AZ51" s="926"/>
      <c r="BA51" s="926"/>
      <c r="BB51" s="926"/>
      <c r="BC51" s="926"/>
      <c r="BD51" s="926"/>
      <c r="BE51" s="926"/>
      <c r="BF51" s="926"/>
      <c r="BG51" s="926"/>
      <c r="BH51" s="926"/>
      <c r="BI51" s="926"/>
      <c r="BJ51" s="926"/>
      <c r="BK51" s="926"/>
      <c r="BL51" s="926"/>
      <c r="BM51" s="926"/>
      <c r="BN51" s="926"/>
      <c r="BO51" s="926"/>
      <c r="BP51" s="926"/>
      <c r="BQ51" s="926"/>
      <c r="BR51" s="926"/>
      <c r="BS51" s="926"/>
      <c r="BT51" s="926"/>
      <c r="BU51" s="926"/>
      <c r="BV51" s="926"/>
      <c r="BW51" s="926"/>
      <c r="BX51" s="926"/>
      <c r="BY51" s="926"/>
      <c r="BZ51" s="926"/>
      <c r="CA51" s="926"/>
      <c r="CB51" s="926"/>
      <c r="CC51" s="926"/>
      <c r="CD51" s="926"/>
      <c r="CE51" s="926"/>
      <c r="CF51" s="926"/>
      <c r="CG51" s="926"/>
      <c r="CH51" s="926"/>
      <c r="CI51" s="926"/>
      <c r="CJ51" s="926"/>
      <c r="CK51" s="926"/>
      <c r="CL51" s="926"/>
      <c r="CM51" s="926"/>
      <c r="CN51" s="926"/>
      <c r="CO51" s="926"/>
      <c r="CP51" s="926"/>
      <c r="CQ51" s="926"/>
      <c r="CR51" s="926"/>
      <c r="CS51" s="926"/>
      <c r="CT51" s="926"/>
      <c r="CU51" s="926"/>
      <c r="CV51" s="926"/>
      <c r="CW51" s="926"/>
      <c r="CX51" s="926"/>
      <c r="CY51" s="926"/>
      <c r="CZ51" s="926"/>
      <c r="DA51" s="926"/>
      <c r="DB51" s="926"/>
      <c r="DC51" s="926"/>
      <c r="DD51" s="926"/>
      <c r="DE51" s="926"/>
      <c r="DF51" s="926"/>
      <c r="DG51" s="926"/>
      <c r="DH51" s="926"/>
      <c r="DI51" s="926"/>
      <c r="DJ51" s="926"/>
      <c r="DK51" s="926"/>
      <c r="DL51" s="926"/>
      <c r="DM51" s="926"/>
      <c r="DN51" s="926"/>
      <c r="DO51" s="926"/>
      <c r="DP51" s="926"/>
      <c r="DQ51" s="926"/>
      <c r="DR51" s="926"/>
      <c r="DS51" s="926"/>
      <c r="DT51" s="926"/>
      <c r="DU51" s="926"/>
      <c r="DV51" s="926"/>
      <c r="DW51" s="926"/>
      <c r="DX51" s="926"/>
      <c r="DY51" s="926"/>
      <c r="DZ51" s="926"/>
      <c r="EA51" s="926"/>
      <c r="EB51" s="926"/>
      <c r="EC51" s="926"/>
      <c r="ED51" s="926"/>
      <c r="EE51" s="926"/>
      <c r="EF51" s="926"/>
      <c r="EG51" s="926"/>
      <c r="EH51" s="926"/>
      <c r="EI51" s="926"/>
      <c r="EJ51" s="926"/>
      <c r="EK51" s="926"/>
      <c r="EL51" s="926"/>
      <c r="EM51" s="926"/>
      <c r="EN51" s="926"/>
      <c r="EO51" s="926"/>
      <c r="EP51" s="926"/>
      <c r="EQ51" s="926"/>
      <c r="ER51" s="926"/>
      <c r="ES51" s="926"/>
      <c r="ET51" s="926"/>
      <c r="EU51" s="926"/>
      <c r="EV51" s="926"/>
      <c r="EW51" s="926"/>
      <c r="EX51" s="926"/>
      <c r="EY51" s="926"/>
      <c r="EZ51" s="926"/>
      <c r="FA51" s="926"/>
      <c r="FB51" s="926"/>
      <c r="FC51" s="926"/>
      <c r="FD51" s="926"/>
      <c r="FE51" s="926"/>
      <c r="FF51" s="926"/>
      <c r="FG51" s="926"/>
      <c r="FH51" s="926"/>
      <c r="FI51" s="926"/>
      <c r="FJ51" s="926"/>
      <c r="FK51" s="926"/>
      <c r="FL51" s="926"/>
      <c r="FM51" s="926"/>
      <c r="FN51" s="926"/>
      <c r="FO51" s="926"/>
      <c r="FP51" s="926"/>
      <c r="FQ51" s="926"/>
      <c r="FR51" s="926"/>
      <c r="FS51" s="926"/>
      <c r="FT51" s="926"/>
      <c r="FU51" s="926"/>
      <c r="FV51" s="926"/>
      <c r="FW51" s="926"/>
      <c r="FX51" s="926"/>
      <c r="FY51" s="926"/>
      <c r="FZ51" s="926"/>
      <c r="GA51" s="926"/>
      <c r="GB51" s="926"/>
      <c r="GC51" s="926"/>
      <c r="GD51" s="926"/>
      <c r="GE51" s="926"/>
      <c r="GF51" s="926"/>
      <c r="GG51" s="926"/>
      <c r="GH51" s="926"/>
      <c r="GI51" s="926"/>
      <c r="GJ51" s="926"/>
      <c r="GK51" s="926"/>
      <c r="GL51" s="926"/>
      <c r="GM51" s="926"/>
      <c r="GN51" s="926"/>
      <c r="GO51" s="926"/>
      <c r="GP51" s="926"/>
      <c r="GQ51" s="926"/>
      <c r="GR51" s="926"/>
      <c r="GS51" s="926"/>
      <c r="GT51" s="926"/>
      <c r="GU51" s="926"/>
      <c r="GV51" s="926"/>
      <c r="GW51" s="926"/>
      <c r="GX51" s="926"/>
      <c r="GY51" s="926"/>
      <c r="GZ51" s="926"/>
      <c r="HA51" s="926"/>
      <c r="HB51" s="926"/>
      <c r="HC51" s="926"/>
      <c r="HD51" s="926"/>
      <c r="HE51" s="926"/>
      <c r="HF51" s="926"/>
      <c r="HG51" s="926"/>
      <c r="HH51" s="926"/>
      <c r="HI51" s="926"/>
      <c r="HJ51" s="926"/>
      <c r="HK51" s="926"/>
      <c r="HL51" s="926"/>
      <c r="HM51" s="926"/>
      <c r="HN51" s="926"/>
      <c r="HO51" s="926"/>
      <c r="HP51" s="926"/>
      <c r="HQ51" s="926"/>
      <c r="HR51" s="926"/>
      <c r="HS51" s="926"/>
      <c r="HT51" s="926"/>
      <c r="HU51" s="926"/>
      <c r="HV51" s="926"/>
      <c r="HW51" s="926"/>
      <c r="HX51" s="926"/>
      <c r="HY51" s="926"/>
      <c r="HZ51" s="926"/>
      <c r="IA51" s="926"/>
      <c r="IB51" s="926"/>
      <c r="IC51" s="926"/>
      <c r="ID51" s="926"/>
      <c r="IE51" s="926"/>
      <c r="IF51" s="926"/>
      <c r="IG51" s="926"/>
      <c r="IH51" s="926"/>
      <c r="II51" s="926"/>
      <c r="IJ51" s="926"/>
      <c r="IK51" s="926"/>
      <c r="IL51" s="926"/>
      <c r="IM51" s="926"/>
    </row>
    <row r="52" spans="1:247" x14ac:dyDescent="0.45">
      <c r="A52" s="441">
        <v>1775</v>
      </c>
      <c r="B52" s="939" t="s">
        <v>2587</v>
      </c>
      <c r="C52" s="47" t="s">
        <v>88</v>
      </c>
      <c r="D52" s="449" t="s">
        <v>2537</v>
      </c>
      <c r="E52" s="946"/>
      <c r="F52" s="941">
        <f t="shared" si="0"/>
        <v>1.0209999999999999</v>
      </c>
      <c r="G52" s="947">
        <f t="shared" si="6"/>
        <v>1.0269999999999999</v>
      </c>
      <c r="H52" s="946"/>
      <c r="I52" s="948"/>
      <c r="J52" s="948"/>
      <c r="K52" s="948"/>
      <c r="L52" s="948"/>
      <c r="M52" s="948"/>
      <c r="N52" s="947"/>
      <c r="O52" s="949"/>
      <c r="P52" s="946"/>
      <c r="Q52" s="947"/>
      <c r="R52" s="950">
        <f t="shared" si="1"/>
        <v>1.0485669999999998</v>
      </c>
      <c r="S52" s="926"/>
      <c r="T52" s="926"/>
      <c r="U52" s="926"/>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6"/>
      <c r="AV52" s="926"/>
      <c r="AW52" s="926"/>
      <c r="AX52" s="926"/>
      <c r="AY52" s="926"/>
      <c r="AZ52" s="926"/>
      <c r="BA52" s="926"/>
      <c r="BB52" s="926"/>
      <c r="BC52" s="926"/>
      <c r="BD52" s="926"/>
      <c r="BE52" s="926"/>
      <c r="BF52" s="926"/>
      <c r="BG52" s="926"/>
      <c r="BH52" s="926"/>
      <c r="BI52" s="926"/>
      <c r="BJ52" s="926"/>
      <c r="BK52" s="926"/>
      <c r="BL52" s="926"/>
      <c r="BM52" s="926"/>
      <c r="BN52" s="926"/>
      <c r="BO52" s="926"/>
      <c r="BP52" s="926"/>
      <c r="BQ52" s="926"/>
      <c r="BR52" s="926"/>
      <c r="BS52" s="926"/>
      <c r="BT52" s="926"/>
      <c r="BU52" s="926"/>
      <c r="BV52" s="926"/>
      <c r="BW52" s="926"/>
      <c r="BX52" s="926"/>
      <c r="BY52" s="926"/>
      <c r="BZ52" s="926"/>
      <c r="CA52" s="926"/>
      <c r="CB52" s="926"/>
      <c r="CC52" s="926"/>
      <c r="CD52" s="926"/>
      <c r="CE52" s="926"/>
      <c r="CF52" s="926"/>
      <c r="CG52" s="926"/>
      <c r="CH52" s="926"/>
      <c r="CI52" s="926"/>
      <c r="CJ52" s="926"/>
      <c r="CK52" s="926"/>
      <c r="CL52" s="926"/>
      <c r="CM52" s="926"/>
      <c r="CN52" s="926"/>
      <c r="CO52" s="926"/>
      <c r="CP52" s="926"/>
      <c r="CQ52" s="926"/>
      <c r="CR52" s="926"/>
      <c r="CS52" s="926"/>
      <c r="CT52" s="926"/>
      <c r="CU52" s="926"/>
      <c r="CV52" s="926"/>
      <c r="CW52" s="926"/>
      <c r="CX52" s="926"/>
      <c r="CY52" s="926"/>
      <c r="CZ52" s="926"/>
      <c r="DA52" s="926"/>
      <c r="DB52" s="926"/>
      <c r="DC52" s="926"/>
      <c r="DD52" s="926"/>
      <c r="DE52" s="926"/>
      <c r="DF52" s="926"/>
      <c r="DG52" s="926"/>
      <c r="DH52" s="926"/>
      <c r="DI52" s="926"/>
      <c r="DJ52" s="926"/>
      <c r="DK52" s="926"/>
      <c r="DL52" s="926"/>
      <c r="DM52" s="926"/>
      <c r="DN52" s="926"/>
      <c r="DO52" s="926"/>
      <c r="DP52" s="926"/>
      <c r="DQ52" s="926"/>
      <c r="DR52" s="926"/>
      <c r="DS52" s="926"/>
      <c r="DT52" s="926"/>
      <c r="DU52" s="926"/>
      <c r="DV52" s="926"/>
      <c r="DW52" s="926"/>
      <c r="DX52" s="926"/>
      <c r="DY52" s="926"/>
      <c r="DZ52" s="926"/>
      <c r="EA52" s="926"/>
      <c r="EB52" s="926"/>
      <c r="EC52" s="926"/>
      <c r="ED52" s="926"/>
      <c r="EE52" s="926"/>
      <c r="EF52" s="926"/>
      <c r="EG52" s="926"/>
      <c r="EH52" s="926"/>
      <c r="EI52" s="926"/>
      <c r="EJ52" s="926"/>
      <c r="EK52" s="926"/>
      <c r="EL52" s="926"/>
      <c r="EM52" s="926"/>
      <c r="EN52" s="926"/>
      <c r="EO52" s="926"/>
      <c r="EP52" s="926"/>
      <c r="EQ52" s="926"/>
      <c r="ER52" s="926"/>
      <c r="ES52" s="926"/>
      <c r="ET52" s="926"/>
      <c r="EU52" s="926"/>
      <c r="EV52" s="926"/>
      <c r="EW52" s="926"/>
      <c r="EX52" s="926"/>
      <c r="EY52" s="926"/>
      <c r="EZ52" s="926"/>
      <c r="FA52" s="926"/>
      <c r="FB52" s="926"/>
      <c r="FC52" s="926"/>
      <c r="FD52" s="926"/>
      <c r="FE52" s="926"/>
      <c r="FF52" s="926"/>
      <c r="FG52" s="926"/>
      <c r="FH52" s="926"/>
      <c r="FI52" s="926"/>
      <c r="FJ52" s="926"/>
      <c r="FK52" s="926"/>
      <c r="FL52" s="926"/>
      <c r="FM52" s="926"/>
      <c r="FN52" s="926"/>
      <c r="FO52" s="926"/>
      <c r="FP52" s="926"/>
      <c r="FQ52" s="926"/>
      <c r="FR52" s="926"/>
      <c r="FS52" s="926"/>
      <c r="FT52" s="926"/>
      <c r="FU52" s="926"/>
      <c r="FV52" s="926"/>
      <c r="FW52" s="926"/>
      <c r="FX52" s="926"/>
      <c r="FY52" s="926"/>
      <c r="FZ52" s="926"/>
      <c r="GA52" s="926"/>
      <c r="GB52" s="926"/>
      <c r="GC52" s="926"/>
      <c r="GD52" s="926"/>
      <c r="GE52" s="926"/>
      <c r="GF52" s="926"/>
      <c r="GG52" s="926"/>
      <c r="GH52" s="926"/>
      <c r="GI52" s="926"/>
      <c r="GJ52" s="926"/>
      <c r="GK52" s="926"/>
      <c r="GL52" s="926"/>
      <c r="GM52" s="926"/>
      <c r="GN52" s="926"/>
      <c r="GO52" s="926"/>
      <c r="GP52" s="926"/>
      <c r="GQ52" s="926"/>
      <c r="GR52" s="926"/>
      <c r="GS52" s="926"/>
      <c r="GT52" s="926"/>
      <c r="GU52" s="926"/>
      <c r="GV52" s="926"/>
      <c r="GW52" s="926"/>
      <c r="GX52" s="926"/>
      <c r="GY52" s="926"/>
      <c r="GZ52" s="926"/>
      <c r="HA52" s="926"/>
      <c r="HB52" s="926"/>
      <c r="HC52" s="926"/>
      <c r="HD52" s="926"/>
      <c r="HE52" s="926"/>
      <c r="HF52" s="926"/>
      <c r="HG52" s="926"/>
      <c r="HH52" s="926"/>
      <c r="HI52" s="926"/>
      <c r="HJ52" s="926"/>
      <c r="HK52" s="926"/>
      <c r="HL52" s="926"/>
      <c r="HM52" s="926"/>
      <c r="HN52" s="926"/>
      <c r="HO52" s="926"/>
      <c r="HP52" s="926"/>
      <c r="HQ52" s="926"/>
      <c r="HR52" s="926"/>
      <c r="HS52" s="926"/>
      <c r="HT52" s="926"/>
      <c r="HU52" s="926"/>
      <c r="HV52" s="926"/>
      <c r="HW52" s="926"/>
      <c r="HX52" s="926"/>
      <c r="HY52" s="926"/>
      <c r="HZ52" s="926"/>
      <c r="IA52" s="926"/>
      <c r="IB52" s="926"/>
      <c r="IC52" s="926"/>
      <c r="ID52" s="926"/>
      <c r="IE52" s="926"/>
      <c r="IF52" s="926"/>
      <c r="IG52" s="926"/>
      <c r="IH52" s="926"/>
      <c r="II52" s="926"/>
      <c r="IJ52" s="926"/>
      <c r="IK52" s="926"/>
      <c r="IL52" s="926"/>
      <c r="IM52" s="926"/>
    </row>
    <row r="53" spans="1:247" x14ac:dyDescent="0.45">
      <c r="A53" s="441">
        <v>1776</v>
      </c>
      <c r="B53" s="939" t="s">
        <v>2588</v>
      </c>
      <c r="C53" s="47" t="s">
        <v>88</v>
      </c>
      <c r="D53" s="449" t="s">
        <v>2537</v>
      </c>
      <c r="E53" s="946"/>
      <c r="F53" s="941">
        <f t="shared" si="0"/>
        <v>1.0209999999999999</v>
      </c>
      <c r="G53" s="947">
        <f t="shared" si="6"/>
        <v>1.0269999999999999</v>
      </c>
      <c r="H53" s="946"/>
      <c r="I53" s="948"/>
      <c r="J53" s="948"/>
      <c r="K53" s="948"/>
      <c r="L53" s="948"/>
      <c r="M53" s="948"/>
      <c r="N53" s="947"/>
      <c r="O53" s="949"/>
      <c r="P53" s="946">
        <f>+$P$3</f>
        <v>1.032</v>
      </c>
      <c r="Q53" s="947"/>
      <c r="R53" s="950">
        <f t="shared" si="1"/>
        <v>1.0821211439999998</v>
      </c>
      <c r="S53" s="926"/>
      <c r="T53" s="926"/>
      <c r="U53" s="926"/>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6"/>
      <c r="AV53" s="926"/>
      <c r="AW53" s="926"/>
      <c r="AX53" s="926"/>
      <c r="AY53" s="926"/>
      <c r="AZ53" s="926"/>
      <c r="BA53" s="926"/>
      <c r="BB53" s="926"/>
      <c r="BC53" s="926"/>
      <c r="BD53" s="926"/>
      <c r="BE53" s="926"/>
      <c r="BF53" s="926"/>
      <c r="BG53" s="926"/>
      <c r="BH53" s="926"/>
      <c r="BI53" s="926"/>
      <c r="BJ53" s="926"/>
      <c r="BK53" s="926"/>
      <c r="BL53" s="926"/>
      <c r="BM53" s="926"/>
      <c r="BN53" s="926"/>
      <c r="BO53" s="926"/>
      <c r="BP53" s="926"/>
      <c r="BQ53" s="926"/>
      <c r="BR53" s="926"/>
      <c r="BS53" s="926"/>
      <c r="BT53" s="926"/>
      <c r="BU53" s="926"/>
      <c r="BV53" s="926"/>
      <c r="BW53" s="926"/>
      <c r="BX53" s="926"/>
      <c r="BY53" s="926"/>
      <c r="BZ53" s="926"/>
      <c r="CA53" s="926"/>
      <c r="CB53" s="926"/>
      <c r="CC53" s="926"/>
      <c r="CD53" s="926"/>
      <c r="CE53" s="926"/>
      <c r="CF53" s="926"/>
      <c r="CG53" s="926"/>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926"/>
      <c r="DH53" s="926"/>
      <c r="DI53" s="926"/>
      <c r="DJ53" s="926"/>
      <c r="DK53" s="926"/>
      <c r="DL53" s="926"/>
      <c r="DM53" s="926"/>
      <c r="DN53" s="926"/>
      <c r="DO53" s="926"/>
      <c r="DP53" s="926"/>
      <c r="DQ53" s="926"/>
      <c r="DR53" s="926"/>
      <c r="DS53" s="926"/>
      <c r="DT53" s="926"/>
      <c r="DU53" s="926"/>
      <c r="DV53" s="926"/>
      <c r="DW53" s="926"/>
      <c r="DX53" s="926"/>
      <c r="DY53" s="926"/>
      <c r="DZ53" s="926"/>
      <c r="EA53" s="926"/>
      <c r="EB53" s="926"/>
      <c r="EC53" s="926"/>
      <c r="ED53" s="926"/>
      <c r="EE53" s="926"/>
      <c r="EF53" s="926"/>
      <c r="EG53" s="926"/>
      <c r="EH53" s="926"/>
      <c r="EI53" s="926"/>
      <c r="EJ53" s="926"/>
      <c r="EK53" s="926"/>
      <c r="EL53" s="926"/>
      <c r="EM53" s="926"/>
      <c r="EN53" s="926"/>
      <c r="EO53" s="926"/>
      <c r="EP53" s="926"/>
      <c r="EQ53" s="926"/>
      <c r="ER53" s="926"/>
      <c r="ES53" s="926"/>
      <c r="ET53" s="926"/>
      <c r="EU53" s="926"/>
      <c r="EV53" s="926"/>
      <c r="EW53" s="926"/>
      <c r="EX53" s="926"/>
      <c r="EY53" s="926"/>
      <c r="EZ53" s="926"/>
      <c r="FA53" s="926"/>
      <c r="FB53" s="926"/>
      <c r="FC53" s="926"/>
      <c r="FD53" s="926"/>
      <c r="FE53" s="926"/>
      <c r="FF53" s="926"/>
      <c r="FG53" s="926"/>
      <c r="FH53" s="926"/>
      <c r="FI53" s="926"/>
      <c r="FJ53" s="926"/>
      <c r="FK53" s="926"/>
      <c r="FL53" s="926"/>
      <c r="FM53" s="926"/>
      <c r="FN53" s="926"/>
      <c r="FO53" s="926"/>
      <c r="FP53" s="926"/>
      <c r="FQ53" s="926"/>
      <c r="FR53" s="926"/>
      <c r="FS53" s="926"/>
      <c r="FT53" s="926"/>
      <c r="FU53" s="926"/>
      <c r="FV53" s="926"/>
      <c r="FW53" s="926"/>
      <c r="FX53" s="926"/>
      <c r="FY53" s="926"/>
      <c r="FZ53" s="926"/>
      <c r="GA53" s="926"/>
      <c r="GB53" s="926"/>
      <c r="GC53" s="926"/>
      <c r="GD53" s="926"/>
      <c r="GE53" s="926"/>
      <c r="GF53" s="926"/>
      <c r="GG53" s="926"/>
      <c r="GH53" s="926"/>
      <c r="GI53" s="926"/>
      <c r="GJ53" s="926"/>
      <c r="GK53" s="926"/>
      <c r="GL53" s="926"/>
      <c r="GM53" s="926"/>
      <c r="GN53" s="926"/>
      <c r="GO53" s="926"/>
      <c r="GP53" s="926"/>
      <c r="GQ53" s="926"/>
      <c r="GR53" s="926"/>
      <c r="GS53" s="926"/>
      <c r="GT53" s="926"/>
      <c r="GU53" s="926"/>
      <c r="GV53" s="926"/>
      <c r="GW53" s="926"/>
      <c r="GX53" s="926"/>
      <c r="GY53" s="926"/>
      <c r="GZ53" s="926"/>
      <c r="HA53" s="926"/>
      <c r="HB53" s="926"/>
      <c r="HC53" s="926"/>
      <c r="HD53" s="926"/>
      <c r="HE53" s="926"/>
      <c r="HF53" s="926"/>
      <c r="HG53" s="926"/>
      <c r="HH53" s="926"/>
      <c r="HI53" s="926"/>
      <c r="HJ53" s="926"/>
      <c r="HK53" s="926"/>
      <c r="HL53" s="926"/>
      <c r="HM53" s="926"/>
      <c r="HN53" s="926"/>
      <c r="HO53" s="926"/>
      <c r="HP53" s="926"/>
      <c r="HQ53" s="926"/>
      <c r="HR53" s="926"/>
      <c r="HS53" s="926"/>
      <c r="HT53" s="926"/>
      <c r="HU53" s="926"/>
      <c r="HV53" s="926"/>
      <c r="HW53" s="926"/>
      <c r="HX53" s="926"/>
      <c r="HY53" s="926"/>
      <c r="HZ53" s="926"/>
      <c r="IA53" s="926"/>
      <c r="IB53" s="926"/>
      <c r="IC53" s="926"/>
      <c r="ID53" s="926"/>
      <c r="IE53" s="926"/>
      <c r="IF53" s="926"/>
      <c r="IG53" s="926"/>
      <c r="IH53" s="926"/>
      <c r="II53" s="926"/>
      <c r="IJ53" s="926"/>
      <c r="IK53" s="926"/>
      <c r="IL53" s="926"/>
      <c r="IM53" s="926"/>
    </row>
    <row r="54" spans="1:247" x14ac:dyDescent="0.45">
      <c r="A54" s="441">
        <v>1777</v>
      </c>
      <c r="B54" s="939" t="s">
        <v>2589</v>
      </c>
      <c r="C54" s="47" t="s">
        <v>699</v>
      </c>
      <c r="D54" s="449" t="s">
        <v>2537</v>
      </c>
      <c r="E54" s="946"/>
      <c r="F54" s="941">
        <f t="shared" si="0"/>
        <v>1.0209999999999999</v>
      </c>
      <c r="G54" s="947">
        <f t="shared" si="6"/>
        <v>1.0269999999999999</v>
      </c>
      <c r="H54" s="946"/>
      <c r="I54" s="948"/>
      <c r="J54" s="948"/>
      <c r="K54" s="948"/>
      <c r="L54" s="948"/>
      <c r="M54" s="948"/>
      <c r="N54" s="947"/>
      <c r="O54" s="949"/>
      <c r="P54" s="946"/>
      <c r="Q54" s="947"/>
      <c r="R54" s="950">
        <f t="shared" si="1"/>
        <v>1.0485669999999998</v>
      </c>
      <c r="S54" s="926"/>
      <c r="T54" s="926"/>
      <c r="U54" s="926"/>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6"/>
      <c r="AV54" s="926"/>
      <c r="AW54" s="926"/>
      <c r="AX54" s="926"/>
      <c r="AY54" s="926"/>
      <c r="AZ54" s="926"/>
      <c r="BA54" s="926"/>
      <c r="BB54" s="926"/>
      <c r="BC54" s="926"/>
      <c r="BD54" s="926"/>
      <c r="BE54" s="926"/>
      <c r="BF54" s="926"/>
      <c r="BG54" s="926"/>
      <c r="BH54" s="926"/>
      <c r="BI54" s="926"/>
      <c r="BJ54" s="926"/>
      <c r="BK54" s="926"/>
      <c r="BL54" s="926"/>
      <c r="BM54" s="926"/>
      <c r="BN54" s="926"/>
      <c r="BO54" s="926"/>
      <c r="BP54" s="926"/>
      <c r="BQ54" s="926"/>
      <c r="BR54" s="926"/>
      <c r="BS54" s="926"/>
      <c r="BT54" s="926"/>
      <c r="BU54" s="926"/>
      <c r="BV54" s="926"/>
      <c r="BW54" s="926"/>
      <c r="BX54" s="926"/>
      <c r="BY54" s="926"/>
      <c r="BZ54" s="926"/>
      <c r="CA54" s="926"/>
      <c r="CB54" s="926"/>
      <c r="CC54" s="926"/>
      <c r="CD54" s="926"/>
      <c r="CE54" s="926"/>
      <c r="CF54" s="926"/>
      <c r="CG54" s="926"/>
      <c r="CH54" s="926"/>
      <c r="CI54" s="926"/>
      <c r="CJ54" s="926"/>
      <c r="CK54" s="926"/>
      <c r="CL54" s="926"/>
      <c r="CM54" s="926"/>
      <c r="CN54" s="926"/>
      <c r="CO54" s="926"/>
      <c r="CP54" s="926"/>
      <c r="CQ54" s="926"/>
      <c r="CR54" s="926"/>
      <c r="CS54" s="926"/>
      <c r="CT54" s="926"/>
      <c r="CU54" s="926"/>
      <c r="CV54" s="926"/>
      <c r="CW54" s="926"/>
      <c r="CX54" s="926"/>
      <c r="CY54" s="926"/>
      <c r="CZ54" s="926"/>
      <c r="DA54" s="926"/>
      <c r="DB54" s="926"/>
      <c r="DC54" s="926"/>
      <c r="DD54" s="926"/>
      <c r="DE54" s="926"/>
      <c r="DF54" s="926"/>
      <c r="DG54" s="926"/>
      <c r="DH54" s="926"/>
      <c r="DI54" s="926"/>
      <c r="DJ54" s="926"/>
      <c r="DK54" s="926"/>
      <c r="DL54" s="926"/>
      <c r="DM54" s="926"/>
      <c r="DN54" s="926"/>
      <c r="DO54" s="926"/>
      <c r="DP54" s="926"/>
      <c r="DQ54" s="926"/>
      <c r="DR54" s="926"/>
      <c r="DS54" s="926"/>
      <c r="DT54" s="926"/>
      <c r="DU54" s="926"/>
      <c r="DV54" s="926"/>
      <c r="DW54" s="926"/>
      <c r="DX54" s="926"/>
      <c r="DY54" s="926"/>
      <c r="DZ54" s="926"/>
      <c r="EA54" s="926"/>
      <c r="EB54" s="926"/>
      <c r="EC54" s="926"/>
      <c r="ED54" s="926"/>
      <c r="EE54" s="926"/>
      <c r="EF54" s="926"/>
      <c r="EG54" s="926"/>
      <c r="EH54" s="926"/>
      <c r="EI54" s="926"/>
      <c r="EJ54" s="926"/>
      <c r="EK54" s="926"/>
      <c r="EL54" s="926"/>
      <c r="EM54" s="926"/>
      <c r="EN54" s="926"/>
      <c r="EO54" s="926"/>
      <c r="EP54" s="926"/>
      <c r="EQ54" s="926"/>
      <c r="ER54" s="926"/>
      <c r="ES54" s="926"/>
      <c r="ET54" s="926"/>
      <c r="EU54" s="926"/>
      <c r="EV54" s="926"/>
      <c r="EW54" s="926"/>
      <c r="EX54" s="926"/>
      <c r="EY54" s="926"/>
      <c r="EZ54" s="926"/>
      <c r="FA54" s="926"/>
      <c r="FB54" s="926"/>
      <c r="FC54" s="926"/>
      <c r="FD54" s="926"/>
      <c r="FE54" s="926"/>
      <c r="FF54" s="926"/>
      <c r="FG54" s="926"/>
      <c r="FH54" s="926"/>
      <c r="FI54" s="926"/>
      <c r="FJ54" s="926"/>
      <c r="FK54" s="926"/>
      <c r="FL54" s="926"/>
      <c r="FM54" s="926"/>
      <c r="FN54" s="926"/>
      <c r="FO54" s="926"/>
      <c r="FP54" s="926"/>
      <c r="FQ54" s="926"/>
      <c r="FR54" s="926"/>
      <c r="FS54" s="926"/>
      <c r="FT54" s="926"/>
      <c r="FU54" s="926"/>
      <c r="FV54" s="926"/>
      <c r="FW54" s="926"/>
      <c r="FX54" s="926"/>
      <c r="FY54" s="926"/>
      <c r="FZ54" s="926"/>
      <c r="GA54" s="926"/>
      <c r="GB54" s="926"/>
      <c r="GC54" s="926"/>
      <c r="GD54" s="926"/>
      <c r="GE54" s="926"/>
      <c r="GF54" s="926"/>
      <c r="GG54" s="926"/>
      <c r="GH54" s="926"/>
      <c r="GI54" s="926"/>
      <c r="GJ54" s="926"/>
      <c r="GK54" s="926"/>
      <c r="GL54" s="926"/>
      <c r="GM54" s="926"/>
      <c r="GN54" s="926"/>
      <c r="GO54" s="926"/>
      <c r="GP54" s="926"/>
      <c r="GQ54" s="926"/>
      <c r="GR54" s="926"/>
      <c r="GS54" s="926"/>
      <c r="GT54" s="926"/>
      <c r="GU54" s="926"/>
      <c r="GV54" s="926"/>
      <c r="GW54" s="926"/>
      <c r="GX54" s="926"/>
      <c r="GY54" s="926"/>
      <c r="GZ54" s="926"/>
      <c r="HA54" s="926"/>
      <c r="HB54" s="926"/>
      <c r="HC54" s="926"/>
      <c r="HD54" s="926"/>
      <c r="HE54" s="926"/>
      <c r="HF54" s="926"/>
      <c r="HG54" s="926"/>
      <c r="HH54" s="926"/>
      <c r="HI54" s="926"/>
      <c r="HJ54" s="926"/>
      <c r="HK54" s="926"/>
      <c r="HL54" s="926"/>
      <c r="HM54" s="926"/>
      <c r="HN54" s="926"/>
      <c r="HO54" s="926"/>
      <c r="HP54" s="926"/>
      <c r="HQ54" s="926"/>
      <c r="HR54" s="926"/>
      <c r="HS54" s="926"/>
      <c r="HT54" s="926"/>
      <c r="HU54" s="926"/>
      <c r="HV54" s="926"/>
      <c r="HW54" s="926"/>
      <c r="HX54" s="926"/>
      <c r="HY54" s="926"/>
      <c r="HZ54" s="926"/>
      <c r="IA54" s="926"/>
      <c r="IB54" s="926"/>
      <c r="IC54" s="926"/>
      <c r="ID54" s="926"/>
      <c r="IE54" s="926"/>
      <c r="IF54" s="926"/>
      <c r="IG54" s="926"/>
      <c r="IH54" s="926"/>
      <c r="II54" s="926"/>
      <c r="IJ54" s="926"/>
      <c r="IK54" s="926"/>
      <c r="IL54" s="926"/>
      <c r="IM54" s="926"/>
    </row>
    <row r="55" spans="1:247" x14ac:dyDescent="0.45">
      <c r="A55" s="441">
        <v>1781</v>
      </c>
      <c r="B55" s="939" t="s">
        <v>2590</v>
      </c>
      <c r="C55" s="47" t="s">
        <v>699</v>
      </c>
      <c r="D55" s="449" t="s">
        <v>2537</v>
      </c>
      <c r="E55" s="946"/>
      <c r="F55" s="941">
        <f t="shared" si="0"/>
        <v>1.0209999999999999</v>
      </c>
      <c r="G55" s="947">
        <f t="shared" si="6"/>
        <v>1.0269999999999999</v>
      </c>
      <c r="H55" s="946"/>
      <c r="I55" s="948"/>
      <c r="J55" s="948"/>
      <c r="K55" s="948"/>
      <c r="L55" s="948"/>
      <c r="M55" s="948"/>
      <c r="N55" s="947"/>
      <c r="O55" s="949"/>
      <c r="P55" s="946"/>
      <c r="Q55" s="947"/>
      <c r="R55" s="950">
        <f t="shared" si="1"/>
        <v>1.0485669999999998</v>
      </c>
      <c r="S55" s="926"/>
      <c r="T55" s="926"/>
      <c r="U55" s="926"/>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6"/>
      <c r="AV55" s="926"/>
      <c r="AW55" s="926"/>
      <c r="AX55" s="926"/>
      <c r="AY55" s="926"/>
      <c r="AZ55" s="926"/>
      <c r="BA55" s="926"/>
      <c r="BB55" s="926"/>
      <c r="BC55" s="926"/>
      <c r="BD55" s="926"/>
      <c r="BE55" s="926"/>
      <c r="BF55" s="926"/>
      <c r="BG55" s="926"/>
      <c r="BH55" s="926"/>
      <c r="BI55" s="926"/>
      <c r="BJ55" s="926"/>
      <c r="BK55" s="926"/>
      <c r="BL55" s="926"/>
      <c r="BM55" s="926"/>
      <c r="BN55" s="926"/>
      <c r="BO55" s="926"/>
      <c r="BP55" s="926"/>
      <c r="BQ55" s="926"/>
      <c r="BR55" s="926"/>
      <c r="BS55" s="926"/>
      <c r="BT55" s="926"/>
      <c r="BU55" s="926"/>
      <c r="BV55" s="926"/>
      <c r="BW55" s="926"/>
      <c r="BX55" s="926"/>
      <c r="BY55" s="926"/>
      <c r="BZ55" s="926"/>
      <c r="CA55" s="926"/>
      <c r="CB55" s="926"/>
      <c r="CC55" s="926"/>
      <c r="CD55" s="926"/>
      <c r="CE55" s="926"/>
      <c r="CF55" s="926"/>
      <c r="CG55" s="926"/>
      <c r="CH55" s="926"/>
      <c r="CI55" s="926"/>
      <c r="CJ55" s="926"/>
      <c r="CK55" s="926"/>
      <c r="CL55" s="926"/>
      <c r="CM55" s="926"/>
      <c r="CN55" s="926"/>
      <c r="CO55" s="926"/>
      <c r="CP55" s="926"/>
      <c r="CQ55" s="926"/>
      <c r="CR55" s="926"/>
      <c r="CS55" s="926"/>
      <c r="CT55" s="926"/>
      <c r="CU55" s="926"/>
      <c r="CV55" s="926"/>
      <c r="CW55" s="926"/>
      <c r="CX55" s="926"/>
      <c r="CY55" s="926"/>
      <c r="CZ55" s="926"/>
      <c r="DA55" s="926"/>
      <c r="DB55" s="926"/>
      <c r="DC55" s="926"/>
      <c r="DD55" s="926"/>
      <c r="DE55" s="926"/>
      <c r="DF55" s="926"/>
      <c r="DG55" s="926"/>
      <c r="DH55" s="926"/>
      <c r="DI55" s="926"/>
      <c r="DJ55" s="926"/>
      <c r="DK55" s="926"/>
      <c r="DL55" s="926"/>
      <c r="DM55" s="926"/>
      <c r="DN55" s="926"/>
      <c r="DO55" s="926"/>
      <c r="DP55" s="926"/>
      <c r="DQ55" s="926"/>
      <c r="DR55" s="926"/>
      <c r="DS55" s="926"/>
      <c r="DT55" s="926"/>
      <c r="DU55" s="926"/>
      <c r="DV55" s="926"/>
      <c r="DW55" s="926"/>
      <c r="DX55" s="926"/>
      <c r="DY55" s="926"/>
      <c r="DZ55" s="926"/>
      <c r="EA55" s="926"/>
      <c r="EB55" s="926"/>
      <c r="EC55" s="926"/>
      <c r="ED55" s="926"/>
      <c r="EE55" s="926"/>
      <c r="EF55" s="926"/>
      <c r="EG55" s="926"/>
      <c r="EH55" s="926"/>
      <c r="EI55" s="926"/>
      <c r="EJ55" s="926"/>
      <c r="EK55" s="926"/>
      <c r="EL55" s="926"/>
      <c r="EM55" s="926"/>
      <c r="EN55" s="926"/>
      <c r="EO55" s="926"/>
      <c r="EP55" s="926"/>
      <c r="EQ55" s="926"/>
      <c r="ER55" s="926"/>
      <c r="ES55" s="926"/>
      <c r="ET55" s="926"/>
      <c r="EU55" s="926"/>
      <c r="EV55" s="926"/>
      <c r="EW55" s="926"/>
      <c r="EX55" s="926"/>
      <c r="EY55" s="926"/>
      <c r="EZ55" s="926"/>
      <c r="FA55" s="926"/>
      <c r="FB55" s="926"/>
      <c r="FC55" s="926"/>
      <c r="FD55" s="926"/>
      <c r="FE55" s="926"/>
      <c r="FF55" s="926"/>
      <c r="FG55" s="926"/>
      <c r="FH55" s="926"/>
      <c r="FI55" s="926"/>
      <c r="FJ55" s="926"/>
      <c r="FK55" s="926"/>
      <c r="FL55" s="926"/>
      <c r="FM55" s="926"/>
      <c r="FN55" s="926"/>
      <c r="FO55" s="926"/>
      <c r="FP55" s="926"/>
      <c r="FQ55" s="926"/>
      <c r="FR55" s="926"/>
      <c r="FS55" s="926"/>
      <c r="FT55" s="926"/>
      <c r="FU55" s="926"/>
      <c r="FV55" s="926"/>
      <c r="FW55" s="926"/>
      <c r="FX55" s="926"/>
      <c r="FY55" s="926"/>
      <c r="FZ55" s="926"/>
      <c r="GA55" s="926"/>
      <c r="GB55" s="926"/>
      <c r="GC55" s="926"/>
      <c r="GD55" s="926"/>
      <c r="GE55" s="926"/>
      <c r="GF55" s="926"/>
      <c r="GG55" s="926"/>
      <c r="GH55" s="926"/>
      <c r="GI55" s="926"/>
      <c r="GJ55" s="926"/>
      <c r="GK55" s="926"/>
      <c r="GL55" s="926"/>
      <c r="GM55" s="926"/>
      <c r="GN55" s="926"/>
      <c r="GO55" s="926"/>
      <c r="GP55" s="926"/>
      <c r="GQ55" s="926"/>
      <c r="GR55" s="926"/>
      <c r="GS55" s="926"/>
      <c r="GT55" s="926"/>
      <c r="GU55" s="926"/>
      <c r="GV55" s="926"/>
      <c r="GW55" s="926"/>
      <c r="GX55" s="926"/>
      <c r="GY55" s="926"/>
      <c r="GZ55" s="926"/>
      <c r="HA55" s="926"/>
      <c r="HB55" s="926"/>
      <c r="HC55" s="926"/>
      <c r="HD55" s="926"/>
      <c r="HE55" s="926"/>
      <c r="HF55" s="926"/>
      <c r="HG55" s="926"/>
      <c r="HH55" s="926"/>
      <c r="HI55" s="926"/>
      <c r="HJ55" s="926"/>
      <c r="HK55" s="926"/>
      <c r="HL55" s="926"/>
      <c r="HM55" s="926"/>
      <c r="HN55" s="926"/>
      <c r="HO55" s="926"/>
      <c r="HP55" s="926"/>
      <c r="HQ55" s="926"/>
      <c r="HR55" s="926"/>
      <c r="HS55" s="926"/>
      <c r="HT55" s="926"/>
      <c r="HU55" s="926"/>
      <c r="HV55" s="926"/>
      <c r="HW55" s="926"/>
      <c r="HX55" s="926"/>
      <c r="HY55" s="926"/>
      <c r="HZ55" s="926"/>
      <c r="IA55" s="926"/>
      <c r="IB55" s="926"/>
      <c r="IC55" s="926"/>
      <c r="ID55" s="926"/>
      <c r="IE55" s="926"/>
      <c r="IF55" s="926"/>
      <c r="IG55" s="926"/>
      <c r="IH55" s="926"/>
      <c r="II55" s="926"/>
      <c r="IJ55" s="926"/>
      <c r="IK55" s="926"/>
      <c r="IL55" s="926"/>
      <c r="IM55" s="926"/>
    </row>
    <row r="56" spans="1:247" x14ac:dyDescent="0.45">
      <c r="A56" s="441">
        <v>1782</v>
      </c>
      <c r="B56" s="939" t="s">
        <v>2591</v>
      </c>
      <c r="C56" s="47" t="s">
        <v>699</v>
      </c>
      <c r="D56" s="449" t="s">
        <v>2537</v>
      </c>
      <c r="E56" s="946"/>
      <c r="F56" s="941">
        <f t="shared" si="0"/>
        <v>1.0209999999999999</v>
      </c>
      <c r="G56" s="947">
        <f t="shared" si="6"/>
        <v>1.0269999999999999</v>
      </c>
      <c r="H56" s="946"/>
      <c r="I56" s="948"/>
      <c r="J56" s="948"/>
      <c r="K56" s="948"/>
      <c r="L56" s="948"/>
      <c r="M56" s="948"/>
      <c r="N56" s="947"/>
      <c r="O56" s="949"/>
      <c r="P56" s="946"/>
      <c r="Q56" s="947"/>
      <c r="R56" s="950">
        <f t="shared" si="1"/>
        <v>1.0485669999999998</v>
      </c>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6"/>
      <c r="AY56" s="926"/>
      <c r="AZ56" s="926"/>
      <c r="BA56" s="926"/>
      <c r="BB56" s="926"/>
      <c r="BC56" s="926"/>
      <c r="BD56" s="926"/>
      <c r="BE56" s="926"/>
      <c r="BF56" s="926"/>
      <c r="BG56" s="926"/>
      <c r="BH56" s="926"/>
      <c r="BI56" s="926"/>
      <c r="BJ56" s="926"/>
      <c r="BK56" s="926"/>
      <c r="BL56" s="926"/>
      <c r="BM56" s="926"/>
      <c r="BN56" s="926"/>
      <c r="BO56" s="926"/>
      <c r="BP56" s="926"/>
      <c r="BQ56" s="926"/>
      <c r="BR56" s="926"/>
      <c r="BS56" s="926"/>
      <c r="BT56" s="926"/>
      <c r="BU56" s="926"/>
      <c r="BV56" s="926"/>
      <c r="BW56" s="926"/>
      <c r="BX56" s="926"/>
      <c r="BY56" s="926"/>
      <c r="BZ56" s="926"/>
      <c r="CA56" s="926"/>
      <c r="CB56" s="926"/>
      <c r="CC56" s="926"/>
      <c r="CD56" s="926"/>
      <c r="CE56" s="926"/>
      <c r="CF56" s="926"/>
      <c r="CG56" s="926"/>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926"/>
      <c r="DH56" s="926"/>
      <c r="DI56" s="926"/>
      <c r="DJ56" s="926"/>
      <c r="DK56" s="926"/>
      <c r="DL56" s="926"/>
      <c r="DM56" s="926"/>
      <c r="DN56" s="926"/>
      <c r="DO56" s="926"/>
      <c r="DP56" s="926"/>
      <c r="DQ56" s="926"/>
      <c r="DR56" s="926"/>
      <c r="DS56" s="926"/>
      <c r="DT56" s="926"/>
      <c r="DU56" s="926"/>
      <c r="DV56" s="926"/>
      <c r="DW56" s="926"/>
      <c r="DX56" s="926"/>
      <c r="DY56" s="926"/>
      <c r="DZ56" s="926"/>
      <c r="EA56" s="926"/>
      <c r="EB56" s="926"/>
      <c r="EC56" s="926"/>
      <c r="ED56" s="926"/>
      <c r="EE56" s="926"/>
      <c r="EF56" s="926"/>
      <c r="EG56" s="926"/>
      <c r="EH56" s="926"/>
      <c r="EI56" s="926"/>
      <c r="EJ56" s="926"/>
      <c r="EK56" s="926"/>
      <c r="EL56" s="926"/>
      <c r="EM56" s="926"/>
      <c r="EN56" s="926"/>
      <c r="EO56" s="926"/>
      <c r="EP56" s="926"/>
      <c r="EQ56" s="926"/>
      <c r="ER56" s="926"/>
      <c r="ES56" s="926"/>
      <c r="ET56" s="926"/>
      <c r="EU56" s="926"/>
      <c r="EV56" s="926"/>
      <c r="EW56" s="926"/>
      <c r="EX56" s="926"/>
      <c r="EY56" s="926"/>
      <c r="EZ56" s="926"/>
      <c r="FA56" s="926"/>
      <c r="FB56" s="926"/>
      <c r="FC56" s="926"/>
      <c r="FD56" s="926"/>
      <c r="FE56" s="926"/>
      <c r="FF56" s="926"/>
      <c r="FG56" s="926"/>
      <c r="FH56" s="926"/>
      <c r="FI56" s="926"/>
      <c r="FJ56" s="926"/>
      <c r="FK56" s="926"/>
      <c r="FL56" s="926"/>
      <c r="FM56" s="926"/>
      <c r="FN56" s="926"/>
      <c r="FO56" s="926"/>
      <c r="FP56" s="926"/>
      <c r="FQ56" s="926"/>
      <c r="FR56" s="926"/>
      <c r="FS56" s="926"/>
      <c r="FT56" s="926"/>
      <c r="FU56" s="926"/>
      <c r="FV56" s="926"/>
      <c r="FW56" s="926"/>
      <c r="FX56" s="926"/>
      <c r="FY56" s="926"/>
      <c r="FZ56" s="926"/>
      <c r="GA56" s="926"/>
      <c r="GB56" s="926"/>
      <c r="GC56" s="926"/>
      <c r="GD56" s="926"/>
      <c r="GE56" s="926"/>
      <c r="GF56" s="926"/>
      <c r="GG56" s="926"/>
      <c r="GH56" s="926"/>
      <c r="GI56" s="926"/>
      <c r="GJ56" s="926"/>
      <c r="GK56" s="926"/>
      <c r="GL56" s="926"/>
      <c r="GM56" s="926"/>
      <c r="GN56" s="926"/>
      <c r="GO56" s="926"/>
      <c r="GP56" s="926"/>
      <c r="GQ56" s="926"/>
      <c r="GR56" s="926"/>
      <c r="GS56" s="926"/>
      <c r="GT56" s="926"/>
      <c r="GU56" s="926"/>
      <c r="GV56" s="926"/>
      <c r="GW56" s="926"/>
      <c r="GX56" s="926"/>
      <c r="GY56" s="926"/>
      <c r="GZ56" s="926"/>
      <c r="HA56" s="926"/>
      <c r="HB56" s="926"/>
      <c r="HC56" s="926"/>
      <c r="HD56" s="926"/>
      <c r="HE56" s="926"/>
      <c r="HF56" s="926"/>
      <c r="HG56" s="926"/>
      <c r="HH56" s="926"/>
      <c r="HI56" s="926"/>
      <c r="HJ56" s="926"/>
      <c r="HK56" s="926"/>
      <c r="HL56" s="926"/>
      <c r="HM56" s="926"/>
      <c r="HN56" s="926"/>
      <c r="HO56" s="926"/>
      <c r="HP56" s="926"/>
      <c r="HQ56" s="926"/>
      <c r="HR56" s="926"/>
      <c r="HS56" s="926"/>
      <c r="HT56" s="926"/>
      <c r="HU56" s="926"/>
      <c r="HV56" s="926"/>
      <c r="HW56" s="926"/>
      <c r="HX56" s="926"/>
      <c r="HY56" s="926"/>
      <c r="HZ56" s="926"/>
      <c r="IA56" s="926"/>
      <c r="IB56" s="926"/>
      <c r="IC56" s="926"/>
      <c r="ID56" s="926"/>
      <c r="IE56" s="926"/>
      <c r="IF56" s="926"/>
      <c r="IG56" s="926"/>
      <c r="IH56" s="926"/>
      <c r="II56" s="926"/>
      <c r="IJ56" s="926"/>
      <c r="IK56" s="926"/>
      <c r="IL56" s="926"/>
      <c r="IM56" s="926"/>
    </row>
    <row r="57" spans="1:247" x14ac:dyDescent="0.45">
      <c r="A57" s="441">
        <v>1783</v>
      </c>
      <c r="B57" s="939" t="s">
        <v>2592</v>
      </c>
      <c r="C57" s="47" t="s">
        <v>699</v>
      </c>
      <c r="D57" s="449" t="s">
        <v>2537</v>
      </c>
      <c r="E57" s="946"/>
      <c r="F57" s="941">
        <f t="shared" si="0"/>
        <v>1.0209999999999999</v>
      </c>
      <c r="G57" s="947">
        <f t="shared" si="6"/>
        <v>1.0269999999999999</v>
      </c>
      <c r="H57" s="946"/>
      <c r="I57" s="948"/>
      <c r="J57" s="948"/>
      <c r="K57" s="948"/>
      <c r="L57" s="948"/>
      <c r="M57" s="948"/>
      <c r="N57" s="947"/>
      <c r="O57" s="949"/>
      <c r="P57" s="946"/>
      <c r="Q57" s="947"/>
      <c r="R57" s="950">
        <f t="shared" si="1"/>
        <v>1.0485669999999998</v>
      </c>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6"/>
      <c r="AY57" s="926"/>
      <c r="AZ57" s="926"/>
      <c r="BA57" s="926"/>
      <c r="BB57" s="926"/>
      <c r="BC57" s="926"/>
      <c r="BD57" s="926"/>
      <c r="BE57" s="926"/>
      <c r="BF57" s="926"/>
      <c r="BG57" s="926"/>
      <c r="BH57" s="926"/>
      <c r="BI57" s="926"/>
      <c r="BJ57" s="926"/>
      <c r="BK57" s="926"/>
      <c r="BL57" s="926"/>
      <c r="BM57" s="926"/>
      <c r="BN57" s="926"/>
      <c r="BO57" s="926"/>
      <c r="BP57" s="926"/>
      <c r="BQ57" s="926"/>
      <c r="BR57" s="926"/>
      <c r="BS57" s="926"/>
      <c r="BT57" s="926"/>
      <c r="BU57" s="926"/>
      <c r="BV57" s="926"/>
      <c r="BW57" s="926"/>
      <c r="BX57" s="926"/>
      <c r="BY57" s="926"/>
      <c r="BZ57" s="926"/>
      <c r="CA57" s="926"/>
      <c r="CB57" s="926"/>
      <c r="CC57" s="926"/>
      <c r="CD57" s="926"/>
      <c r="CE57" s="926"/>
      <c r="CF57" s="926"/>
      <c r="CG57" s="926"/>
      <c r="CH57" s="926"/>
      <c r="CI57" s="926"/>
      <c r="CJ57" s="926"/>
      <c r="CK57" s="926"/>
      <c r="CL57" s="926"/>
      <c r="CM57" s="926"/>
      <c r="CN57" s="926"/>
      <c r="CO57" s="926"/>
      <c r="CP57" s="926"/>
      <c r="CQ57" s="926"/>
      <c r="CR57" s="926"/>
      <c r="CS57" s="926"/>
      <c r="CT57" s="926"/>
      <c r="CU57" s="926"/>
      <c r="CV57" s="926"/>
      <c r="CW57" s="926"/>
      <c r="CX57" s="926"/>
      <c r="CY57" s="926"/>
      <c r="CZ57" s="926"/>
      <c r="DA57" s="926"/>
      <c r="DB57" s="926"/>
      <c r="DC57" s="926"/>
      <c r="DD57" s="926"/>
      <c r="DE57" s="926"/>
      <c r="DF57" s="926"/>
      <c r="DG57" s="926"/>
      <c r="DH57" s="926"/>
      <c r="DI57" s="926"/>
      <c r="DJ57" s="926"/>
      <c r="DK57" s="926"/>
      <c r="DL57" s="926"/>
      <c r="DM57" s="926"/>
      <c r="DN57" s="926"/>
      <c r="DO57" s="926"/>
      <c r="DP57" s="926"/>
      <c r="DQ57" s="926"/>
      <c r="DR57" s="926"/>
      <c r="DS57" s="926"/>
      <c r="DT57" s="926"/>
      <c r="DU57" s="926"/>
      <c r="DV57" s="926"/>
      <c r="DW57" s="926"/>
      <c r="DX57" s="926"/>
      <c r="DY57" s="926"/>
      <c r="DZ57" s="926"/>
      <c r="EA57" s="926"/>
      <c r="EB57" s="926"/>
      <c r="EC57" s="926"/>
      <c r="ED57" s="926"/>
      <c r="EE57" s="926"/>
      <c r="EF57" s="926"/>
      <c r="EG57" s="926"/>
      <c r="EH57" s="926"/>
      <c r="EI57" s="926"/>
      <c r="EJ57" s="926"/>
      <c r="EK57" s="926"/>
      <c r="EL57" s="926"/>
      <c r="EM57" s="926"/>
      <c r="EN57" s="926"/>
      <c r="EO57" s="926"/>
      <c r="EP57" s="926"/>
      <c r="EQ57" s="926"/>
      <c r="ER57" s="926"/>
      <c r="ES57" s="926"/>
      <c r="ET57" s="926"/>
      <c r="EU57" s="926"/>
      <c r="EV57" s="926"/>
      <c r="EW57" s="926"/>
      <c r="EX57" s="926"/>
      <c r="EY57" s="926"/>
      <c r="EZ57" s="926"/>
      <c r="FA57" s="926"/>
      <c r="FB57" s="926"/>
      <c r="FC57" s="926"/>
      <c r="FD57" s="926"/>
      <c r="FE57" s="926"/>
      <c r="FF57" s="926"/>
      <c r="FG57" s="926"/>
      <c r="FH57" s="926"/>
      <c r="FI57" s="926"/>
      <c r="FJ57" s="926"/>
      <c r="FK57" s="926"/>
      <c r="FL57" s="926"/>
      <c r="FM57" s="926"/>
      <c r="FN57" s="926"/>
      <c r="FO57" s="926"/>
      <c r="FP57" s="926"/>
      <c r="FQ57" s="926"/>
      <c r="FR57" s="926"/>
      <c r="FS57" s="926"/>
      <c r="FT57" s="926"/>
      <c r="FU57" s="926"/>
      <c r="FV57" s="926"/>
      <c r="FW57" s="926"/>
      <c r="FX57" s="926"/>
      <c r="FY57" s="926"/>
      <c r="FZ57" s="926"/>
      <c r="GA57" s="926"/>
      <c r="GB57" s="926"/>
      <c r="GC57" s="926"/>
      <c r="GD57" s="926"/>
      <c r="GE57" s="926"/>
      <c r="GF57" s="926"/>
      <c r="GG57" s="926"/>
      <c r="GH57" s="926"/>
      <c r="GI57" s="926"/>
      <c r="GJ57" s="926"/>
      <c r="GK57" s="926"/>
      <c r="GL57" s="926"/>
      <c r="GM57" s="926"/>
      <c r="GN57" s="926"/>
      <c r="GO57" s="926"/>
      <c r="GP57" s="926"/>
      <c r="GQ57" s="926"/>
      <c r="GR57" s="926"/>
      <c r="GS57" s="926"/>
      <c r="GT57" s="926"/>
      <c r="GU57" s="926"/>
      <c r="GV57" s="926"/>
      <c r="GW57" s="926"/>
      <c r="GX57" s="926"/>
      <c r="GY57" s="926"/>
      <c r="GZ57" s="926"/>
      <c r="HA57" s="926"/>
      <c r="HB57" s="926"/>
      <c r="HC57" s="926"/>
      <c r="HD57" s="926"/>
      <c r="HE57" s="926"/>
      <c r="HF57" s="926"/>
      <c r="HG57" s="926"/>
      <c r="HH57" s="926"/>
      <c r="HI57" s="926"/>
      <c r="HJ57" s="926"/>
      <c r="HK57" s="926"/>
      <c r="HL57" s="926"/>
      <c r="HM57" s="926"/>
      <c r="HN57" s="926"/>
      <c r="HO57" s="926"/>
      <c r="HP57" s="926"/>
      <c r="HQ57" s="926"/>
      <c r="HR57" s="926"/>
      <c r="HS57" s="926"/>
      <c r="HT57" s="926"/>
      <c r="HU57" s="926"/>
      <c r="HV57" s="926"/>
      <c r="HW57" s="926"/>
      <c r="HX57" s="926"/>
      <c r="HY57" s="926"/>
      <c r="HZ57" s="926"/>
      <c r="IA57" s="926"/>
      <c r="IB57" s="926"/>
      <c r="IC57" s="926"/>
      <c r="ID57" s="926"/>
      <c r="IE57" s="926"/>
      <c r="IF57" s="926"/>
      <c r="IG57" s="926"/>
      <c r="IH57" s="926"/>
      <c r="II57" s="926"/>
      <c r="IJ57" s="926"/>
      <c r="IK57" s="926"/>
      <c r="IL57" s="926"/>
      <c r="IM57" s="926"/>
    </row>
    <row r="58" spans="1:247" x14ac:dyDescent="0.45">
      <c r="A58" s="441">
        <v>1790</v>
      </c>
      <c r="B58" s="939" t="s">
        <v>2593</v>
      </c>
      <c r="C58" s="47" t="s">
        <v>88</v>
      </c>
      <c r="D58" s="449" t="s">
        <v>2537</v>
      </c>
      <c r="E58" s="946"/>
      <c r="F58" s="941">
        <f t="shared" si="0"/>
        <v>1.0209999999999999</v>
      </c>
      <c r="G58" s="947">
        <f t="shared" si="6"/>
        <v>1.0269999999999999</v>
      </c>
      <c r="H58" s="946"/>
      <c r="I58" s="948"/>
      <c r="J58" s="948"/>
      <c r="K58" s="948"/>
      <c r="L58" s="948"/>
      <c r="M58" s="948"/>
      <c r="N58" s="947"/>
      <c r="O58" s="949"/>
      <c r="P58" s="946"/>
      <c r="Q58" s="947"/>
      <c r="R58" s="950">
        <f t="shared" si="1"/>
        <v>1.0485669999999998</v>
      </c>
      <c r="S58" s="926"/>
      <c r="T58" s="926"/>
      <c r="U58" s="926"/>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6"/>
      <c r="AV58" s="926"/>
      <c r="AW58" s="926"/>
      <c r="AX58" s="926"/>
      <c r="AY58" s="926"/>
      <c r="AZ58" s="926"/>
      <c r="BA58" s="926"/>
      <c r="BB58" s="926"/>
      <c r="BC58" s="926"/>
      <c r="BD58" s="926"/>
      <c r="BE58" s="926"/>
      <c r="BF58" s="926"/>
      <c r="BG58" s="926"/>
      <c r="BH58" s="926"/>
      <c r="BI58" s="926"/>
      <c r="BJ58" s="926"/>
      <c r="BK58" s="926"/>
      <c r="BL58" s="926"/>
      <c r="BM58" s="926"/>
      <c r="BN58" s="926"/>
      <c r="BO58" s="926"/>
      <c r="BP58" s="926"/>
      <c r="BQ58" s="926"/>
      <c r="BR58" s="926"/>
      <c r="BS58" s="926"/>
      <c r="BT58" s="926"/>
      <c r="BU58" s="926"/>
      <c r="BV58" s="926"/>
      <c r="BW58" s="926"/>
      <c r="BX58" s="926"/>
      <c r="BY58" s="926"/>
      <c r="BZ58" s="926"/>
      <c r="CA58" s="926"/>
      <c r="CB58" s="926"/>
      <c r="CC58" s="926"/>
      <c r="CD58" s="926"/>
      <c r="CE58" s="926"/>
      <c r="CF58" s="926"/>
      <c r="CG58" s="926"/>
      <c r="CH58" s="926"/>
      <c r="CI58" s="926"/>
      <c r="CJ58" s="926"/>
      <c r="CK58" s="926"/>
      <c r="CL58" s="926"/>
      <c r="CM58" s="926"/>
      <c r="CN58" s="926"/>
      <c r="CO58" s="926"/>
      <c r="CP58" s="926"/>
      <c r="CQ58" s="926"/>
      <c r="CR58" s="926"/>
      <c r="CS58" s="926"/>
      <c r="CT58" s="926"/>
      <c r="CU58" s="926"/>
      <c r="CV58" s="926"/>
      <c r="CW58" s="926"/>
      <c r="CX58" s="926"/>
      <c r="CY58" s="926"/>
      <c r="CZ58" s="926"/>
      <c r="DA58" s="926"/>
      <c r="DB58" s="926"/>
      <c r="DC58" s="926"/>
      <c r="DD58" s="926"/>
      <c r="DE58" s="926"/>
      <c r="DF58" s="926"/>
      <c r="DG58" s="926"/>
      <c r="DH58" s="926"/>
      <c r="DI58" s="926"/>
      <c r="DJ58" s="926"/>
      <c r="DK58" s="926"/>
      <c r="DL58" s="926"/>
      <c r="DM58" s="926"/>
      <c r="DN58" s="926"/>
      <c r="DO58" s="926"/>
      <c r="DP58" s="926"/>
      <c r="DQ58" s="926"/>
      <c r="DR58" s="926"/>
      <c r="DS58" s="926"/>
      <c r="DT58" s="926"/>
      <c r="DU58" s="926"/>
      <c r="DV58" s="926"/>
      <c r="DW58" s="926"/>
      <c r="DX58" s="926"/>
      <c r="DY58" s="926"/>
      <c r="DZ58" s="926"/>
      <c r="EA58" s="926"/>
      <c r="EB58" s="926"/>
      <c r="EC58" s="926"/>
      <c r="ED58" s="926"/>
      <c r="EE58" s="926"/>
      <c r="EF58" s="926"/>
      <c r="EG58" s="926"/>
      <c r="EH58" s="926"/>
      <c r="EI58" s="926"/>
      <c r="EJ58" s="926"/>
      <c r="EK58" s="926"/>
      <c r="EL58" s="926"/>
      <c r="EM58" s="926"/>
      <c r="EN58" s="926"/>
      <c r="EO58" s="926"/>
      <c r="EP58" s="926"/>
      <c r="EQ58" s="926"/>
      <c r="ER58" s="926"/>
      <c r="ES58" s="926"/>
      <c r="ET58" s="926"/>
      <c r="EU58" s="926"/>
      <c r="EV58" s="926"/>
      <c r="EW58" s="926"/>
      <c r="EX58" s="926"/>
      <c r="EY58" s="926"/>
      <c r="EZ58" s="926"/>
      <c r="FA58" s="926"/>
      <c r="FB58" s="926"/>
      <c r="FC58" s="926"/>
      <c r="FD58" s="926"/>
      <c r="FE58" s="926"/>
      <c r="FF58" s="926"/>
      <c r="FG58" s="926"/>
      <c r="FH58" s="926"/>
      <c r="FI58" s="926"/>
      <c r="FJ58" s="926"/>
      <c r="FK58" s="926"/>
      <c r="FL58" s="926"/>
      <c r="FM58" s="926"/>
      <c r="FN58" s="926"/>
      <c r="FO58" s="926"/>
      <c r="FP58" s="926"/>
      <c r="FQ58" s="926"/>
      <c r="FR58" s="926"/>
      <c r="FS58" s="926"/>
      <c r="FT58" s="926"/>
      <c r="FU58" s="926"/>
      <c r="FV58" s="926"/>
      <c r="FW58" s="926"/>
      <c r="FX58" s="926"/>
      <c r="FY58" s="926"/>
      <c r="FZ58" s="926"/>
      <c r="GA58" s="926"/>
      <c r="GB58" s="926"/>
      <c r="GC58" s="926"/>
      <c r="GD58" s="926"/>
      <c r="GE58" s="926"/>
      <c r="GF58" s="926"/>
      <c r="GG58" s="926"/>
      <c r="GH58" s="926"/>
      <c r="GI58" s="926"/>
      <c r="GJ58" s="926"/>
      <c r="GK58" s="926"/>
      <c r="GL58" s="926"/>
      <c r="GM58" s="926"/>
      <c r="GN58" s="926"/>
      <c r="GO58" s="926"/>
      <c r="GP58" s="926"/>
      <c r="GQ58" s="926"/>
      <c r="GR58" s="926"/>
      <c r="GS58" s="926"/>
      <c r="GT58" s="926"/>
      <c r="GU58" s="926"/>
      <c r="GV58" s="926"/>
      <c r="GW58" s="926"/>
      <c r="GX58" s="926"/>
      <c r="GY58" s="926"/>
      <c r="GZ58" s="926"/>
      <c r="HA58" s="926"/>
      <c r="HB58" s="926"/>
      <c r="HC58" s="926"/>
      <c r="HD58" s="926"/>
      <c r="HE58" s="926"/>
      <c r="HF58" s="926"/>
      <c r="HG58" s="926"/>
      <c r="HH58" s="926"/>
      <c r="HI58" s="926"/>
      <c r="HJ58" s="926"/>
      <c r="HK58" s="926"/>
      <c r="HL58" s="926"/>
      <c r="HM58" s="926"/>
      <c r="HN58" s="926"/>
      <c r="HO58" s="926"/>
      <c r="HP58" s="926"/>
      <c r="HQ58" s="926"/>
      <c r="HR58" s="926"/>
      <c r="HS58" s="926"/>
      <c r="HT58" s="926"/>
      <c r="HU58" s="926"/>
      <c r="HV58" s="926"/>
      <c r="HW58" s="926"/>
      <c r="HX58" s="926"/>
      <c r="HY58" s="926"/>
      <c r="HZ58" s="926"/>
      <c r="IA58" s="926"/>
      <c r="IB58" s="926"/>
      <c r="IC58" s="926"/>
      <c r="ID58" s="926"/>
      <c r="IE58" s="926"/>
      <c r="IF58" s="926"/>
      <c r="IG58" s="926"/>
      <c r="IH58" s="926"/>
      <c r="II58" s="926"/>
      <c r="IJ58" s="926"/>
      <c r="IK58" s="926"/>
      <c r="IL58" s="926"/>
      <c r="IM58" s="926"/>
    </row>
    <row r="59" spans="1:247" x14ac:dyDescent="0.45">
      <c r="A59" s="441">
        <v>1791</v>
      </c>
      <c r="B59" s="939" t="s">
        <v>2594</v>
      </c>
      <c r="C59" s="47" t="s">
        <v>88</v>
      </c>
      <c r="D59" s="449" t="s">
        <v>2537</v>
      </c>
      <c r="E59" s="946"/>
      <c r="F59" s="941">
        <f t="shared" si="0"/>
        <v>1.0209999999999999</v>
      </c>
      <c r="G59" s="947">
        <f t="shared" si="6"/>
        <v>1.0269999999999999</v>
      </c>
      <c r="H59" s="946"/>
      <c r="I59" s="948"/>
      <c r="J59" s="948"/>
      <c r="K59" s="948"/>
      <c r="L59" s="948"/>
      <c r="M59" s="948"/>
      <c r="N59" s="947"/>
      <c r="O59" s="949"/>
      <c r="P59" s="946"/>
      <c r="Q59" s="947"/>
      <c r="R59" s="950">
        <f t="shared" si="1"/>
        <v>1.0485669999999998</v>
      </c>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26"/>
      <c r="AY59" s="926"/>
      <c r="AZ59" s="926"/>
      <c r="BA59" s="926"/>
      <c r="BB59" s="926"/>
      <c r="BC59" s="926"/>
      <c r="BD59" s="926"/>
      <c r="BE59" s="926"/>
      <c r="BF59" s="926"/>
      <c r="BG59" s="926"/>
      <c r="BH59" s="926"/>
      <c r="BI59" s="926"/>
      <c r="BJ59" s="926"/>
      <c r="BK59" s="926"/>
      <c r="BL59" s="926"/>
      <c r="BM59" s="926"/>
      <c r="BN59" s="926"/>
      <c r="BO59" s="926"/>
      <c r="BP59" s="926"/>
      <c r="BQ59" s="926"/>
      <c r="BR59" s="926"/>
      <c r="BS59" s="926"/>
      <c r="BT59" s="926"/>
      <c r="BU59" s="926"/>
      <c r="BV59" s="926"/>
      <c r="BW59" s="926"/>
      <c r="BX59" s="926"/>
      <c r="BY59" s="926"/>
      <c r="BZ59" s="926"/>
      <c r="CA59" s="926"/>
      <c r="CB59" s="926"/>
      <c r="CC59" s="926"/>
      <c r="CD59" s="926"/>
      <c r="CE59" s="926"/>
      <c r="CF59" s="926"/>
      <c r="CG59" s="926"/>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926"/>
      <c r="DH59" s="926"/>
      <c r="DI59" s="926"/>
      <c r="DJ59" s="926"/>
      <c r="DK59" s="926"/>
      <c r="DL59" s="926"/>
      <c r="DM59" s="926"/>
      <c r="DN59" s="926"/>
      <c r="DO59" s="926"/>
      <c r="DP59" s="926"/>
      <c r="DQ59" s="926"/>
      <c r="DR59" s="926"/>
      <c r="DS59" s="926"/>
      <c r="DT59" s="926"/>
      <c r="DU59" s="926"/>
      <c r="DV59" s="926"/>
      <c r="DW59" s="926"/>
      <c r="DX59" s="926"/>
      <c r="DY59" s="926"/>
      <c r="DZ59" s="926"/>
      <c r="EA59" s="926"/>
      <c r="EB59" s="926"/>
      <c r="EC59" s="926"/>
      <c r="ED59" s="926"/>
      <c r="EE59" s="926"/>
      <c r="EF59" s="926"/>
      <c r="EG59" s="926"/>
      <c r="EH59" s="926"/>
      <c r="EI59" s="926"/>
      <c r="EJ59" s="926"/>
      <c r="EK59" s="926"/>
      <c r="EL59" s="926"/>
      <c r="EM59" s="926"/>
      <c r="EN59" s="926"/>
      <c r="EO59" s="926"/>
      <c r="EP59" s="926"/>
      <c r="EQ59" s="926"/>
      <c r="ER59" s="926"/>
      <c r="ES59" s="926"/>
      <c r="ET59" s="926"/>
      <c r="EU59" s="926"/>
      <c r="EV59" s="926"/>
      <c r="EW59" s="926"/>
      <c r="EX59" s="926"/>
      <c r="EY59" s="926"/>
      <c r="EZ59" s="926"/>
      <c r="FA59" s="926"/>
      <c r="FB59" s="926"/>
      <c r="FC59" s="926"/>
      <c r="FD59" s="926"/>
      <c r="FE59" s="926"/>
      <c r="FF59" s="926"/>
      <c r="FG59" s="926"/>
      <c r="FH59" s="926"/>
      <c r="FI59" s="926"/>
      <c r="FJ59" s="926"/>
      <c r="FK59" s="926"/>
      <c r="FL59" s="926"/>
      <c r="FM59" s="926"/>
      <c r="FN59" s="926"/>
      <c r="FO59" s="926"/>
      <c r="FP59" s="926"/>
      <c r="FQ59" s="926"/>
      <c r="FR59" s="926"/>
      <c r="FS59" s="926"/>
      <c r="FT59" s="926"/>
      <c r="FU59" s="926"/>
      <c r="FV59" s="926"/>
      <c r="FW59" s="926"/>
      <c r="FX59" s="926"/>
      <c r="FY59" s="926"/>
      <c r="FZ59" s="926"/>
      <c r="GA59" s="926"/>
      <c r="GB59" s="926"/>
      <c r="GC59" s="926"/>
      <c r="GD59" s="926"/>
      <c r="GE59" s="926"/>
      <c r="GF59" s="926"/>
      <c r="GG59" s="926"/>
      <c r="GH59" s="926"/>
      <c r="GI59" s="926"/>
      <c r="GJ59" s="926"/>
      <c r="GK59" s="926"/>
      <c r="GL59" s="926"/>
      <c r="GM59" s="926"/>
      <c r="GN59" s="926"/>
      <c r="GO59" s="926"/>
      <c r="GP59" s="926"/>
      <c r="GQ59" s="926"/>
      <c r="GR59" s="926"/>
      <c r="GS59" s="926"/>
      <c r="GT59" s="926"/>
      <c r="GU59" s="926"/>
      <c r="GV59" s="926"/>
      <c r="GW59" s="926"/>
      <c r="GX59" s="926"/>
      <c r="GY59" s="926"/>
      <c r="GZ59" s="926"/>
      <c r="HA59" s="926"/>
      <c r="HB59" s="926"/>
      <c r="HC59" s="926"/>
      <c r="HD59" s="926"/>
      <c r="HE59" s="926"/>
      <c r="HF59" s="926"/>
      <c r="HG59" s="926"/>
      <c r="HH59" s="926"/>
      <c r="HI59" s="926"/>
      <c r="HJ59" s="926"/>
      <c r="HK59" s="926"/>
      <c r="HL59" s="926"/>
      <c r="HM59" s="926"/>
      <c r="HN59" s="926"/>
      <c r="HO59" s="926"/>
      <c r="HP59" s="926"/>
      <c r="HQ59" s="926"/>
      <c r="HR59" s="926"/>
      <c r="HS59" s="926"/>
      <c r="HT59" s="926"/>
      <c r="HU59" s="926"/>
      <c r="HV59" s="926"/>
      <c r="HW59" s="926"/>
      <c r="HX59" s="926"/>
      <c r="HY59" s="926"/>
      <c r="HZ59" s="926"/>
      <c r="IA59" s="926"/>
      <c r="IB59" s="926"/>
      <c r="IC59" s="926"/>
      <c r="ID59" s="926"/>
      <c r="IE59" s="926"/>
      <c r="IF59" s="926"/>
      <c r="IG59" s="926"/>
      <c r="IH59" s="926"/>
      <c r="II59" s="926"/>
      <c r="IJ59" s="926"/>
      <c r="IK59" s="926"/>
      <c r="IL59" s="926"/>
      <c r="IM59" s="926"/>
    </row>
    <row r="60" spans="1:247" x14ac:dyDescent="0.45">
      <c r="A60" s="441">
        <v>1792</v>
      </c>
      <c r="B60" s="939" t="s">
        <v>2595</v>
      </c>
      <c r="C60" s="47" t="s">
        <v>88</v>
      </c>
      <c r="D60" s="449" t="s">
        <v>2537</v>
      </c>
      <c r="E60" s="946"/>
      <c r="F60" s="941">
        <f t="shared" si="0"/>
        <v>1.0209999999999999</v>
      </c>
      <c r="G60" s="947">
        <f t="shared" si="6"/>
        <v>1.0269999999999999</v>
      </c>
      <c r="H60" s="946"/>
      <c r="I60" s="948"/>
      <c r="J60" s="948"/>
      <c r="K60" s="948"/>
      <c r="L60" s="948"/>
      <c r="M60" s="948"/>
      <c r="N60" s="947"/>
      <c r="O60" s="949"/>
      <c r="P60" s="946">
        <f>+$P$3</f>
        <v>1.032</v>
      </c>
      <c r="Q60" s="947"/>
      <c r="R60" s="950">
        <f t="shared" si="1"/>
        <v>1.0821211439999998</v>
      </c>
      <c r="S60" s="926"/>
      <c r="T60" s="926"/>
      <c r="U60" s="926"/>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6"/>
      <c r="AV60" s="926"/>
      <c r="AW60" s="926"/>
      <c r="AX60" s="926"/>
      <c r="AY60" s="926"/>
      <c r="AZ60" s="926"/>
      <c r="BA60" s="926"/>
      <c r="BB60" s="926"/>
      <c r="BC60" s="926"/>
      <c r="BD60" s="926"/>
      <c r="BE60" s="926"/>
      <c r="BF60" s="926"/>
      <c r="BG60" s="926"/>
      <c r="BH60" s="926"/>
      <c r="BI60" s="926"/>
      <c r="BJ60" s="926"/>
      <c r="BK60" s="926"/>
      <c r="BL60" s="926"/>
      <c r="BM60" s="926"/>
      <c r="BN60" s="926"/>
      <c r="BO60" s="926"/>
      <c r="BP60" s="926"/>
      <c r="BQ60" s="926"/>
      <c r="BR60" s="926"/>
      <c r="BS60" s="926"/>
      <c r="BT60" s="926"/>
      <c r="BU60" s="926"/>
      <c r="BV60" s="926"/>
      <c r="BW60" s="926"/>
      <c r="BX60" s="926"/>
      <c r="BY60" s="926"/>
      <c r="BZ60" s="926"/>
      <c r="CA60" s="926"/>
      <c r="CB60" s="926"/>
      <c r="CC60" s="926"/>
      <c r="CD60" s="926"/>
      <c r="CE60" s="926"/>
      <c r="CF60" s="926"/>
      <c r="CG60" s="926"/>
      <c r="CH60" s="926"/>
      <c r="CI60" s="926"/>
      <c r="CJ60" s="926"/>
      <c r="CK60" s="926"/>
      <c r="CL60" s="926"/>
      <c r="CM60" s="926"/>
      <c r="CN60" s="926"/>
      <c r="CO60" s="926"/>
      <c r="CP60" s="926"/>
      <c r="CQ60" s="926"/>
      <c r="CR60" s="926"/>
      <c r="CS60" s="926"/>
      <c r="CT60" s="926"/>
      <c r="CU60" s="926"/>
      <c r="CV60" s="926"/>
      <c r="CW60" s="926"/>
      <c r="CX60" s="926"/>
      <c r="CY60" s="926"/>
      <c r="CZ60" s="926"/>
      <c r="DA60" s="926"/>
      <c r="DB60" s="926"/>
      <c r="DC60" s="926"/>
      <c r="DD60" s="926"/>
      <c r="DE60" s="926"/>
      <c r="DF60" s="926"/>
      <c r="DG60" s="926"/>
      <c r="DH60" s="926"/>
      <c r="DI60" s="926"/>
      <c r="DJ60" s="926"/>
      <c r="DK60" s="926"/>
      <c r="DL60" s="926"/>
      <c r="DM60" s="926"/>
      <c r="DN60" s="926"/>
      <c r="DO60" s="926"/>
      <c r="DP60" s="926"/>
      <c r="DQ60" s="926"/>
      <c r="DR60" s="926"/>
      <c r="DS60" s="926"/>
      <c r="DT60" s="926"/>
      <c r="DU60" s="926"/>
      <c r="DV60" s="926"/>
      <c r="DW60" s="926"/>
      <c r="DX60" s="926"/>
      <c r="DY60" s="926"/>
      <c r="DZ60" s="926"/>
      <c r="EA60" s="926"/>
      <c r="EB60" s="926"/>
      <c r="EC60" s="926"/>
      <c r="ED60" s="926"/>
      <c r="EE60" s="926"/>
      <c r="EF60" s="926"/>
      <c r="EG60" s="926"/>
      <c r="EH60" s="926"/>
      <c r="EI60" s="926"/>
      <c r="EJ60" s="926"/>
      <c r="EK60" s="926"/>
      <c r="EL60" s="926"/>
      <c r="EM60" s="926"/>
      <c r="EN60" s="926"/>
      <c r="EO60" s="926"/>
      <c r="EP60" s="926"/>
      <c r="EQ60" s="926"/>
      <c r="ER60" s="926"/>
      <c r="ES60" s="926"/>
      <c r="ET60" s="926"/>
      <c r="EU60" s="926"/>
      <c r="EV60" s="926"/>
      <c r="EW60" s="926"/>
      <c r="EX60" s="926"/>
      <c r="EY60" s="926"/>
      <c r="EZ60" s="926"/>
      <c r="FA60" s="926"/>
      <c r="FB60" s="926"/>
      <c r="FC60" s="926"/>
      <c r="FD60" s="926"/>
      <c r="FE60" s="926"/>
      <c r="FF60" s="926"/>
      <c r="FG60" s="926"/>
      <c r="FH60" s="926"/>
      <c r="FI60" s="926"/>
      <c r="FJ60" s="926"/>
      <c r="FK60" s="926"/>
      <c r="FL60" s="926"/>
      <c r="FM60" s="926"/>
      <c r="FN60" s="926"/>
      <c r="FO60" s="926"/>
      <c r="FP60" s="926"/>
      <c r="FQ60" s="926"/>
      <c r="FR60" s="926"/>
      <c r="FS60" s="926"/>
      <c r="FT60" s="926"/>
      <c r="FU60" s="926"/>
      <c r="FV60" s="926"/>
      <c r="FW60" s="926"/>
      <c r="FX60" s="926"/>
      <c r="FY60" s="926"/>
      <c r="FZ60" s="926"/>
      <c r="GA60" s="926"/>
      <c r="GB60" s="926"/>
      <c r="GC60" s="926"/>
      <c r="GD60" s="926"/>
      <c r="GE60" s="926"/>
      <c r="GF60" s="926"/>
      <c r="GG60" s="926"/>
      <c r="GH60" s="926"/>
      <c r="GI60" s="926"/>
      <c r="GJ60" s="926"/>
      <c r="GK60" s="926"/>
      <c r="GL60" s="926"/>
      <c r="GM60" s="926"/>
      <c r="GN60" s="926"/>
      <c r="GO60" s="926"/>
      <c r="GP60" s="926"/>
      <c r="GQ60" s="926"/>
      <c r="GR60" s="926"/>
      <c r="GS60" s="926"/>
      <c r="GT60" s="926"/>
      <c r="GU60" s="926"/>
      <c r="GV60" s="926"/>
      <c r="GW60" s="926"/>
      <c r="GX60" s="926"/>
      <c r="GY60" s="926"/>
      <c r="GZ60" s="926"/>
      <c r="HA60" s="926"/>
      <c r="HB60" s="926"/>
      <c r="HC60" s="926"/>
      <c r="HD60" s="926"/>
      <c r="HE60" s="926"/>
      <c r="HF60" s="926"/>
      <c r="HG60" s="926"/>
      <c r="HH60" s="926"/>
      <c r="HI60" s="926"/>
      <c r="HJ60" s="926"/>
      <c r="HK60" s="926"/>
      <c r="HL60" s="926"/>
      <c r="HM60" s="926"/>
      <c r="HN60" s="926"/>
      <c r="HO60" s="926"/>
      <c r="HP60" s="926"/>
      <c r="HQ60" s="926"/>
      <c r="HR60" s="926"/>
      <c r="HS60" s="926"/>
      <c r="HT60" s="926"/>
      <c r="HU60" s="926"/>
      <c r="HV60" s="926"/>
      <c r="HW60" s="926"/>
      <c r="HX60" s="926"/>
      <c r="HY60" s="926"/>
      <c r="HZ60" s="926"/>
      <c r="IA60" s="926"/>
      <c r="IB60" s="926"/>
      <c r="IC60" s="926"/>
      <c r="ID60" s="926"/>
      <c r="IE60" s="926"/>
      <c r="IF60" s="926"/>
      <c r="IG60" s="926"/>
      <c r="IH60" s="926"/>
      <c r="II60" s="926"/>
      <c r="IJ60" s="926"/>
      <c r="IK60" s="926"/>
      <c r="IL60" s="926"/>
      <c r="IM60" s="926"/>
    </row>
    <row r="61" spans="1:247" x14ac:dyDescent="0.45">
      <c r="A61" s="441">
        <v>1793</v>
      </c>
      <c r="B61" s="939" t="s">
        <v>2596</v>
      </c>
      <c r="C61" s="47" t="s">
        <v>88</v>
      </c>
      <c r="D61" s="449" t="s">
        <v>2537</v>
      </c>
      <c r="E61" s="946"/>
      <c r="F61" s="941">
        <f t="shared" si="0"/>
        <v>1.0209999999999999</v>
      </c>
      <c r="G61" s="947">
        <f t="shared" si="6"/>
        <v>1.0269999999999999</v>
      </c>
      <c r="H61" s="946"/>
      <c r="I61" s="948"/>
      <c r="J61" s="948"/>
      <c r="K61" s="948"/>
      <c r="L61" s="948"/>
      <c r="M61" s="948"/>
      <c r="N61" s="947"/>
      <c r="O61" s="949"/>
      <c r="P61" s="946"/>
      <c r="Q61" s="947"/>
      <c r="R61" s="950">
        <f t="shared" si="1"/>
        <v>1.0485669999999998</v>
      </c>
      <c r="S61" s="926"/>
      <c r="T61" s="926"/>
      <c r="U61" s="926"/>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6"/>
      <c r="AV61" s="926"/>
      <c r="AW61" s="926"/>
      <c r="AX61" s="926"/>
      <c r="AY61" s="926"/>
      <c r="AZ61" s="926"/>
      <c r="BA61" s="926"/>
      <c r="BB61" s="926"/>
      <c r="BC61" s="926"/>
      <c r="BD61" s="926"/>
      <c r="BE61" s="926"/>
      <c r="BF61" s="926"/>
      <c r="BG61" s="926"/>
      <c r="BH61" s="926"/>
      <c r="BI61" s="926"/>
      <c r="BJ61" s="926"/>
      <c r="BK61" s="926"/>
      <c r="BL61" s="926"/>
      <c r="BM61" s="926"/>
      <c r="BN61" s="926"/>
      <c r="BO61" s="926"/>
      <c r="BP61" s="926"/>
      <c r="BQ61" s="926"/>
      <c r="BR61" s="926"/>
      <c r="BS61" s="926"/>
      <c r="BT61" s="926"/>
      <c r="BU61" s="926"/>
      <c r="BV61" s="926"/>
      <c r="BW61" s="926"/>
      <c r="BX61" s="926"/>
      <c r="BY61" s="926"/>
      <c r="BZ61" s="926"/>
      <c r="CA61" s="926"/>
      <c r="CB61" s="926"/>
      <c r="CC61" s="926"/>
      <c r="CD61" s="926"/>
      <c r="CE61" s="926"/>
      <c r="CF61" s="926"/>
      <c r="CG61" s="926"/>
      <c r="CH61" s="926"/>
      <c r="CI61" s="926"/>
      <c r="CJ61" s="926"/>
      <c r="CK61" s="926"/>
      <c r="CL61" s="926"/>
      <c r="CM61" s="926"/>
      <c r="CN61" s="926"/>
      <c r="CO61" s="926"/>
      <c r="CP61" s="926"/>
      <c r="CQ61" s="926"/>
      <c r="CR61" s="926"/>
      <c r="CS61" s="926"/>
      <c r="CT61" s="926"/>
      <c r="CU61" s="926"/>
      <c r="CV61" s="926"/>
      <c r="CW61" s="926"/>
      <c r="CX61" s="926"/>
      <c r="CY61" s="926"/>
      <c r="CZ61" s="926"/>
      <c r="DA61" s="926"/>
      <c r="DB61" s="926"/>
      <c r="DC61" s="926"/>
      <c r="DD61" s="926"/>
      <c r="DE61" s="926"/>
      <c r="DF61" s="926"/>
      <c r="DG61" s="926"/>
      <c r="DH61" s="926"/>
      <c r="DI61" s="926"/>
      <c r="DJ61" s="926"/>
      <c r="DK61" s="926"/>
      <c r="DL61" s="926"/>
      <c r="DM61" s="926"/>
      <c r="DN61" s="926"/>
      <c r="DO61" s="926"/>
      <c r="DP61" s="926"/>
      <c r="DQ61" s="926"/>
      <c r="DR61" s="926"/>
      <c r="DS61" s="926"/>
      <c r="DT61" s="926"/>
      <c r="DU61" s="926"/>
      <c r="DV61" s="926"/>
      <c r="DW61" s="926"/>
      <c r="DX61" s="926"/>
      <c r="DY61" s="926"/>
      <c r="DZ61" s="926"/>
      <c r="EA61" s="926"/>
      <c r="EB61" s="926"/>
      <c r="EC61" s="926"/>
      <c r="ED61" s="926"/>
      <c r="EE61" s="926"/>
      <c r="EF61" s="926"/>
      <c r="EG61" s="926"/>
      <c r="EH61" s="926"/>
      <c r="EI61" s="926"/>
      <c r="EJ61" s="926"/>
      <c r="EK61" s="926"/>
      <c r="EL61" s="926"/>
      <c r="EM61" s="926"/>
      <c r="EN61" s="926"/>
      <c r="EO61" s="926"/>
      <c r="EP61" s="926"/>
      <c r="EQ61" s="926"/>
      <c r="ER61" s="926"/>
      <c r="ES61" s="926"/>
      <c r="ET61" s="926"/>
      <c r="EU61" s="926"/>
      <c r="EV61" s="926"/>
      <c r="EW61" s="926"/>
      <c r="EX61" s="926"/>
      <c r="EY61" s="926"/>
      <c r="EZ61" s="926"/>
      <c r="FA61" s="926"/>
      <c r="FB61" s="926"/>
      <c r="FC61" s="926"/>
      <c r="FD61" s="926"/>
      <c r="FE61" s="926"/>
      <c r="FF61" s="926"/>
      <c r="FG61" s="926"/>
      <c r="FH61" s="926"/>
      <c r="FI61" s="926"/>
      <c r="FJ61" s="926"/>
      <c r="FK61" s="926"/>
      <c r="FL61" s="926"/>
      <c r="FM61" s="926"/>
      <c r="FN61" s="926"/>
      <c r="FO61" s="926"/>
      <c r="FP61" s="926"/>
      <c r="FQ61" s="926"/>
      <c r="FR61" s="926"/>
      <c r="FS61" s="926"/>
      <c r="FT61" s="926"/>
      <c r="FU61" s="926"/>
      <c r="FV61" s="926"/>
      <c r="FW61" s="926"/>
      <c r="FX61" s="926"/>
      <c r="FY61" s="926"/>
      <c r="FZ61" s="926"/>
      <c r="GA61" s="926"/>
      <c r="GB61" s="926"/>
      <c r="GC61" s="926"/>
      <c r="GD61" s="926"/>
      <c r="GE61" s="926"/>
      <c r="GF61" s="926"/>
      <c r="GG61" s="926"/>
      <c r="GH61" s="926"/>
      <c r="GI61" s="926"/>
      <c r="GJ61" s="926"/>
      <c r="GK61" s="926"/>
      <c r="GL61" s="926"/>
      <c r="GM61" s="926"/>
      <c r="GN61" s="926"/>
      <c r="GO61" s="926"/>
      <c r="GP61" s="926"/>
      <c r="GQ61" s="926"/>
      <c r="GR61" s="926"/>
      <c r="GS61" s="926"/>
      <c r="GT61" s="926"/>
      <c r="GU61" s="926"/>
      <c r="GV61" s="926"/>
      <c r="GW61" s="926"/>
      <c r="GX61" s="926"/>
      <c r="GY61" s="926"/>
      <c r="GZ61" s="926"/>
      <c r="HA61" s="926"/>
      <c r="HB61" s="926"/>
      <c r="HC61" s="926"/>
      <c r="HD61" s="926"/>
      <c r="HE61" s="926"/>
      <c r="HF61" s="926"/>
      <c r="HG61" s="926"/>
      <c r="HH61" s="926"/>
      <c r="HI61" s="926"/>
      <c r="HJ61" s="926"/>
      <c r="HK61" s="926"/>
      <c r="HL61" s="926"/>
      <c r="HM61" s="926"/>
      <c r="HN61" s="926"/>
      <c r="HO61" s="926"/>
      <c r="HP61" s="926"/>
      <c r="HQ61" s="926"/>
      <c r="HR61" s="926"/>
      <c r="HS61" s="926"/>
      <c r="HT61" s="926"/>
      <c r="HU61" s="926"/>
      <c r="HV61" s="926"/>
      <c r="HW61" s="926"/>
      <c r="HX61" s="926"/>
      <c r="HY61" s="926"/>
      <c r="HZ61" s="926"/>
      <c r="IA61" s="926"/>
      <c r="IB61" s="926"/>
      <c r="IC61" s="926"/>
      <c r="ID61" s="926"/>
      <c r="IE61" s="926"/>
      <c r="IF61" s="926"/>
      <c r="IG61" s="926"/>
      <c r="IH61" s="926"/>
      <c r="II61" s="926"/>
      <c r="IJ61" s="926"/>
      <c r="IK61" s="926"/>
      <c r="IL61" s="926"/>
      <c r="IM61" s="926"/>
    </row>
    <row r="62" spans="1:247" x14ac:dyDescent="0.45">
      <c r="A62" s="441">
        <v>1794</v>
      </c>
      <c r="B62" s="939" t="s">
        <v>2597</v>
      </c>
      <c r="C62" s="47" t="s">
        <v>699</v>
      </c>
      <c r="D62" s="449" t="s">
        <v>2537</v>
      </c>
      <c r="E62" s="946"/>
      <c r="F62" s="941">
        <f t="shared" si="0"/>
        <v>1.0209999999999999</v>
      </c>
      <c r="G62" s="947">
        <f t="shared" si="6"/>
        <v>1.0269999999999999</v>
      </c>
      <c r="H62" s="946"/>
      <c r="I62" s="948"/>
      <c r="J62" s="948"/>
      <c r="K62" s="948"/>
      <c r="L62" s="948"/>
      <c r="M62" s="948"/>
      <c r="N62" s="947"/>
      <c r="O62" s="949"/>
      <c r="P62" s="946"/>
      <c r="Q62" s="947"/>
      <c r="R62" s="950">
        <f t="shared" si="1"/>
        <v>1.0485669999999998</v>
      </c>
      <c r="S62" s="926"/>
      <c r="T62" s="926"/>
      <c r="U62" s="926"/>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6"/>
      <c r="AV62" s="926"/>
      <c r="AW62" s="926"/>
      <c r="AX62" s="926"/>
      <c r="AY62" s="926"/>
      <c r="AZ62" s="926"/>
      <c r="BA62" s="926"/>
      <c r="BB62" s="926"/>
      <c r="BC62" s="926"/>
      <c r="BD62" s="926"/>
      <c r="BE62" s="926"/>
      <c r="BF62" s="926"/>
      <c r="BG62" s="926"/>
      <c r="BH62" s="926"/>
      <c r="BI62" s="926"/>
      <c r="BJ62" s="926"/>
      <c r="BK62" s="926"/>
      <c r="BL62" s="926"/>
      <c r="BM62" s="926"/>
      <c r="BN62" s="926"/>
      <c r="BO62" s="926"/>
      <c r="BP62" s="926"/>
      <c r="BQ62" s="926"/>
      <c r="BR62" s="926"/>
      <c r="BS62" s="926"/>
      <c r="BT62" s="926"/>
      <c r="BU62" s="926"/>
      <c r="BV62" s="926"/>
      <c r="BW62" s="926"/>
      <c r="BX62" s="926"/>
      <c r="BY62" s="926"/>
      <c r="BZ62" s="926"/>
      <c r="CA62" s="926"/>
      <c r="CB62" s="926"/>
      <c r="CC62" s="926"/>
      <c r="CD62" s="926"/>
      <c r="CE62" s="926"/>
      <c r="CF62" s="926"/>
      <c r="CG62" s="926"/>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926"/>
      <c r="DH62" s="926"/>
      <c r="DI62" s="926"/>
      <c r="DJ62" s="926"/>
      <c r="DK62" s="926"/>
      <c r="DL62" s="926"/>
      <c r="DM62" s="926"/>
      <c r="DN62" s="926"/>
      <c r="DO62" s="926"/>
      <c r="DP62" s="926"/>
      <c r="DQ62" s="926"/>
      <c r="DR62" s="926"/>
      <c r="DS62" s="926"/>
      <c r="DT62" s="926"/>
      <c r="DU62" s="926"/>
      <c r="DV62" s="926"/>
      <c r="DW62" s="926"/>
      <c r="DX62" s="926"/>
      <c r="DY62" s="926"/>
      <c r="DZ62" s="926"/>
      <c r="EA62" s="926"/>
      <c r="EB62" s="926"/>
      <c r="EC62" s="926"/>
      <c r="ED62" s="926"/>
      <c r="EE62" s="926"/>
      <c r="EF62" s="926"/>
      <c r="EG62" s="926"/>
      <c r="EH62" s="926"/>
      <c r="EI62" s="926"/>
      <c r="EJ62" s="926"/>
      <c r="EK62" s="926"/>
      <c r="EL62" s="926"/>
      <c r="EM62" s="926"/>
      <c r="EN62" s="926"/>
      <c r="EO62" s="926"/>
      <c r="EP62" s="926"/>
      <c r="EQ62" s="926"/>
      <c r="ER62" s="926"/>
      <c r="ES62" s="926"/>
      <c r="ET62" s="926"/>
      <c r="EU62" s="926"/>
      <c r="EV62" s="926"/>
      <c r="EW62" s="926"/>
      <c r="EX62" s="926"/>
      <c r="EY62" s="926"/>
      <c r="EZ62" s="926"/>
      <c r="FA62" s="926"/>
      <c r="FB62" s="926"/>
      <c r="FC62" s="926"/>
      <c r="FD62" s="926"/>
      <c r="FE62" s="926"/>
      <c r="FF62" s="926"/>
      <c r="FG62" s="926"/>
      <c r="FH62" s="926"/>
      <c r="FI62" s="926"/>
      <c r="FJ62" s="926"/>
      <c r="FK62" s="926"/>
      <c r="FL62" s="926"/>
      <c r="FM62" s="926"/>
      <c r="FN62" s="926"/>
      <c r="FO62" s="926"/>
      <c r="FP62" s="926"/>
      <c r="FQ62" s="926"/>
      <c r="FR62" s="926"/>
      <c r="FS62" s="926"/>
      <c r="FT62" s="926"/>
      <c r="FU62" s="926"/>
      <c r="FV62" s="926"/>
      <c r="FW62" s="926"/>
      <c r="FX62" s="926"/>
      <c r="FY62" s="926"/>
      <c r="FZ62" s="926"/>
      <c r="GA62" s="926"/>
      <c r="GB62" s="926"/>
      <c r="GC62" s="926"/>
      <c r="GD62" s="926"/>
      <c r="GE62" s="926"/>
      <c r="GF62" s="926"/>
      <c r="GG62" s="926"/>
      <c r="GH62" s="926"/>
      <c r="GI62" s="926"/>
      <c r="GJ62" s="926"/>
      <c r="GK62" s="926"/>
      <c r="GL62" s="926"/>
      <c r="GM62" s="926"/>
      <c r="GN62" s="926"/>
      <c r="GO62" s="926"/>
      <c r="GP62" s="926"/>
      <c r="GQ62" s="926"/>
      <c r="GR62" s="926"/>
      <c r="GS62" s="926"/>
      <c r="GT62" s="926"/>
      <c r="GU62" s="926"/>
      <c r="GV62" s="926"/>
      <c r="GW62" s="926"/>
      <c r="GX62" s="926"/>
      <c r="GY62" s="926"/>
      <c r="GZ62" s="926"/>
      <c r="HA62" s="926"/>
      <c r="HB62" s="926"/>
      <c r="HC62" s="926"/>
      <c r="HD62" s="926"/>
      <c r="HE62" s="926"/>
      <c r="HF62" s="926"/>
      <c r="HG62" s="926"/>
      <c r="HH62" s="926"/>
      <c r="HI62" s="926"/>
      <c r="HJ62" s="926"/>
      <c r="HK62" s="926"/>
      <c r="HL62" s="926"/>
      <c r="HM62" s="926"/>
      <c r="HN62" s="926"/>
      <c r="HO62" s="926"/>
      <c r="HP62" s="926"/>
      <c r="HQ62" s="926"/>
      <c r="HR62" s="926"/>
      <c r="HS62" s="926"/>
      <c r="HT62" s="926"/>
      <c r="HU62" s="926"/>
      <c r="HV62" s="926"/>
      <c r="HW62" s="926"/>
      <c r="HX62" s="926"/>
      <c r="HY62" s="926"/>
      <c r="HZ62" s="926"/>
      <c r="IA62" s="926"/>
      <c r="IB62" s="926"/>
      <c r="IC62" s="926"/>
      <c r="ID62" s="926"/>
      <c r="IE62" s="926"/>
      <c r="IF62" s="926"/>
      <c r="IG62" s="926"/>
      <c r="IH62" s="926"/>
      <c r="II62" s="926"/>
      <c r="IJ62" s="926"/>
      <c r="IK62" s="926"/>
      <c r="IL62" s="926"/>
      <c r="IM62" s="926"/>
    </row>
    <row r="63" spans="1:247" x14ac:dyDescent="0.45">
      <c r="A63" s="441">
        <v>1795</v>
      </c>
      <c r="B63" s="939" t="s">
        <v>2598</v>
      </c>
      <c r="C63" s="47" t="s">
        <v>35</v>
      </c>
      <c r="D63" s="449" t="s">
        <v>2537</v>
      </c>
      <c r="E63" s="946"/>
      <c r="F63" s="941">
        <f t="shared" si="0"/>
        <v>1.0209999999999999</v>
      </c>
      <c r="G63" s="947">
        <f t="shared" si="6"/>
        <v>1.0269999999999999</v>
      </c>
      <c r="H63" s="946"/>
      <c r="I63" s="948"/>
      <c r="J63" s="948"/>
      <c r="K63" s="948"/>
      <c r="L63" s="948"/>
      <c r="M63" s="948"/>
      <c r="N63" s="947"/>
      <c r="O63" s="949"/>
      <c r="P63" s="946">
        <f>+$P$3</f>
        <v>1.032</v>
      </c>
      <c r="Q63" s="947"/>
      <c r="R63" s="950">
        <f t="shared" si="1"/>
        <v>1.0821211439999998</v>
      </c>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6"/>
      <c r="AY63" s="926"/>
      <c r="AZ63" s="926"/>
      <c r="BA63" s="926"/>
      <c r="BB63" s="926"/>
      <c r="BC63" s="926"/>
      <c r="BD63" s="926"/>
      <c r="BE63" s="926"/>
      <c r="BF63" s="926"/>
      <c r="BG63" s="926"/>
      <c r="BH63" s="926"/>
      <c r="BI63" s="926"/>
      <c r="BJ63" s="926"/>
      <c r="BK63" s="926"/>
      <c r="BL63" s="926"/>
      <c r="BM63" s="926"/>
      <c r="BN63" s="926"/>
      <c r="BO63" s="926"/>
      <c r="BP63" s="926"/>
      <c r="BQ63" s="926"/>
      <c r="BR63" s="926"/>
      <c r="BS63" s="926"/>
      <c r="BT63" s="926"/>
      <c r="BU63" s="926"/>
      <c r="BV63" s="926"/>
      <c r="BW63" s="926"/>
      <c r="BX63" s="926"/>
      <c r="BY63" s="926"/>
      <c r="BZ63" s="926"/>
      <c r="CA63" s="926"/>
      <c r="CB63" s="926"/>
      <c r="CC63" s="926"/>
      <c r="CD63" s="926"/>
      <c r="CE63" s="926"/>
      <c r="CF63" s="926"/>
      <c r="CG63" s="926"/>
      <c r="CH63" s="926"/>
      <c r="CI63" s="926"/>
      <c r="CJ63" s="926"/>
      <c r="CK63" s="926"/>
      <c r="CL63" s="926"/>
      <c r="CM63" s="926"/>
      <c r="CN63" s="926"/>
      <c r="CO63" s="926"/>
      <c r="CP63" s="926"/>
      <c r="CQ63" s="926"/>
      <c r="CR63" s="926"/>
      <c r="CS63" s="926"/>
      <c r="CT63" s="926"/>
      <c r="CU63" s="926"/>
      <c r="CV63" s="926"/>
      <c r="CW63" s="926"/>
      <c r="CX63" s="926"/>
      <c r="CY63" s="926"/>
      <c r="CZ63" s="926"/>
      <c r="DA63" s="926"/>
      <c r="DB63" s="926"/>
      <c r="DC63" s="926"/>
      <c r="DD63" s="926"/>
      <c r="DE63" s="926"/>
      <c r="DF63" s="926"/>
      <c r="DG63" s="926"/>
      <c r="DH63" s="926"/>
      <c r="DI63" s="926"/>
      <c r="DJ63" s="926"/>
      <c r="DK63" s="926"/>
      <c r="DL63" s="926"/>
      <c r="DM63" s="926"/>
      <c r="DN63" s="926"/>
      <c r="DO63" s="926"/>
      <c r="DP63" s="926"/>
      <c r="DQ63" s="926"/>
      <c r="DR63" s="926"/>
      <c r="DS63" s="926"/>
      <c r="DT63" s="926"/>
      <c r="DU63" s="926"/>
      <c r="DV63" s="926"/>
      <c r="DW63" s="926"/>
      <c r="DX63" s="926"/>
      <c r="DY63" s="926"/>
      <c r="DZ63" s="926"/>
      <c r="EA63" s="926"/>
      <c r="EB63" s="926"/>
      <c r="EC63" s="926"/>
      <c r="ED63" s="926"/>
      <c r="EE63" s="926"/>
      <c r="EF63" s="926"/>
      <c r="EG63" s="926"/>
      <c r="EH63" s="926"/>
      <c r="EI63" s="926"/>
      <c r="EJ63" s="926"/>
      <c r="EK63" s="926"/>
      <c r="EL63" s="926"/>
      <c r="EM63" s="926"/>
      <c r="EN63" s="926"/>
      <c r="EO63" s="926"/>
      <c r="EP63" s="926"/>
      <c r="EQ63" s="926"/>
      <c r="ER63" s="926"/>
      <c r="ES63" s="926"/>
      <c r="ET63" s="926"/>
      <c r="EU63" s="926"/>
      <c r="EV63" s="926"/>
      <c r="EW63" s="926"/>
      <c r="EX63" s="926"/>
      <c r="EY63" s="926"/>
      <c r="EZ63" s="926"/>
      <c r="FA63" s="926"/>
      <c r="FB63" s="926"/>
      <c r="FC63" s="926"/>
      <c r="FD63" s="926"/>
      <c r="FE63" s="926"/>
      <c r="FF63" s="926"/>
      <c r="FG63" s="926"/>
      <c r="FH63" s="926"/>
      <c r="FI63" s="926"/>
      <c r="FJ63" s="926"/>
      <c r="FK63" s="926"/>
      <c r="FL63" s="926"/>
      <c r="FM63" s="926"/>
      <c r="FN63" s="926"/>
      <c r="FO63" s="926"/>
      <c r="FP63" s="926"/>
      <c r="FQ63" s="926"/>
      <c r="FR63" s="926"/>
      <c r="FS63" s="926"/>
      <c r="FT63" s="926"/>
      <c r="FU63" s="926"/>
      <c r="FV63" s="926"/>
      <c r="FW63" s="926"/>
      <c r="FX63" s="926"/>
      <c r="FY63" s="926"/>
      <c r="FZ63" s="926"/>
      <c r="GA63" s="926"/>
      <c r="GB63" s="926"/>
      <c r="GC63" s="926"/>
      <c r="GD63" s="926"/>
      <c r="GE63" s="926"/>
      <c r="GF63" s="926"/>
      <c r="GG63" s="926"/>
      <c r="GH63" s="926"/>
      <c r="GI63" s="926"/>
      <c r="GJ63" s="926"/>
      <c r="GK63" s="926"/>
      <c r="GL63" s="926"/>
      <c r="GM63" s="926"/>
      <c r="GN63" s="926"/>
      <c r="GO63" s="926"/>
      <c r="GP63" s="926"/>
      <c r="GQ63" s="926"/>
      <c r="GR63" s="926"/>
      <c r="GS63" s="926"/>
      <c r="GT63" s="926"/>
      <c r="GU63" s="926"/>
      <c r="GV63" s="926"/>
      <c r="GW63" s="926"/>
      <c r="GX63" s="926"/>
      <c r="GY63" s="926"/>
      <c r="GZ63" s="926"/>
      <c r="HA63" s="926"/>
      <c r="HB63" s="926"/>
      <c r="HC63" s="926"/>
      <c r="HD63" s="926"/>
      <c r="HE63" s="926"/>
      <c r="HF63" s="926"/>
      <c r="HG63" s="926"/>
      <c r="HH63" s="926"/>
      <c r="HI63" s="926"/>
      <c r="HJ63" s="926"/>
      <c r="HK63" s="926"/>
      <c r="HL63" s="926"/>
      <c r="HM63" s="926"/>
      <c r="HN63" s="926"/>
      <c r="HO63" s="926"/>
      <c r="HP63" s="926"/>
      <c r="HQ63" s="926"/>
      <c r="HR63" s="926"/>
      <c r="HS63" s="926"/>
      <c r="HT63" s="926"/>
      <c r="HU63" s="926"/>
      <c r="HV63" s="926"/>
      <c r="HW63" s="926"/>
      <c r="HX63" s="926"/>
      <c r="HY63" s="926"/>
      <c r="HZ63" s="926"/>
      <c r="IA63" s="926"/>
      <c r="IB63" s="926"/>
      <c r="IC63" s="926"/>
      <c r="ID63" s="926"/>
      <c r="IE63" s="926"/>
      <c r="IF63" s="926"/>
      <c r="IG63" s="926"/>
      <c r="IH63" s="926"/>
      <c r="II63" s="926"/>
      <c r="IJ63" s="926"/>
      <c r="IK63" s="926"/>
      <c r="IL63" s="926"/>
      <c r="IM63" s="926"/>
    </row>
    <row r="64" spans="1:247" x14ac:dyDescent="0.45">
      <c r="A64" s="441">
        <v>1796</v>
      </c>
      <c r="B64" s="939" t="s">
        <v>2599</v>
      </c>
      <c r="C64" s="47" t="s">
        <v>35</v>
      </c>
      <c r="D64" s="449" t="s">
        <v>2537</v>
      </c>
      <c r="E64" s="946"/>
      <c r="F64" s="941">
        <v>1.0209999999999999</v>
      </c>
      <c r="G64" s="947">
        <v>1.0269999999999999</v>
      </c>
      <c r="H64" s="946"/>
      <c r="I64" s="948"/>
      <c r="J64" s="948"/>
      <c r="K64" s="948"/>
      <c r="L64" s="948"/>
      <c r="M64" s="948"/>
      <c r="N64" s="947"/>
      <c r="O64" s="949"/>
      <c r="P64" s="946">
        <f>+$P$3</f>
        <v>1.032</v>
      </c>
      <c r="Q64" s="947"/>
      <c r="R64" s="950">
        <f t="shared" si="1"/>
        <v>1.0821211439999998</v>
      </c>
      <c r="S64" s="926"/>
      <c r="T64" s="926"/>
      <c r="U64" s="926"/>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6"/>
      <c r="AV64" s="926"/>
      <c r="AW64" s="926"/>
      <c r="AX64" s="926"/>
      <c r="AY64" s="926"/>
      <c r="AZ64" s="926"/>
      <c r="BA64" s="926"/>
      <c r="BB64" s="926"/>
      <c r="BC64" s="926"/>
      <c r="BD64" s="926"/>
      <c r="BE64" s="926"/>
      <c r="BF64" s="926"/>
      <c r="BG64" s="926"/>
      <c r="BH64" s="926"/>
      <c r="BI64" s="926"/>
      <c r="BJ64" s="926"/>
      <c r="BK64" s="926"/>
      <c r="BL64" s="926"/>
      <c r="BM64" s="926"/>
      <c r="BN64" s="926"/>
      <c r="BO64" s="926"/>
      <c r="BP64" s="926"/>
      <c r="BQ64" s="926"/>
      <c r="BR64" s="926"/>
      <c r="BS64" s="926"/>
      <c r="BT64" s="926"/>
      <c r="BU64" s="926"/>
      <c r="BV64" s="926"/>
      <c r="BW64" s="926"/>
      <c r="BX64" s="926"/>
      <c r="BY64" s="926"/>
      <c r="BZ64" s="926"/>
      <c r="CA64" s="926"/>
      <c r="CB64" s="926"/>
      <c r="CC64" s="926"/>
      <c r="CD64" s="926"/>
      <c r="CE64" s="926"/>
      <c r="CF64" s="926"/>
      <c r="CG64" s="926"/>
      <c r="CH64" s="926"/>
      <c r="CI64" s="926"/>
      <c r="CJ64" s="926"/>
      <c r="CK64" s="926"/>
      <c r="CL64" s="926"/>
      <c r="CM64" s="926"/>
      <c r="CN64" s="926"/>
      <c r="CO64" s="926"/>
      <c r="CP64" s="926"/>
      <c r="CQ64" s="926"/>
      <c r="CR64" s="926"/>
      <c r="CS64" s="926"/>
      <c r="CT64" s="926"/>
      <c r="CU64" s="926"/>
      <c r="CV64" s="926"/>
      <c r="CW64" s="926"/>
      <c r="CX64" s="926"/>
      <c r="CY64" s="926"/>
      <c r="CZ64" s="926"/>
      <c r="DA64" s="926"/>
      <c r="DB64" s="926"/>
      <c r="DC64" s="926"/>
      <c r="DD64" s="926"/>
      <c r="DE64" s="926"/>
      <c r="DF64" s="926"/>
      <c r="DG64" s="926"/>
      <c r="DH64" s="926"/>
      <c r="DI64" s="926"/>
      <c r="DJ64" s="926"/>
      <c r="DK64" s="926"/>
      <c r="DL64" s="926"/>
      <c r="DM64" s="926"/>
      <c r="DN64" s="926"/>
      <c r="DO64" s="926"/>
      <c r="DP64" s="926"/>
      <c r="DQ64" s="926"/>
      <c r="DR64" s="926"/>
      <c r="DS64" s="926"/>
      <c r="DT64" s="926"/>
      <c r="DU64" s="926"/>
      <c r="DV64" s="926"/>
      <c r="DW64" s="926"/>
      <c r="DX64" s="926"/>
      <c r="DY64" s="926"/>
      <c r="DZ64" s="926"/>
      <c r="EA64" s="926"/>
      <c r="EB64" s="926"/>
      <c r="EC64" s="926"/>
      <c r="ED64" s="926"/>
      <c r="EE64" s="926"/>
      <c r="EF64" s="926"/>
      <c r="EG64" s="926"/>
      <c r="EH64" s="926"/>
      <c r="EI64" s="926"/>
      <c r="EJ64" s="926"/>
      <c r="EK64" s="926"/>
      <c r="EL64" s="926"/>
      <c r="EM64" s="926"/>
      <c r="EN64" s="926"/>
      <c r="EO64" s="926"/>
      <c r="EP64" s="926"/>
      <c r="EQ64" s="926"/>
      <c r="ER64" s="926"/>
      <c r="ES64" s="926"/>
      <c r="ET64" s="926"/>
      <c r="EU64" s="926"/>
      <c r="EV64" s="926"/>
      <c r="EW64" s="926"/>
      <c r="EX64" s="926"/>
      <c r="EY64" s="926"/>
      <c r="EZ64" s="926"/>
      <c r="FA64" s="926"/>
      <c r="FB64" s="926"/>
      <c r="FC64" s="926"/>
      <c r="FD64" s="926"/>
      <c r="FE64" s="926"/>
      <c r="FF64" s="926"/>
      <c r="FG64" s="926"/>
      <c r="FH64" s="926"/>
      <c r="FI64" s="926"/>
      <c r="FJ64" s="926"/>
      <c r="FK64" s="926"/>
      <c r="FL64" s="926"/>
      <c r="FM64" s="926"/>
      <c r="FN64" s="926"/>
      <c r="FO64" s="926"/>
      <c r="FP64" s="926"/>
      <c r="FQ64" s="926"/>
      <c r="FR64" s="926"/>
      <c r="FS64" s="926"/>
      <c r="FT64" s="926"/>
      <c r="FU64" s="926"/>
      <c r="FV64" s="926"/>
      <c r="FW64" s="926"/>
      <c r="FX64" s="926"/>
      <c r="FY64" s="926"/>
      <c r="FZ64" s="926"/>
      <c r="GA64" s="926"/>
      <c r="GB64" s="926"/>
      <c r="GC64" s="926"/>
      <c r="GD64" s="926"/>
      <c r="GE64" s="926"/>
      <c r="GF64" s="926"/>
      <c r="GG64" s="926"/>
      <c r="GH64" s="926"/>
      <c r="GI64" s="926"/>
      <c r="GJ64" s="926"/>
      <c r="GK64" s="926"/>
      <c r="GL64" s="926"/>
      <c r="GM64" s="926"/>
      <c r="GN64" s="926"/>
      <c r="GO64" s="926"/>
      <c r="GP64" s="926"/>
      <c r="GQ64" s="926"/>
      <c r="GR64" s="926"/>
      <c r="GS64" s="926"/>
      <c r="GT64" s="926"/>
      <c r="GU64" s="926"/>
      <c r="GV64" s="926"/>
      <c r="GW64" s="926"/>
      <c r="GX64" s="926"/>
      <c r="GY64" s="926"/>
      <c r="GZ64" s="926"/>
      <c r="HA64" s="926"/>
      <c r="HB64" s="926"/>
      <c r="HC64" s="926"/>
      <c r="HD64" s="926"/>
      <c r="HE64" s="926"/>
      <c r="HF64" s="926"/>
      <c r="HG64" s="926"/>
      <c r="HH64" s="926"/>
      <c r="HI64" s="926"/>
      <c r="HJ64" s="926"/>
      <c r="HK64" s="926"/>
      <c r="HL64" s="926"/>
      <c r="HM64" s="926"/>
      <c r="HN64" s="926"/>
      <c r="HO64" s="926"/>
      <c r="HP64" s="926"/>
      <c r="HQ64" s="926"/>
      <c r="HR64" s="926"/>
      <c r="HS64" s="926"/>
      <c r="HT64" s="926"/>
      <c r="HU64" s="926"/>
      <c r="HV64" s="926"/>
      <c r="HW64" s="926"/>
      <c r="HX64" s="926"/>
      <c r="HY64" s="926"/>
      <c r="HZ64" s="926"/>
      <c r="IA64" s="926"/>
      <c r="IB64" s="926"/>
      <c r="IC64" s="926"/>
      <c r="ID64" s="926"/>
      <c r="IE64" s="926"/>
      <c r="IF64" s="926"/>
      <c r="IG64" s="926"/>
      <c r="IH64" s="926"/>
      <c r="II64" s="926"/>
      <c r="IJ64" s="926"/>
      <c r="IK64" s="926"/>
      <c r="IL64" s="926"/>
      <c r="IM64" s="926"/>
    </row>
    <row r="65" spans="1:247" x14ac:dyDescent="0.45">
      <c r="A65" s="441">
        <v>1797</v>
      </c>
      <c r="B65" s="939" t="s">
        <v>2600</v>
      </c>
      <c r="C65" s="47" t="s">
        <v>699</v>
      </c>
      <c r="D65" s="449" t="s">
        <v>2537</v>
      </c>
      <c r="E65" s="946"/>
      <c r="F65" s="941">
        <v>1.0209999999999999</v>
      </c>
      <c r="G65" s="947">
        <v>1.0269999999999999</v>
      </c>
      <c r="H65" s="946"/>
      <c r="I65" s="948"/>
      <c r="J65" s="948"/>
      <c r="K65" s="948"/>
      <c r="L65" s="948"/>
      <c r="M65" s="948"/>
      <c r="N65" s="947"/>
      <c r="O65" s="949"/>
      <c r="P65" s="946"/>
      <c r="Q65" s="947"/>
      <c r="R65" s="950">
        <f t="shared" si="1"/>
        <v>1.0485669999999998</v>
      </c>
      <c r="S65" s="926"/>
      <c r="T65" s="926"/>
      <c r="U65" s="926"/>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6"/>
      <c r="AV65" s="926"/>
      <c r="AW65" s="926"/>
      <c r="AX65" s="926"/>
      <c r="AY65" s="926"/>
      <c r="AZ65" s="926"/>
      <c r="BA65" s="926"/>
      <c r="BB65" s="926"/>
      <c r="BC65" s="926"/>
      <c r="BD65" s="926"/>
      <c r="BE65" s="926"/>
      <c r="BF65" s="926"/>
      <c r="BG65" s="926"/>
      <c r="BH65" s="926"/>
      <c r="BI65" s="926"/>
      <c r="BJ65" s="926"/>
      <c r="BK65" s="926"/>
      <c r="BL65" s="926"/>
      <c r="BM65" s="926"/>
      <c r="BN65" s="926"/>
      <c r="BO65" s="926"/>
      <c r="BP65" s="926"/>
      <c r="BQ65" s="926"/>
      <c r="BR65" s="926"/>
      <c r="BS65" s="926"/>
      <c r="BT65" s="926"/>
      <c r="BU65" s="926"/>
      <c r="BV65" s="926"/>
      <c r="BW65" s="926"/>
      <c r="BX65" s="926"/>
      <c r="BY65" s="926"/>
      <c r="BZ65" s="926"/>
      <c r="CA65" s="926"/>
      <c r="CB65" s="926"/>
      <c r="CC65" s="926"/>
      <c r="CD65" s="926"/>
      <c r="CE65" s="926"/>
      <c r="CF65" s="926"/>
      <c r="CG65" s="926"/>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926"/>
      <c r="DH65" s="926"/>
      <c r="DI65" s="926"/>
      <c r="DJ65" s="926"/>
      <c r="DK65" s="926"/>
      <c r="DL65" s="926"/>
      <c r="DM65" s="926"/>
      <c r="DN65" s="926"/>
      <c r="DO65" s="926"/>
      <c r="DP65" s="926"/>
      <c r="DQ65" s="926"/>
      <c r="DR65" s="926"/>
      <c r="DS65" s="926"/>
      <c r="DT65" s="926"/>
      <c r="DU65" s="926"/>
      <c r="DV65" s="926"/>
      <c r="DW65" s="926"/>
      <c r="DX65" s="926"/>
      <c r="DY65" s="926"/>
      <c r="DZ65" s="926"/>
      <c r="EA65" s="926"/>
      <c r="EB65" s="926"/>
      <c r="EC65" s="926"/>
      <c r="ED65" s="926"/>
      <c r="EE65" s="926"/>
      <c r="EF65" s="926"/>
      <c r="EG65" s="926"/>
      <c r="EH65" s="926"/>
      <c r="EI65" s="926"/>
      <c r="EJ65" s="926"/>
      <c r="EK65" s="926"/>
      <c r="EL65" s="926"/>
      <c r="EM65" s="926"/>
      <c r="EN65" s="926"/>
      <c r="EO65" s="926"/>
      <c r="EP65" s="926"/>
      <c r="EQ65" s="926"/>
      <c r="ER65" s="926"/>
      <c r="ES65" s="926"/>
      <c r="ET65" s="926"/>
      <c r="EU65" s="926"/>
      <c r="EV65" s="926"/>
      <c r="EW65" s="926"/>
      <c r="EX65" s="926"/>
      <c r="EY65" s="926"/>
      <c r="EZ65" s="926"/>
      <c r="FA65" s="926"/>
      <c r="FB65" s="926"/>
      <c r="FC65" s="926"/>
      <c r="FD65" s="926"/>
      <c r="FE65" s="926"/>
      <c r="FF65" s="926"/>
      <c r="FG65" s="926"/>
      <c r="FH65" s="926"/>
      <c r="FI65" s="926"/>
      <c r="FJ65" s="926"/>
      <c r="FK65" s="926"/>
      <c r="FL65" s="926"/>
      <c r="FM65" s="926"/>
      <c r="FN65" s="926"/>
      <c r="FO65" s="926"/>
      <c r="FP65" s="926"/>
      <c r="FQ65" s="926"/>
      <c r="FR65" s="926"/>
      <c r="FS65" s="926"/>
      <c r="FT65" s="926"/>
      <c r="FU65" s="926"/>
      <c r="FV65" s="926"/>
      <c r="FW65" s="926"/>
      <c r="FX65" s="926"/>
      <c r="FY65" s="926"/>
      <c r="FZ65" s="926"/>
      <c r="GA65" s="926"/>
      <c r="GB65" s="926"/>
      <c r="GC65" s="926"/>
      <c r="GD65" s="926"/>
      <c r="GE65" s="926"/>
      <c r="GF65" s="926"/>
      <c r="GG65" s="926"/>
      <c r="GH65" s="926"/>
      <c r="GI65" s="926"/>
      <c r="GJ65" s="926"/>
      <c r="GK65" s="926"/>
      <c r="GL65" s="926"/>
      <c r="GM65" s="926"/>
      <c r="GN65" s="926"/>
      <c r="GO65" s="926"/>
      <c r="GP65" s="926"/>
      <c r="GQ65" s="926"/>
      <c r="GR65" s="926"/>
      <c r="GS65" s="926"/>
      <c r="GT65" s="926"/>
      <c r="GU65" s="926"/>
      <c r="GV65" s="926"/>
      <c r="GW65" s="926"/>
      <c r="GX65" s="926"/>
      <c r="GY65" s="926"/>
      <c r="GZ65" s="926"/>
      <c r="HA65" s="926"/>
      <c r="HB65" s="926"/>
      <c r="HC65" s="926"/>
      <c r="HD65" s="926"/>
      <c r="HE65" s="926"/>
      <c r="HF65" s="926"/>
      <c r="HG65" s="926"/>
      <c r="HH65" s="926"/>
      <c r="HI65" s="926"/>
      <c r="HJ65" s="926"/>
      <c r="HK65" s="926"/>
      <c r="HL65" s="926"/>
      <c r="HM65" s="926"/>
      <c r="HN65" s="926"/>
      <c r="HO65" s="926"/>
      <c r="HP65" s="926"/>
      <c r="HQ65" s="926"/>
      <c r="HR65" s="926"/>
      <c r="HS65" s="926"/>
      <c r="HT65" s="926"/>
      <c r="HU65" s="926"/>
      <c r="HV65" s="926"/>
      <c r="HW65" s="926"/>
      <c r="HX65" s="926"/>
      <c r="HY65" s="926"/>
      <c r="HZ65" s="926"/>
      <c r="IA65" s="926"/>
      <c r="IB65" s="926"/>
      <c r="IC65" s="926"/>
      <c r="ID65" s="926"/>
      <c r="IE65" s="926"/>
      <c r="IF65" s="926"/>
      <c r="IG65" s="926"/>
      <c r="IH65" s="926"/>
      <c r="II65" s="926"/>
      <c r="IJ65" s="926"/>
      <c r="IK65" s="926"/>
      <c r="IL65" s="926"/>
      <c r="IM65" s="926"/>
    </row>
    <row r="66" spans="1:247" x14ac:dyDescent="0.45">
      <c r="A66" s="441">
        <v>1798</v>
      </c>
      <c r="B66" s="939" t="s">
        <v>2601</v>
      </c>
      <c r="C66" s="47" t="s">
        <v>88</v>
      </c>
      <c r="D66" s="449" t="s">
        <v>2537</v>
      </c>
      <c r="E66" s="946"/>
      <c r="F66" s="941">
        <v>1.0209999999999999</v>
      </c>
      <c r="G66" s="947">
        <v>1.0269999999999999</v>
      </c>
      <c r="H66" s="946"/>
      <c r="I66" s="948"/>
      <c r="J66" s="948"/>
      <c r="K66" s="948"/>
      <c r="L66" s="948"/>
      <c r="M66" s="948"/>
      <c r="N66" s="947"/>
      <c r="O66" s="949"/>
      <c r="P66" s="946"/>
      <c r="Q66" s="947"/>
      <c r="R66" s="950">
        <f t="shared" si="1"/>
        <v>1.0485669999999998</v>
      </c>
      <c r="S66" s="926"/>
      <c r="T66" s="926"/>
      <c r="U66" s="926"/>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6"/>
      <c r="AV66" s="926"/>
      <c r="AW66" s="926"/>
      <c r="AX66" s="926"/>
      <c r="AY66" s="926"/>
      <c r="AZ66" s="926"/>
      <c r="BA66" s="926"/>
      <c r="BB66" s="926"/>
      <c r="BC66" s="926"/>
      <c r="BD66" s="926"/>
      <c r="BE66" s="926"/>
      <c r="BF66" s="926"/>
      <c r="BG66" s="926"/>
      <c r="BH66" s="926"/>
      <c r="BI66" s="926"/>
      <c r="BJ66" s="926"/>
      <c r="BK66" s="926"/>
      <c r="BL66" s="926"/>
      <c r="BM66" s="926"/>
      <c r="BN66" s="926"/>
      <c r="BO66" s="926"/>
      <c r="BP66" s="926"/>
      <c r="BQ66" s="926"/>
      <c r="BR66" s="926"/>
      <c r="BS66" s="926"/>
      <c r="BT66" s="926"/>
      <c r="BU66" s="926"/>
      <c r="BV66" s="926"/>
      <c r="BW66" s="926"/>
      <c r="BX66" s="926"/>
      <c r="BY66" s="926"/>
      <c r="BZ66" s="926"/>
      <c r="CA66" s="926"/>
      <c r="CB66" s="926"/>
      <c r="CC66" s="926"/>
      <c r="CD66" s="926"/>
      <c r="CE66" s="926"/>
      <c r="CF66" s="926"/>
      <c r="CG66" s="926"/>
      <c r="CH66" s="926"/>
      <c r="CI66" s="926"/>
      <c r="CJ66" s="926"/>
      <c r="CK66" s="926"/>
      <c r="CL66" s="926"/>
      <c r="CM66" s="926"/>
      <c r="CN66" s="926"/>
      <c r="CO66" s="926"/>
      <c r="CP66" s="926"/>
      <c r="CQ66" s="926"/>
      <c r="CR66" s="926"/>
      <c r="CS66" s="926"/>
      <c r="CT66" s="926"/>
      <c r="CU66" s="926"/>
      <c r="CV66" s="926"/>
      <c r="CW66" s="926"/>
      <c r="CX66" s="926"/>
      <c r="CY66" s="926"/>
      <c r="CZ66" s="926"/>
      <c r="DA66" s="926"/>
      <c r="DB66" s="926"/>
      <c r="DC66" s="926"/>
      <c r="DD66" s="926"/>
      <c r="DE66" s="926"/>
      <c r="DF66" s="926"/>
      <c r="DG66" s="926"/>
      <c r="DH66" s="926"/>
      <c r="DI66" s="926"/>
      <c r="DJ66" s="926"/>
      <c r="DK66" s="926"/>
      <c r="DL66" s="926"/>
      <c r="DM66" s="926"/>
      <c r="DN66" s="926"/>
      <c r="DO66" s="926"/>
      <c r="DP66" s="926"/>
      <c r="DQ66" s="926"/>
      <c r="DR66" s="926"/>
      <c r="DS66" s="926"/>
      <c r="DT66" s="926"/>
      <c r="DU66" s="926"/>
      <c r="DV66" s="926"/>
      <c r="DW66" s="926"/>
      <c r="DX66" s="926"/>
      <c r="DY66" s="926"/>
      <c r="DZ66" s="926"/>
      <c r="EA66" s="926"/>
      <c r="EB66" s="926"/>
      <c r="EC66" s="926"/>
      <c r="ED66" s="926"/>
      <c r="EE66" s="926"/>
      <c r="EF66" s="926"/>
      <c r="EG66" s="926"/>
      <c r="EH66" s="926"/>
      <c r="EI66" s="926"/>
      <c r="EJ66" s="926"/>
      <c r="EK66" s="926"/>
      <c r="EL66" s="926"/>
      <c r="EM66" s="926"/>
      <c r="EN66" s="926"/>
      <c r="EO66" s="926"/>
      <c r="EP66" s="926"/>
      <c r="EQ66" s="926"/>
      <c r="ER66" s="926"/>
      <c r="ES66" s="926"/>
      <c r="ET66" s="926"/>
      <c r="EU66" s="926"/>
      <c r="EV66" s="926"/>
      <c r="EW66" s="926"/>
      <c r="EX66" s="926"/>
      <c r="EY66" s="926"/>
      <c r="EZ66" s="926"/>
      <c r="FA66" s="926"/>
      <c r="FB66" s="926"/>
      <c r="FC66" s="926"/>
      <c r="FD66" s="926"/>
      <c r="FE66" s="926"/>
      <c r="FF66" s="926"/>
      <c r="FG66" s="926"/>
      <c r="FH66" s="926"/>
      <c r="FI66" s="926"/>
      <c r="FJ66" s="926"/>
      <c r="FK66" s="926"/>
      <c r="FL66" s="926"/>
      <c r="FM66" s="926"/>
      <c r="FN66" s="926"/>
      <c r="FO66" s="926"/>
      <c r="FP66" s="926"/>
      <c r="FQ66" s="926"/>
      <c r="FR66" s="926"/>
      <c r="FS66" s="926"/>
      <c r="FT66" s="926"/>
      <c r="FU66" s="926"/>
      <c r="FV66" s="926"/>
      <c r="FW66" s="926"/>
      <c r="FX66" s="926"/>
      <c r="FY66" s="926"/>
      <c r="FZ66" s="926"/>
      <c r="GA66" s="926"/>
      <c r="GB66" s="926"/>
      <c r="GC66" s="926"/>
      <c r="GD66" s="926"/>
      <c r="GE66" s="926"/>
      <c r="GF66" s="926"/>
      <c r="GG66" s="926"/>
      <c r="GH66" s="926"/>
      <c r="GI66" s="926"/>
      <c r="GJ66" s="926"/>
      <c r="GK66" s="926"/>
      <c r="GL66" s="926"/>
      <c r="GM66" s="926"/>
      <c r="GN66" s="926"/>
      <c r="GO66" s="926"/>
      <c r="GP66" s="926"/>
      <c r="GQ66" s="926"/>
      <c r="GR66" s="926"/>
      <c r="GS66" s="926"/>
      <c r="GT66" s="926"/>
      <c r="GU66" s="926"/>
      <c r="GV66" s="926"/>
      <c r="GW66" s="926"/>
      <c r="GX66" s="926"/>
      <c r="GY66" s="926"/>
      <c r="GZ66" s="926"/>
      <c r="HA66" s="926"/>
      <c r="HB66" s="926"/>
      <c r="HC66" s="926"/>
      <c r="HD66" s="926"/>
      <c r="HE66" s="926"/>
      <c r="HF66" s="926"/>
      <c r="HG66" s="926"/>
      <c r="HH66" s="926"/>
      <c r="HI66" s="926"/>
      <c r="HJ66" s="926"/>
      <c r="HK66" s="926"/>
      <c r="HL66" s="926"/>
      <c r="HM66" s="926"/>
      <c r="HN66" s="926"/>
      <c r="HO66" s="926"/>
      <c r="HP66" s="926"/>
      <c r="HQ66" s="926"/>
      <c r="HR66" s="926"/>
      <c r="HS66" s="926"/>
      <c r="HT66" s="926"/>
      <c r="HU66" s="926"/>
      <c r="HV66" s="926"/>
      <c r="HW66" s="926"/>
      <c r="HX66" s="926"/>
      <c r="HY66" s="926"/>
      <c r="HZ66" s="926"/>
      <c r="IA66" s="926"/>
      <c r="IB66" s="926"/>
      <c r="IC66" s="926"/>
      <c r="ID66" s="926"/>
      <c r="IE66" s="926"/>
      <c r="IF66" s="926"/>
      <c r="IG66" s="926"/>
      <c r="IH66" s="926"/>
      <c r="II66" s="926"/>
      <c r="IJ66" s="926"/>
      <c r="IK66" s="926"/>
      <c r="IL66" s="926"/>
      <c r="IM66" s="926"/>
    </row>
    <row r="67" spans="1:247" x14ac:dyDescent="0.45">
      <c r="A67" s="441">
        <v>1799</v>
      </c>
      <c r="B67" s="939" t="s">
        <v>2602</v>
      </c>
      <c r="C67" s="47" t="s">
        <v>88</v>
      </c>
      <c r="D67" s="449" t="s">
        <v>2537</v>
      </c>
      <c r="E67" s="946"/>
      <c r="F67" s="941">
        <v>1.0209999999999999</v>
      </c>
      <c r="G67" s="947">
        <v>1.0269999999999999</v>
      </c>
      <c r="H67" s="946"/>
      <c r="I67" s="948"/>
      <c r="J67" s="948"/>
      <c r="K67" s="948"/>
      <c r="L67" s="948"/>
      <c r="M67" s="948"/>
      <c r="N67" s="947"/>
      <c r="O67" s="949"/>
      <c r="P67" s="946"/>
      <c r="Q67" s="947"/>
      <c r="R67" s="950">
        <f t="shared" si="1"/>
        <v>1.0485669999999998</v>
      </c>
      <c r="S67" s="926"/>
      <c r="T67" s="926"/>
      <c r="U67" s="926"/>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6"/>
      <c r="AV67" s="926"/>
      <c r="AW67" s="926"/>
      <c r="AX67" s="926"/>
      <c r="AY67" s="926"/>
      <c r="AZ67" s="926"/>
      <c r="BA67" s="926"/>
      <c r="BB67" s="926"/>
      <c r="BC67" s="926"/>
      <c r="BD67" s="926"/>
      <c r="BE67" s="926"/>
      <c r="BF67" s="926"/>
      <c r="BG67" s="926"/>
      <c r="BH67" s="926"/>
      <c r="BI67" s="926"/>
      <c r="BJ67" s="926"/>
      <c r="BK67" s="926"/>
      <c r="BL67" s="926"/>
      <c r="BM67" s="926"/>
      <c r="BN67" s="926"/>
      <c r="BO67" s="926"/>
      <c r="BP67" s="926"/>
      <c r="BQ67" s="926"/>
      <c r="BR67" s="926"/>
      <c r="BS67" s="926"/>
      <c r="BT67" s="926"/>
      <c r="BU67" s="926"/>
      <c r="BV67" s="926"/>
      <c r="BW67" s="926"/>
      <c r="BX67" s="926"/>
      <c r="BY67" s="926"/>
      <c r="BZ67" s="926"/>
      <c r="CA67" s="926"/>
      <c r="CB67" s="926"/>
      <c r="CC67" s="926"/>
      <c r="CD67" s="926"/>
      <c r="CE67" s="926"/>
      <c r="CF67" s="926"/>
      <c r="CG67" s="926"/>
      <c r="CH67" s="926"/>
      <c r="CI67" s="926"/>
      <c r="CJ67" s="926"/>
      <c r="CK67" s="926"/>
      <c r="CL67" s="926"/>
      <c r="CM67" s="926"/>
      <c r="CN67" s="926"/>
      <c r="CO67" s="926"/>
      <c r="CP67" s="926"/>
      <c r="CQ67" s="926"/>
      <c r="CR67" s="926"/>
      <c r="CS67" s="926"/>
      <c r="CT67" s="926"/>
      <c r="CU67" s="926"/>
      <c r="CV67" s="926"/>
      <c r="CW67" s="926"/>
      <c r="CX67" s="926"/>
      <c r="CY67" s="926"/>
      <c r="CZ67" s="926"/>
      <c r="DA67" s="926"/>
      <c r="DB67" s="926"/>
      <c r="DC67" s="926"/>
      <c r="DD67" s="926"/>
      <c r="DE67" s="926"/>
      <c r="DF67" s="926"/>
      <c r="DG67" s="926"/>
      <c r="DH67" s="926"/>
      <c r="DI67" s="926"/>
      <c r="DJ67" s="926"/>
      <c r="DK67" s="926"/>
      <c r="DL67" s="926"/>
      <c r="DM67" s="926"/>
      <c r="DN67" s="926"/>
      <c r="DO67" s="926"/>
      <c r="DP67" s="926"/>
      <c r="DQ67" s="926"/>
      <c r="DR67" s="926"/>
      <c r="DS67" s="926"/>
      <c r="DT67" s="926"/>
      <c r="DU67" s="926"/>
      <c r="DV67" s="926"/>
      <c r="DW67" s="926"/>
      <c r="DX67" s="926"/>
      <c r="DY67" s="926"/>
      <c r="DZ67" s="926"/>
      <c r="EA67" s="926"/>
      <c r="EB67" s="926"/>
      <c r="EC67" s="926"/>
      <c r="ED67" s="926"/>
      <c r="EE67" s="926"/>
      <c r="EF67" s="926"/>
      <c r="EG67" s="926"/>
      <c r="EH67" s="926"/>
      <c r="EI67" s="926"/>
      <c r="EJ67" s="926"/>
      <c r="EK67" s="926"/>
      <c r="EL67" s="926"/>
      <c r="EM67" s="926"/>
      <c r="EN67" s="926"/>
      <c r="EO67" s="926"/>
      <c r="EP67" s="926"/>
      <c r="EQ67" s="926"/>
      <c r="ER67" s="926"/>
      <c r="ES67" s="926"/>
      <c r="ET67" s="926"/>
      <c r="EU67" s="926"/>
      <c r="EV67" s="926"/>
      <c r="EW67" s="926"/>
      <c r="EX67" s="926"/>
      <c r="EY67" s="926"/>
      <c r="EZ67" s="926"/>
      <c r="FA67" s="926"/>
      <c r="FB67" s="926"/>
      <c r="FC67" s="926"/>
      <c r="FD67" s="926"/>
      <c r="FE67" s="926"/>
      <c r="FF67" s="926"/>
      <c r="FG67" s="926"/>
      <c r="FH67" s="926"/>
      <c r="FI67" s="926"/>
      <c r="FJ67" s="926"/>
      <c r="FK67" s="926"/>
      <c r="FL67" s="926"/>
      <c r="FM67" s="926"/>
      <c r="FN67" s="926"/>
      <c r="FO67" s="926"/>
      <c r="FP67" s="926"/>
      <c r="FQ67" s="926"/>
      <c r="FR67" s="926"/>
      <c r="FS67" s="926"/>
      <c r="FT67" s="926"/>
      <c r="FU67" s="926"/>
      <c r="FV67" s="926"/>
      <c r="FW67" s="926"/>
      <c r="FX67" s="926"/>
      <c r="FY67" s="926"/>
      <c r="FZ67" s="926"/>
      <c r="GA67" s="926"/>
      <c r="GB67" s="926"/>
      <c r="GC67" s="926"/>
      <c r="GD67" s="926"/>
      <c r="GE67" s="926"/>
      <c r="GF67" s="926"/>
      <c r="GG67" s="926"/>
      <c r="GH67" s="926"/>
      <c r="GI67" s="926"/>
      <c r="GJ67" s="926"/>
      <c r="GK67" s="926"/>
      <c r="GL67" s="926"/>
      <c r="GM67" s="926"/>
      <c r="GN67" s="926"/>
      <c r="GO67" s="926"/>
      <c r="GP67" s="926"/>
      <c r="GQ67" s="926"/>
      <c r="GR67" s="926"/>
      <c r="GS67" s="926"/>
      <c r="GT67" s="926"/>
      <c r="GU67" s="926"/>
      <c r="GV67" s="926"/>
      <c r="GW67" s="926"/>
      <c r="GX67" s="926"/>
      <c r="GY67" s="926"/>
      <c r="GZ67" s="926"/>
      <c r="HA67" s="926"/>
      <c r="HB67" s="926"/>
      <c r="HC67" s="926"/>
      <c r="HD67" s="926"/>
      <c r="HE67" s="926"/>
      <c r="HF67" s="926"/>
      <c r="HG67" s="926"/>
      <c r="HH67" s="926"/>
      <c r="HI67" s="926"/>
      <c r="HJ67" s="926"/>
      <c r="HK67" s="926"/>
      <c r="HL67" s="926"/>
      <c r="HM67" s="926"/>
      <c r="HN67" s="926"/>
      <c r="HO67" s="926"/>
      <c r="HP67" s="926"/>
      <c r="HQ67" s="926"/>
      <c r="HR67" s="926"/>
      <c r="HS67" s="926"/>
      <c r="HT67" s="926"/>
      <c r="HU67" s="926"/>
      <c r="HV67" s="926"/>
      <c r="HW67" s="926"/>
      <c r="HX67" s="926"/>
      <c r="HY67" s="926"/>
      <c r="HZ67" s="926"/>
      <c r="IA67" s="926"/>
      <c r="IB67" s="926"/>
      <c r="IC67" s="926"/>
      <c r="ID67" s="926"/>
      <c r="IE67" s="926"/>
      <c r="IF67" s="926"/>
      <c r="IG67" s="926"/>
      <c r="IH67" s="926"/>
      <c r="II67" s="926"/>
      <c r="IJ67" s="926"/>
      <c r="IK67" s="926"/>
      <c r="IL67" s="926"/>
      <c r="IM67" s="926"/>
    </row>
    <row r="68" spans="1:247" x14ac:dyDescent="0.45">
      <c r="A68" s="441">
        <v>2112</v>
      </c>
      <c r="B68" s="939" t="s">
        <v>2603</v>
      </c>
      <c r="C68" s="47" t="s">
        <v>35</v>
      </c>
      <c r="D68" s="449" t="s">
        <v>2545</v>
      </c>
      <c r="E68" s="946"/>
      <c r="F68" s="941">
        <f t="shared" si="0"/>
        <v>1.0209999999999999</v>
      </c>
      <c r="G68" s="947">
        <f t="shared" ref="G68:G92" si="7">+$G$3</f>
        <v>1.0269999999999999</v>
      </c>
      <c r="H68" s="946">
        <f>+$H$3</f>
        <v>1.0029999999999999</v>
      </c>
      <c r="I68" s="948">
        <f>+$I$3</f>
        <v>1.0289999999999999</v>
      </c>
      <c r="J68" s="948">
        <f>+$J$3</f>
        <v>1.0049999999999999</v>
      </c>
      <c r="K68" s="948"/>
      <c r="L68" s="948"/>
      <c r="M68" s="948">
        <f>+$M$3</f>
        <v>1.0029999999999999</v>
      </c>
      <c r="N68" s="947">
        <f t="shared" ref="N68:N88" si="8">+$N$3</f>
        <v>1.0029999999999999</v>
      </c>
      <c r="O68" s="949">
        <f>+$O$3</f>
        <v>1.0209999999999999</v>
      </c>
      <c r="P68" s="946">
        <f t="shared" ref="P68:P82" si="9">+$P$3</f>
        <v>1.032</v>
      </c>
      <c r="Q68" s="947">
        <f t="shared" ref="Q68:Q82" si="10">+$Q$3</f>
        <v>1.0349999999999999</v>
      </c>
      <c r="R68" s="950">
        <f t="shared" si="1"/>
        <v>1.1932356231980656</v>
      </c>
      <c r="S68" s="926"/>
      <c r="T68" s="926"/>
      <c r="U68" s="926"/>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6"/>
      <c r="AV68" s="926"/>
      <c r="AW68" s="926"/>
      <c r="AX68" s="926"/>
      <c r="AY68" s="926"/>
      <c r="AZ68" s="926"/>
      <c r="BA68" s="926"/>
      <c r="BB68" s="926"/>
      <c r="BC68" s="926"/>
      <c r="BD68" s="926"/>
      <c r="BE68" s="926"/>
      <c r="BF68" s="926"/>
      <c r="BG68" s="926"/>
      <c r="BH68" s="926"/>
      <c r="BI68" s="926"/>
      <c r="BJ68" s="926"/>
      <c r="BK68" s="926"/>
      <c r="BL68" s="926"/>
      <c r="BM68" s="926"/>
      <c r="BN68" s="926"/>
      <c r="BO68" s="926"/>
      <c r="BP68" s="926"/>
      <c r="BQ68" s="926"/>
      <c r="BR68" s="926"/>
      <c r="BS68" s="926"/>
      <c r="BT68" s="926"/>
      <c r="BU68" s="926"/>
      <c r="BV68" s="926"/>
      <c r="BW68" s="926"/>
      <c r="BX68" s="926"/>
      <c r="BY68" s="926"/>
      <c r="BZ68" s="926"/>
      <c r="CA68" s="926"/>
      <c r="CB68" s="926"/>
      <c r="CC68" s="926"/>
      <c r="CD68" s="926"/>
      <c r="CE68" s="926"/>
      <c r="CF68" s="926"/>
      <c r="CG68" s="926"/>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926"/>
      <c r="DH68" s="926"/>
      <c r="DI68" s="926"/>
      <c r="DJ68" s="926"/>
      <c r="DK68" s="926"/>
      <c r="DL68" s="926"/>
      <c r="DM68" s="926"/>
      <c r="DN68" s="926"/>
      <c r="DO68" s="926"/>
      <c r="DP68" s="926"/>
      <c r="DQ68" s="926"/>
      <c r="DR68" s="926"/>
      <c r="DS68" s="926"/>
      <c r="DT68" s="926"/>
      <c r="DU68" s="926"/>
      <c r="DV68" s="926"/>
      <c r="DW68" s="926"/>
      <c r="DX68" s="926"/>
      <c r="DY68" s="926"/>
      <c r="DZ68" s="926"/>
      <c r="EA68" s="926"/>
      <c r="EB68" s="926"/>
      <c r="EC68" s="926"/>
      <c r="ED68" s="926"/>
      <c r="EE68" s="926"/>
      <c r="EF68" s="926"/>
      <c r="EG68" s="926"/>
      <c r="EH68" s="926"/>
      <c r="EI68" s="926"/>
      <c r="EJ68" s="926"/>
      <c r="EK68" s="926"/>
      <c r="EL68" s="926"/>
      <c r="EM68" s="926"/>
      <c r="EN68" s="926"/>
      <c r="EO68" s="926"/>
      <c r="EP68" s="926"/>
      <c r="EQ68" s="926"/>
      <c r="ER68" s="926"/>
      <c r="ES68" s="926"/>
      <c r="ET68" s="926"/>
      <c r="EU68" s="926"/>
      <c r="EV68" s="926"/>
      <c r="EW68" s="926"/>
      <c r="EX68" s="926"/>
      <c r="EY68" s="926"/>
      <c r="EZ68" s="926"/>
      <c r="FA68" s="926"/>
      <c r="FB68" s="926"/>
      <c r="FC68" s="926"/>
      <c r="FD68" s="926"/>
      <c r="FE68" s="926"/>
      <c r="FF68" s="926"/>
      <c r="FG68" s="926"/>
      <c r="FH68" s="926"/>
      <c r="FI68" s="926"/>
      <c r="FJ68" s="926"/>
      <c r="FK68" s="926"/>
      <c r="FL68" s="926"/>
      <c r="FM68" s="926"/>
      <c r="FN68" s="926"/>
      <c r="FO68" s="926"/>
      <c r="FP68" s="926"/>
      <c r="FQ68" s="926"/>
      <c r="FR68" s="926"/>
      <c r="FS68" s="926"/>
      <c r="FT68" s="926"/>
      <c r="FU68" s="926"/>
      <c r="FV68" s="926"/>
      <c r="FW68" s="926"/>
      <c r="FX68" s="926"/>
      <c r="FY68" s="926"/>
      <c r="FZ68" s="926"/>
      <c r="GA68" s="926"/>
      <c r="GB68" s="926"/>
      <c r="GC68" s="926"/>
      <c r="GD68" s="926"/>
      <c r="GE68" s="926"/>
      <c r="GF68" s="926"/>
      <c r="GG68" s="926"/>
      <c r="GH68" s="926"/>
      <c r="GI68" s="926"/>
      <c r="GJ68" s="926"/>
      <c r="GK68" s="926"/>
      <c r="GL68" s="926"/>
      <c r="GM68" s="926"/>
      <c r="GN68" s="926"/>
      <c r="GO68" s="926"/>
      <c r="GP68" s="926"/>
      <c r="GQ68" s="926"/>
      <c r="GR68" s="926"/>
      <c r="GS68" s="926"/>
      <c r="GT68" s="926"/>
      <c r="GU68" s="926"/>
      <c r="GV68" s="926"/>
      <c r="GW68" s="926"/>
      <c r="GX68" s="926"/>
      <c r="GY68" s="926"/>
      <c r="GZ68" s="926"/>
      <c r="HA68" s="926"/>
      <c r="HB68" s="926"/>
      <c r="HC68" s="926"/>
      <c r="HD68" s="926"/>
      <c r="HE68" s="926"/>
      <c r="HF68" s="926"/>
      <c r="HG68" s="926"/>
      <c r="HH68" s="926"/>
      <c r="HI68" s="926"/>
      <c r="HJ68" s="926"/>
      <c r="HK68" s="926"/>
      <c r="HL68" s="926"/>
      <c r="HM68" s="926"/>
      <c r="HN68" s="926"/>
      <c r="HO68" s="926"/>
      <c r="HP68" s="926"/>
      <c r="HQ68" s="926"/>
      <c r="HR68" s="926"/>
      <c r="HS68" s="926"/>
      <c r="HT68" s="926"/>
      <c r="HU68" s="926"/>
      <c r="HV68" s="926"/>
      <c r="HW68" s="926"/>
      <c r="HX68" s="926"/>
      <c r="HY68" s="926"/>
      <c r="HZ68" s="926"/>
      <c r="IA68" s="926"/>
      <c r="IB68" s="926"/>
      <c r="IC68" s="926"/>
      <c r="ID68" s="926"/>
      <c r="IE68" s="926"/>
      <c r="IF68" s="926"/>
      <c r="IG68" s="926"/>
      <c r="IH68" s="926"/>
      <c r="II68" s="926"/>
      <c r="IJ68" s="926"/>
      <c r="IK68" s="926"/>
      <c r="IL68" s="926"/>
      <c r="IM68" s="926"/>
    </row>
    <row r="69" spans="1:247" x14ac:dyDescent="0.45">
      <c r="A69" s="441">
        <v>2121</v>
      </c>
      <c r="B69" s="939" t="s">
        <v>2604</v>
      </c>
      <c r="C69" s="47" t="s">
        <v>35</v>
      </c>
      <c r="D69" s="449" t="s">
        <v>2545</v>
      </c>
      <c r="E69" s="946"/>
      <c r="F69" s="941">
        <f t="shared" si="0"/>
        <v>1.0209999999999999</v>
      </c>
      <c r="G69" s="947">
        <f t="shared" si="7"/>
        <v>1.0269999999999999</v>
      </c>
      <c r="H69" s="946">
        <f>+$H$3</f>
        <v>1.0029999999999999</v>
      </c>
      <c r="I69" s="948">
        <f>+$I$3</f>
        <v>1.0289999999999999</v>
      </c>
      <c r="J69" s="948">
        <f>+$J$3</f>
        <v>1.0049999999999999</v>
      </c>
      <c r="K69" s="948"/>
      <c r="L69" s="948"/>
      <c r="M69" s="948">
        <f>+$M$3</f>
        <v>1.0029999999999999</v>
      </c>
      <c r="N69" s="947">
        <f t="shared" si="8"/>
        <v>1.0029999999999999</v>
      </c>
      <c r="O69" s="949">
        <f>+$O$3</f>
        <v>1.0209999999999999</v>
      </c>
      <c r="P69" s="946">
        <f t="shared" si="9"/>
        <v>1.032</v>
      </c>
      <c r="Q69" s="947">
        <f t="shared" si="10"/>
        <v>1.0349999999999999</v>
      </c>
      <c r="R69" s="950">
        <f t="shared" si="1"/>
        <v>1.1932356231980656</v>
      </c>
      <c r="S69" s="926"/>
      <c r="T69" s="926"/>
      <c r="U69" s="926"/>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6"/>
      <c r="AV69" s="926"/>
      <c r="AW69" s="926"/>
      <c r="AX69" s="926"/>
      <c r="AY69" s="926"/>
      <c r="AZ69" s="926"/>
      <c r="BA69" s="926"/>
      <c r="BB69" s="926"/>
      <c r="BC69" s="926"/>
      <c r="BD69" s="926"/>
      <c r="BE69" s="926"/>
      <c r="BF69" s="926"/>
      <c r="BG69" s="926"/>
      <c r="BH69" s="926"/>
      <c r="BI69" s="926"/>
      <c r="BJ69" s="926"/>
      <c r="BK69" s="926"/>
      <c r="BL69" s="926"/>
      <c r="BM69" s="926"/>
      <c r="BN69" s="926"/>
      <c r="BO69" s="926"/>
      <c r="BP69" s="926"/>
      <c r="BQ69" s="926"/>
      <c r="BR69" s="926"/>
      <c r="BS69" s="926"/>
      <c r="BT69" s="926"/>
      <c r="BU69" s="926"/>
      <c r="BV69" s="926"/>
      <c r="BW69" s="926"/>
      <c r="BX69" s="926"/>
      <c r="BY69" s="926"/>
      <c r="BZ69" s="926"/>
      <c r="CA69" s="926"/>
      <c r="CB69" s="926"/>
      <c r="CC69" s="926"/>
      <c r="CD69" s="926"/>
      <c r="CE69" s="926"/>
      <c r="CF69" s="926"/>
      <c r="CG69" s="926"/>
      <c r="CH69" s="926"/>
      <c r="CI69" s="926"/>
      <c r="CJ69" s="926"/>
      <c r="CK69" s="926"/>
      <c r="CL69" s="926"/>
      <c r="CM69" s="926"/>
      <c r="CN69" s="926"/>
      <c r="CO69" s="926"/>
      <c r="CP69" s="926"/>
      <c r="CQ69" s="926"/>
      <c r="CR69" s="926"/>
      <c r="CS69" s="926"/>
      <c r="CT69" s="926"/>
      <c r="CU69" s="926"/>
      <c r="CV69" s="926"/>
      <c r="CW69" s="926"/>
      <c r="CX69" s="926"/>
      <c r="CY69" s="926"/>
      <c r="CZ69" s="926"/>
      <c r="DA69" s="926"/>
      <c r="DB69" s="926"/>
      <c r="DC69" s="926"/>
      <c r="DD69" s="926"/>
      <c r="DE69" s="926"/>
      <c r="DF69" s="926"/>
      <c r="DG69" s="926"/>
      <c r="DH69" s="926"/>
      <c r="DI69" s="926"/>
      <c r="DJ69" s="926"/>
      <c r="DK69" s="926"/>
      <c r="DL69" s="926"/>
      <c r="DM69" s="926"/>
      <c r="DN69" s="926"/>
      <c r="DO69" s="926"/>
      <c r="DP69" s="926"/>
      <c r="DQ69" s="926"/>
      <c r="DR69" s="926"/>
      <c r="DS69" s="926"/>
      <c r="DT69" s="926"/>
      <c r="DU69" s="926"/>
      <c r="DV69" s="926"/>
      <c r="DW69" s="926"/>
      <c r="DX69" s="926"/>
      <c r="DY69" s="926"/>
      <c r="DZ69" s="926"/>
      <c r="EA69" s="926"/>
      <c r="EB69" s="926"/>
      <c r="EC69" s="926"/>
      <c r="ED69" s="926"/>
      <c r="EE69" s="926"/>
      <c r="EF69" s="926"/>
      <c r="EG69" s="926"/>
      <c r="EH69" s="926"/>
      <c r="EI69" s="926"/>
      <c r="EJ69" s="926"/>
      <c r="EK69" s="926"/>
      <c r="EL69" s="926"/>
      <c r="EM69" s="926"/>
      <c r="EN69" s="926"/>
      <c r="EO69" s="926"/>
      <c r="EP69" s="926"/>
      <c r="EQ69" s="926"/>
      <c r="ER69" s="926"/>
      <c r="ES69" s="926"/>
      <c r="ET69" s="926"/>
      <c r="EU69" s="926"/>
      <c r="EV69" s="926"/>
      <c r="EW69" s="926"/>
      <c r="EX69" s="926"/>
      <c r="EY69" s="926"/>
      <c r="EZ69" s="926"/>
      <c r="FA69" s="926"/>
      <c r="FB69" s="926"/>
      <c r="FC69" s="926"/>
      <c r="FD69" s="926"/>
      <c r="FE69" s="926"/>
      <c r="FF69" s="926"/>
      <c r="FG69" s="926"/>
      <c r="FH69" s="926"/>
      <c r="FI69" s="926"/>
      <c r="FJ69" s="926"/>
      <c r="FK69" s="926"/>
      <c r="FL69" s="926"/>
      <c r="FM69" s="926"/>
      <c r="FN69" s="926"/>
      <c r="FO69" s="926"/>
      <c r="FP69" s="926"/>
      <c r="FQ69" s="926"/>
      <c r="FR69" s="926"/>
      <c r="FS69" s="926"/>
      <c r="FT69" s="926"/>
      <c r="FU69" s="926"/>
      <c r="FV69" s="926"/>
      <c r="FW69" s="926"/>
      <c r="FX69" s="926"/>
      <c r="FY69" s="926"/>
      <c r="FZ69" s="926"/>
      <c r="GA69" s="926"/>
      <c r="GB69" s="926"/>
      <c r="GC69" s="926"/>
      <c r="GD69" s="926"/>
      <c r="GE69" s="926"/>
      <c r="GF69" s="926"/>
      <c r="GG69" s="926"/>
      <c r="GH69" s="926"/>
      <c r="GI69" s="926"/>
      <c r="GJ69" s="926"/>
      <c r="GK69" s="926"/>
      <c r="GL69" s="926"/>
      <c r="GM69" s="926"/>
      <c r="GN69" s="926"/>
      <c r="GO69" s="926"/>
      <c r="GP69" s="926"/>
      <c r="GQ69" s="926"/>
      <c r="GR69" s="926"/>
      <c r="GS69" s="926"/>
      <c r="GT69" s="926"/>
      <c r="GU69" s="926"/>
      <c r="GV69" s="926"/>
      <c r="GW69" s="926"/>
      <c r="GX69" s="926"/>
      <c r="GY69" s="926"/>
      <c r="GZ69" s="926"/>
      <c r="HA69" s="926"/>
      <c r="HB69" s="926"/>
      <c r="HC69" s="926"/>
      <c r="HD69" s="926"/>
      <c r="HE69" s="926"/>
      <c r="HF69" s="926"/>
      <c r="HG69" s="926"/>
      <c r="HH69" s="926"/>
      <c r="HI69" s="926"/>
      <c r="HJ69" s="926"/>
      <c r="HK69" s="926"/>
      <c r="HL69" s="926"/>
      <c r="HM69" s="926"/>
      <c r="HN69" s="926"/>
      <c r="HO69" s="926"/>
      <c r="HP69" s="926"/>
      <c r="HQ69" s="926"/>
      <c r="HR69" s="926"/>
      <c r="HS69" s="926"/>
      <c r="HT69" s="926"/>
      <c r="HU69" s="926"/>
      <c r="HV69" s="926"/>
      <c r="HW69" s="926"/>
      <c r="HX69" s="926"/>
      <c r="HY69" s="926"/>
      <c r="HZ69" s="926"/>
      <c r="IA69" s="926"/>
      <c r="IB69" s="926"/>
      <c r="IC69" s="926"/>
      <c r="ID69" s="926"/>
      <c r="IE69" s="926"/>
      <c r="IF69" s="926"/>
      <c r="IG69" s="926"/>
      <c r="IH69" s="926"/>
      <c r="II69" s="926"/>
      <c r="IJ69" s="926"/>
      <c r="IK69" s="926"/>
      <c r="IL69" s="926"/>
      <c r="IM69" s="926"/>
    </row>
    <row r="70" spans="1:247" x14ac:dyDescent="0.45">
      <c r="A70" s="441">
        <v>2123</v>
      </c>
      <c r="B70" s="939" t="s">
        <v>2605</v>
      </c>
      <c r="C70" s="47" t="s">
        <v>35</v>
      </c>
      <c r="D70" s="449" t="s">
        <v>2545</v>
      </c>
      <c r="E70" s="946"/>
      <c r="F70" s="941">
        <f t="shared" si="0"/>
        <v>1.0209999999999999</v>
      </c>
      <c r="G70" s="947">
        <f t="shared" si="7"/>
        <v>1.0269999999999999</v>
      </c>
      <c r="H70" s="946">
        <f>+$H$3</f>
        <v>1.0029999999999999</v>
      </c>
      <c r="I70" s="948">
        <f>+$I$3</f>
        <v>1.0289999999999999</v>
      </c>
      <c r="J70" s="948">
        <f>+$J$3</f>
        <v>1.0049999999999999</v>
      </c>
      <c r="K70" s="948"/>
      <c r="L70" s="948"/>
      <c r="M70" s="948">
        <f>+$M$3</f>
        <v>1.0029999999999999</v>
      </c>
      <c r="N70" s="947">
        <f t="shared" si="8"/>
        <v>1.0029999999999999</v>
      </c>
      <c r="O70" s="949">
        <f>+$O$3</f>
        <v>1.0209999999999999</v>
      </c>
      <c r="P70" s="946">
        <f t="shared" si="9"/>
        <v>1.032</v>
      </c>
      <c r="Q70" s="947">
        <f t="shared" si="10"/>
        <v>1.0349999999999999</v>
      </c>
      <c r="R70" s="950">
        <f>PRODUCT(E70:Q70)</f>
        <v>1.1932356231980656</v>
      </c>
      <c r="S70" s="926"/>
      <c r="T70" s="926"/>
      <c r="U70" s="926"/>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6"/>
      <c r="AV70" s="926"/>
      <c r="AW70" s="926"/>
      <c r="AX70" s="926"/>
      <c r="AY70" s="926"/>
      <c r="AZ70" s="926"/>
      <c r="BA70" s="926"/>
      <c r="BB70" s="926"/>
      <c r="BC70" s="926"/>
      <c r="BD70" s="926"/>
      <c r="BE70" s="926"/>
      <c r="BF70" s="926"/>
      <c r="BG70" s="926"/>
      <c r="BH70" s="926"/>
      <c r="BI70" s="926"/>
      <c r="BJ70" s="926"/>
      <c r="BK70" s="926"/>
      <c r="BL70" s="926"/>
      <c r="BM70" s="926"/>
      <c r="BN70" s="926"/>
      <c r="BO70" s="926"/>
      <c r="BP70" s="926"/>
      <c r="BQ70" s="926"/>
      <c r="BR70" s="926"/>
      <c r="BS70" s="926"/>
      <c r="BT70" s="926"/>
      <c r="BU70" s="926"/>
      <c r="BV70" s="926"/>
      <c r="BW70" s="926"/>
      <c r="BX70" s="926"/>
      <c r="BY70" s="926"/>
      <c r="BZ70" s="926"/>
      <c r="CA70" s="926"/>
      <c r="CB70" s="926"/>
      <c r="CC70" s="926"/>
      <c r="CD70" s="926"/>
      <c r="CE70" s="926"/>
      <c r="CF70" s="926"/>
      <c r="CG70" s="926"/>
      <c r="CH70" s="926"/>
      <c r="CI70" s="926"/>
      <c r="CJ70" s="926"/>
      <c r="CK70" s="926"/>
      <c r="CL70" s="926"/>
      <c r="CM70" s="926"/>
      <c r="CN70" s="926"/>
      <c r="CO70" s="926"/>
      <c r="CP70" s="926"/>
      <c r="CQ70" s="926"/>
      <c r="CR70" s="926"/>
      <c r="CS70" s="926"/>
      <c r="CT70" s="926"/>
      <c r="CU70" s="926"/>
      <c r="CV70" s="926"/>
      <c r="CW70" s="926"/>
      <c r="CX70" s="926"/>
      <c r="CY70" s="926"/>
      <c r="CZ70" s="926"/>
      <c r="DA70" s="926"/>
      <c r="DB70" s="926"/>
      <c r="DC70" s="926"/>
      <c r="DD70" s="926"/>
      <c r="DE70" s="926"/>
      <c r="DF70" s="926"/>
      <c r="DG70" s="926"/>
      <c r="DH70" s="926"/>
      <c r="DI70" s="926"/>
      <c r="DJ70" s="926"/>
      <c r="DK70" s="926"/>
      <c r="DL70" s="926"/>
      <c r="DM70" s="926"/>
      <c r="DN70" s="926"/>
      <c r="DO70" s="926"/>
      <c r="DP70" s="926"/>
      <c r="DQ70" s="926"/>
      <c r="DR70" s="926"/>
      <c r="DS70" s="926"/>
      <c r="DT70" s="926"/>
      <c r="DU70" s="926"/>
      <c r="DV70" s="926"/>
      <c r="DW70" s="926"/>
      <c r="DX70" s="926"/>
      <c r="DY70" s="926"/>
      <c r="DZ70" s="926"/>
      <c r="EA70" s="926"/>
      <c r="EB70" s="926"/>
      <c r="EC70" s="926"/>
      <c r="ED70" s="926"/>
      <c r="EE70" s="926"/>
      <c r="EF70" s="926"/>
      <c r="EG70" s="926"/>
      <c r="EH70" s="926"/>
      <c r="EI70" s="926"/>
      <c r="EJ70" s="926"/>
      <c r="EK70" s="926"/>
      <c r="EL70" s="926"/>
      <c r="EM70" s="926"/>
      <c r="EN70" s="926"/>
      <c r="EO70" s="926"/>
      <c r="EP70" s="926"/>
      <c r="EQ70" s="926"/>
      <c r="ER70" s="926"/>
      <c r="ES70" s="926"/>
      <c r="ET70" s="926"/>
      <c r="EU70" s="926"/>
      <c r="EV70" s="926"/>
      <c r="EW70" s="926"/>
      <c r="EX70" s="926"/>
      <c r="EY70" s="926"/>
      <c r="EZ70" s="926"/>
      <c r="FA70" s="926"/>
      <c r="FB70" s="926"/>
      <c r="FC70" s="926"/>
      <c r="FD70" s="926"/>
      <c r="FE70" s="926"/>
      <c r="FF70" s="926"/>
      <c r="FG70" s="926"/>
      <c r="FH70" s="926"/>
      <c r="FI70" s="926"/>
      <c r="FJ70" s="926"/>
      <c r="FK70" s="926"/>
      <c r="FL70" s="926"/>
      <c r="FM70" s="926"/>
      <c r="FN70" s="926"/>
      <c r="FO70" s="926"/>
      <c r="FP70" s="926"/>
      <c r="FQ70" s="926"/>
      <c r="FR70" s="926"/>
      <c r="FS70" s="926"/>
      <c r="FT70" s="926"/>
      <c r="FU70" s="926"/>
      <c r="FV70" s="926"/>
      <c r="FW70" s="926"/>
      <c r="FX70" s="926"/>
      <c r="FY70" s="926"/>
      <c r="FZ70" s="926"/>
      <c r="GA70" s="926"/>
      <c r="GB70" s="926"/>
      <c r="GC70" s="926"/>
      <c r="GD70" s="926"/>
      <c r="GE70" s="926"/>
      <c r="GF70" s="926"/>
      <c r="GG70" s="926"/>
      <c r="GH70" s="926"/>
      <c r="GI70" s="926"/>
      <c r="GJ70" s="926"/>
      <c r="GK70" s="926"/>
      <c r="GL70" s="926"/>
      <c r="GM70" s="926"/>
      <c r="GN70" s="926"/>
      <c r="GO70" s="926"/>
      <c r="GP70" s="926"/>
      <c r="GQ70" s="926"/>
      <c r="GR70" s="926"/>
      <c r="GS70" s="926"/>
      <c r="GT70" s="926"/>
      <c r="GU70" s="926"/>
      <c r="GV70" s="926"/>
      <c r="GW70" s="926"/>
      <c r="GX70" s="926"/>
      <c r="GY70" s="926"/>
      <c r="GZ70" s="926"/>
      <c r="HA70" s="926"/>
      <c r="HB70" s="926"/>
      <c r="HC70" s="926"/>
      <c r="HD70" s="926"/>
      <c r="HE70" s="926"/>
      <c r="HF70" s="926"/>
      <c r="HG70" s="926"/>
      <c r="HH70" s="926"/>
      <c r="HI70" s="926"/>
      <c r="HJ70" s="926"/>
      <c r="HK70" s="926"/>
      <c r="HL70" s="926"/>
      <c r="HM70" s="926"/>
      <c r="HN70" s="926"/>
      <c r="HO70" s="926"/>
      <c r="HP70" s="926"/>
      <c r="HQ70" s="926"/>
      <c r="HR70" s="926"/>
      <c r="HS70" s="926"/>
      <c r="HT70" s="926"/>
      <c r="HU70" s="926"/>
      <c r="HV70" s="926"/>
      <c r="HW70" s="926"/>
      <c r="HX70" s="926"/>
      <c r="HY70" s="926"/>
      <c r="HZ70" s="926"/>
      <c r="IA70" s="926"/>
      <c r="IB70" s="926"/>
      <c r="IC70" s="926"/>
      <c r="ID70" s="926"/>
      <c r="IE70" s="926"/>
      <c r="IF70" s="926"/>
      <c r="IG70" s="926"/>
      <c r="IH70" s="926"/>
      <c r="II70" s="926"/>
      <c r="IJ70" s="926"/>
      <c r="IK70" s="926"/>
      <c r="IL70" s="926"/>
      <c r="IM70" s="926"/>
    </row>
    <row r="71" spans="1:247" x14ac:dyDescent="0.45">
      <c r="A71" s="441">
        <v>2124</v>
      </c>
      <c r="B71" s="939" t="s">
        <v>2606</v>
      </c>
      <c r="C71" s="47" t="s">
        <v>88</v>
      </c>
      <c r="D71" s="449" t="s">
        <v>2537</v>
      </c>
      <c r="E71" s="946"/>
      <c r="F71" s="941">
        <f t="shared" si="0"/>
        <v>1.0209999999999999</v>
      </c>
      <c r="G71" s="947">
        <f t="shared" si="7"/>
        <v>1.0269999999999999</v>
      </c>
      <c r="H71" s="946"/>
      <c r="I71" s="948"/>
      <c r="J71" s="948"/>
      <c r="K71" s="948"/>
      <c r="L71" s="948"/>
      <c r="M71" s="948"/>
      <c r="N71" s="947">
        <f t="shared" si="8"/>
        <v>1.0029999999999999</v>
      </c>
      <c r="O71" s="949"/>
      <c r="P71" s="946">
        <f t="shared" si="9"/>
        <v>1.032</v>
      </c>
      <c r="Q71" s="947">
        <f t="shared" si="10"/>
        <v>1.0349999999999999</v>
      </c>
      <c r="R71" s="950">
        <f t="shared" si="1"/>
        <v>1.1233553701921195</v>
      </c>
      <c r="S71" s="926"/>
      <c r="T71" s="926"/>
      <c r="U71" s="926"/>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6"/>
      <c r="AV71" s="926"/>
      <c r="AW71" s="926"/>
      <c r="AX71" s="926"/>
      <c r="AY71" s="926"/>
      <c r="AZ71" s="926"/>
      <c r="BA71" s="926"/>
      <c r="BB71" s="926"/>
      <c r="BC71" s="926"/>
      <c r="BD71" s="926"/>
      <c r="BE71" s="926"/>
      <c r="BF71" s="926"/>
      <c r="BG71" s="926"/>
      <c r="BH71" s="926"/>
      <c r="BI71" s="926"/>
      <c r="BJ71" s="926"/>
      <c r="BK71" s="926"/>
      <c r="BL71" s="926"/>
      <c r="BM71" s="926"/>
      <c r="BN71" s="926"/>
      <c r="BO71" s="926"/>
      <c r="BP71" s="926"/>
      <c r="BQ71" s="926"/>
      <c r="BR71" s="926"/>
      <c r="BS71" s="926"/>
      <c r="BT71" s="926"/>
      <c r="BU71" s="926"/>
      <c r="BV71" s="926"/>
      <c r="BW71" s="926"/>
      <c r="BX71" s="926"/>
      <c r="BY71" s="926"/>
      <c r="BZ71" s="926"/>
      <c r="CA71" s="926"/>
      <c r="CB71" s="926"/>
      <c r="CC71" s="926"/>
      <c r="CD71" s="926"/>
      <c r="CE71" s="926"/>
      <c r="CF71" s="926"/>
      <c r="CG71" s="926"/>
      <c r="CH71" s="926"/>
      <c r="CI71" s="926"/>
      <c r="CJ71" s="926"/>
      <c r="CK71" s="926"/>
      <c r="CL71" s="926"/>
      <c r="CM71" s="926"/>
      <c r="CN71" s="926"/>
      <c r="CO71" s="926"/>
      <c r="CP71" s="926"/>
      <c r="CQ71" s="926"/>
      <c r="CR71" s="926"/>
      <c r="CS71" s="926"/>
      <c r="CT71" s="926"/>
      <c r="CU71" s="926"/>
      <c r="CV71" s="926"/>
      <c r="CW71" s="926"/>
      <c r="CX71" s="926"/>
      <c r="CY71" s="926"/>
      <c r="CZ71" s="926"/>
      <c r="DA71" s="926"/>
      <c r="DB71" s="926"/>
      <c r="DC71" s="926"/>
      <c r="DD71" s="926"/>
      <c r="DE71" s="926"/>
      <c r="DF71" s="926"/>
      <c r="DG71" s="926"/>
      <c r="DH71" s="926"/>
      <c r="DI71" s="926"/>
      <c r="DJ71" s="926"/>
      <c r="DK71" s="926"/>
      <c r="DL71" s="926"/>
      <c r="DM71" s="926"/>
      <c r="DN71" s="926"/>
      <c r="DO71" s="926"/>
      <c r="DP71" s="926"/>
      <c r="DQ71" s="926"/>
      <c r="DR71" s="926"/>
      <c r="DS71" s="926"/>
      <c r="DT71" s="926"/>
      <c r="DU71" s="926"/>
      <c r="DV71" s="926"/>
      <c r="DW71" s="926"/>
      <c r="DX71" s="926"/>
      <c r="DY71" s="926"/>
      <c r="DZ71" s="926"/>
      <c r="EA71" s="926"/>
      <c r="EB71" s="926"/>
      <c r="EC71" s="926"/>
      <c r="ED71" s="926"/>
      <c r="EE71" s="926"/>
      <c r="EF71" s="926"/>
      <c r="EG71" s="926"/>
      <c r="EH71" s="926"/>
      <c r="EI71" s="926"/>
      <c r="EJ71" s="926"/>
      <c r="EK71" s="926"/>
      <c r="EL71" s="926"/>
      <c r="EM71" s="926"/>
      <c r="EN71" s="926"/>
      <c r="EO71" s="926"/>
      <c r="EP71" s="926"/>
      <c r="EQ71" s="926"/>
      <c r="ER71" s="926"/>
      <c r="ES71" s="926"/>
      <c r="ET71" s="926"/>
      <c r="EU71" s="926"/>
      <c r="EV71" s="926"/>
      <c r="EW71" s="926"/>
      <c r="EX71" s="926"/>
      <c r="EY71" s="926"/>
      <c r="EZ71" s="926"/>
      <c r="FA71" s="926"/>
      <c r="FB71" s="926"/>
      <c r="FC71" s="926"/>
      <c r="FD71" s="926"/>
      <c r="FE71" s="926"/>
      <c r="FF71" s="926"/>
      <c r="FG71" s="926"/>
      <c r="FH71" s="926"/>
      <c r="FI71" s="926"/>
      <c r="FJ71" s="926"/>
      <c r="FK71" s="926"/>
      <c r="FL71" s="926"/>
      <c r="FM71" s="926"/>
      <c r="FN71" s="926"/>
      <c r="FO71" s="926"/>
      <c r="FP71" s="926"/>
      <c r="FQ71" s="926"/>
      <c r="FR71" s="926"/>
      <c r="FS71" s="926"/>
      <c r="FT71" s="926"/>
      <c r="FU71" s="926"/>
      <c r="FV71" s="926"/>
      <c r="FW71" s="926"/>
      <c r="FX71" s="926"/>
      <c r="FY71" s="926"/>
      <c r="FZ71" s="926"/>
      <c r="GA71" s="926"/>
      <c r="GB71" s="926"/>
      <c r="GC71" s="926"/>
      <c r="GD71" s="926"/>
      <c r="GE71" s="926"/>
      <c r="GF71" s="926"/>
      <c r="GG71" s="926"/>
      <c r="GH71" s="926"/>
      <c r="GI71" s="926"/>
      <c r="GJ71" s="926"/>
      <c r="GK71" s="926"/>
      <c r="GL71" s="926"/>
      <c r="GM71" s="926"/>
      <c r="GN71" s="926"/>
      <c r="GO71" s="926"/>
      <c r="GP71" s="926"/>
      <c r="GQ71" s="926"/>
      <c r="GR71" s="926"/>
      <c r="GS71" s="926"/>
      <c r="GT71" s="926"/>
      <c r="GU71" s="926"/>
      <c r="GV71" s="926"/>
      <c r="GW71" s="926"/>
      <c r="GX71" s="926"/>
      <c r="GY71" s="926"/>
      <c r="GZ71" s="926"/>
      <c r="HA71" s="926"/>
      <c r="HB71" s="926"/>
      <c r="HC71" s="926"/>
      <c r="HD71" s="926"/>
      <c r="HE71" s="926"/>
      <c r="HF71" s="926"/>
      <c r="HG71" s="926"/>
      <c r="HH71" s="926"/>
      <c r="HI71" s="926"/>
      <c r="HJ71" s="926"/>
      <c r="HK71" s="926"/>
      <c r="HL71" s="926"/>
      <c r="HM71" s="926"/>
      <c r="HN71" s="926"/>
      <c r="HO71" s="926"/>
      <c r="HP71" s="926"/>
      <c r="HQ71" s="926"/>
      <c r="HR71" s="926"/>
      <c r="HS71" s="926"/>
      <c r="HT71" s="926"/>
      <c r="HU71" s="926"/>
      <c r="HV71" s="926"/>
      <c r="HW71" s="926"/>
      <c r="HX71" s="926"/>
      <c r="HY71" s="926"/>
      <c r="HZ71" s="926"/>
      <c r="IA71" s="926"/>
      <c r="IB71" s="926"/>
      <c r="IC71" s="926"/>
      <c r="ID71" s="926"/>
      <c r="IE71" s="926"/>
      <c r="IF71" s="926"/>
      <c r="IG71" s="926"/>
      <c r="IH71" s="926"/>
      <c r="II71" s="926"/>
      <c r="IJ71" s="926"/>
      <c r="IK71" s="926"/>
      <c r="IL71" s="926"/>
      <c r="IM71" s="926"/>
    </row>
    <row r="72" spans="1:247" x14ac:dyDescent="0.45">
      <c r="A72" s="441">
        <v>2125</v>
      </c>
      <c r="B72" s="939" t="s">
        <v>2607</v>
      </c>
      <c r="C72" s="47" t="s">
        <v>35</v>
      </c>
      <c r="D72" s="449" t="s">
        <v>2545</v>
      </c>
      <c r="E72" s="946"/>
      <c r="F72" s="941">
        <f t="shared" si="0"/>
        <v>1.0209999999999999</v>
      </c>
      <c r="G72" s="947">
        <f t="shared" si="7"/>
        <v>1.0269999999999999</v>
      </c>
      <c r="H72" s="946">
        <f>+$H$3</f>
        <v>1.0029999999999999</v>
      </c>
      <c r="I72" s="948">
        <f>+$I$3</f>
        <v>1.0289999999999999</v>
      </c>
      <c r="J72" s="948">
        <f t="shared" ref="J72:J82" si="11">+$J$3</f>
        <v>1.0049999999999999</v>
      </c>
      <c r="K72" s="948"/>
      <c r="L72" s="948"/>
      <c r="M72" s="948">
        <f>+$M$3</f>
        <v>1.0029999999999999</v>
      </c>
      <c r="N72" s="947">
        <f t="shared" si="8"/>
        <v>1.0029999999999999</v>
      </c>
      <c r="O72" s="949">
        <f>+$O$3</f>
        <v>1.0209999999999999</v>
      </c>
      <c r="P72" s="946">
        <f t="shared" si="9"/>
        <v>1.032</v>
      </c>
      <c r="Q72" s="947">
        <f t="shared" si="10"/>
        <v>1.0349999999999999</v>
      </c>
      <c r="R72" s="950">
        <f t="shared" si="1"/>
        <v>1.1932356231980656</v>
      </c>
      <c r="S72" s="926"/>
      <c r="T72" s="926"/>
      <c r="U72" s="926"/>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6"/>
      <c r="AV72" s="926"/>
      <c r="AW72" s="926"/>
      <c r="AX72" s="926"/>
      <c r="AY72" s="926"/>
      <c r="AZ72" s="926"/>
      <c r="BA72" s="926"/>
      <c r="BB72" s="926"/>
      <c r="BC72" s="926"/>
      <c r="BD72" s="926"/>
      <c r="BE72" s="926"/>
      <c r="BF72" s="926"/>
      <c r="BG72" s="926"/>
      <c r="BH72" s="926"/>
      <c r="BI72" s="926"/>
      <c r="BJ72" s="926"/>
      <c r="BK72" s="926"/>
      <c r="BL72" s="926"/>
      <c r="BM72" s="926"/>
      <c r="BN72" s="926"/>
      <c r="BO72" s="926"/>
      <c r="BP72" s="926"/>
      <c r="BQ72" s="926"/>
      <c r="BR72" s="926"/>
      <c r="BS72" s="926"/>
      <c r="BT72" s="926"/>
      <c r="BU72" s="926"/>
      <c r="BV72" s="926"/>
      <c r="BW72" s="926"/>
      <c r="BX72" s="926"/>
      <c r="BY72" s="926"/>
      <c r="BZ72" s="926"/>
      <c r="CA72" s="926"/>
      <c r="CB72" s="926"/>
      <c r="CC72" s="926"/>
      <c r="CD72" s="926"/>
      <c r="CE72" s="926"/>
      <c r="CF72" s="926"/>
      <c r="CG72" s="926"/>
      <c r="CH72" s="926"/>
      <c r="CI72" s="926"/>
      <c r="CJ72" s="926"/>
      <c r="CK72" s="926"/>
      <c r="CL72" s="926"/>
      <c r="CM72" s="926"/>
      <c r="CN72" s="926"/>
      <c r="CO72" s="926"/>
      <c r="CP72" s="926"/>
      <c r="CQ72" s="926"/>
      <c r="CR72" s="926"/>
      <c r="CS72" s="926"/>
      <c r="CT72" s="926"/>
      <c r="CU72" s="926"/>
      <c r="CV72" s="926"/>
      <c r="CW72" s="926"/>
      <c r="CX72" s="926"/>
      <c r="CY72" s="926"/>
      <c r="CZ72" s="926"/>
      <c r="DA72" s="926"/>
      <c r="DB72" s="926"/>
      <c r="DC72" s="926"/>
      <c r="DD72" s="926"/>
      <c r="DE72" s="926"/>
      <c r="DF72" s="926"/>
      <c r="DG72" s="926"/>
      <c r="DH72" s="926"/>
      <c r="DI72" s="926"/>
      <c r="DJ72" s="926"/>
      <c r="DK72" s="926"/>
      <c r="DL72" s="926"/>
      <c r="DM72" s="926"/>
      <c r="DN72" s="926"/>
      <c r="DO72" s="926"/>
      <c r="DP72" s="926"/>
      <c r="DQ72" s="926"/>
      <c r="DR72" s="926"/>
      <c r="DS72" s="926"/>
      <c r="DT72" s="926"/>
      <c r="DU72" s="926"/>
      <c r="DV72" s="926"/>
      <c r="DW72" s="926"/>
      <c r="DX72" s="926"/>
      <c r="DY72" s="926"/>
      <c r="DZ72" s="926"/>
      <c r="EA72" s="926"/>
      <c r="EB72" s="926"/>
      <c r="EC72" s="926"/>
      <c r="ED72" s="926"/>
      <c r="EE72" s="926"/>
      <c r="EF72" s="926"/>
      <c r="EG72" s="926"/>
      <c r="EH72" s="926"/>
      <c r="EI72" s="926"/>
      <c r="EJ72" s="926"/>
      <c r="EK72" s="926"/>
      <c r="EL72" s="926"/>
      <c r="EM72" s="926"/>
      <c r="EN72" s="926"/>
      <c r="EO72" s="926"/>
      <c r="EP72" s="926"/>
      <c r="EQ72" s="926"/>
      <c r="ER72" s="926"/>
      <c r="ES72" s="926"/>
      <c r="ET72" s="926"/>
      <c r="EU72" s="926"/>
      <c r="EV72" s="926"/>
      <c r="EW72" s="926"/>
      <c r="EX72" s="926"/>
      <c r="EY72" s="926"/>
      <c r="EZ72" s="926"/>
      <c r="FA72" s="926"/>
      <c r="FB72" s="926"/>
      <c r="FC72" s="926"/>
      <c r="FD72" s="926"/>
      <c r="FE72" s="926"/>
      <c r="FF72" s="926"/>
      <c r="FG72" s="926"/>
      <c r="FH72" s="926"/>
      <c r="FI72" s="926"/>
      <c r="FJ72" s="926"/>
      <c r="FK72" s="926"/>
      <c r="FL72" s="926"/>
      <c r="FM72" s="926"/>
      <c r="FN72" s="926"/>
      <c r="FO72" s="926"/>
      <c r="FP72" s="926"/>
      <c r="FQ72" s="926"/>
      <c r="FR72" s="926"/>
      <c r="FS72" s="926"/>
      <c r="FT72" s="926"/>
      <c r="FU72" s="926"/>
      <c r="FV72" s="926"/>
      <c r="FW72" s="926"/>
      <c r="FX72" s="926"/>
      <c r="FY72" s="926"/>
      <c r="FZ72" s="926"/>
      <c r="GA72" s="926"/>
      <c r="GB72" s="926"/>
      <c r="GC72" s="926"/>
      <c r="GD72" s="926"/>
      <c r="GE72" s="926"/>
      <c r="GF72" s="926"/>
      <c r="GG72" s="926"/>
      <c r="GH72" s="926"/>
      <c r="GI72" s="926"/>
      <c r="GJ72" s="926"/>
      <c r="GK72" s="926"/>
      <c r="GL72" s="926"/>
      <c r="GM72" s="926"/>
      <c r="GN72" s="926"/>
      <c r="GO72" s="926"/>
      <c r="GP72" s="926"/>
      <c r="GQ72" s="926"/>
      <c r="GR72" s="926"/>
      <c r="GS72" s="926"/>
      <c r="GT72" s="926"/>
      <c r="GU72" s="926"/>
      <c r="GV72" s="926"/>
      <c r="GW72" s="926"/>
      <c r="GX72" s="926"/>
      <c r="GY72" s="926"/>
      <c r="GZ72" s="926"/>
      <c r="HA72" s="926"/>
      <c r="HB72" s="926"/>
      <c r="HC72" s="926"/>
      <c r="HD72" s="926"/>
      <c r="HE72" s="926"/>
      <c r="HF72" s="926"/>
      <c r="HG72" s="926"/>
      <c r="HH72" s="926"/>
      <c r="HI72" s="926"/>
      <c r="HJ72" s="926"/>
      <c r="HK72" s="926"/>
      <c r="HL72" s="926"/>
      <c r="HM72" s="926"/>
      <c r="HN72" s="926"/>
      <c r="HO72" s="926"/>
      <c r="HP72" s="926"/>
      <c r="HQ72" s="926"/>
      <c r="HR72" s="926"/>
      <c r="HS72" s="926"/>
      <c r="HT72" s="926"/>
      <c r="HU72" s="926"/>
      <c r="HV72" s="926"/>
      <c r="HW72" s="926"/>
      <c r="HX72" s="926"/>
      <c r="HY72" s="926"/>
      <c r="HZ72" s="926"/>
      <c r="IA72" s="926"/>
      <c r="IB72" s="926"/>
      <c r="IC72" s="926"/>
      <c r="ID72" s="926"/>
      <c r="IE72" s="926"/>
      <c r="IF72" s="926"/>
      <c r="IG72" s="926"/>
      <c r="IH72" s="926"/>
      <c r="II72" s="926"/>
      <c r="IJ72" s="926"/>
      <c r="IK72" s="926"/>
      <c r="IL72" s="926"/>
      <c r="IM72" s="926"/>
    </row>
    <row r="73" spans="1:247" x14ac:dyDescent="0.45">
      <c r="A73" s="441">
        <v>2126</v>
      </c>
      <c r="B73" s="939" t="s">
        <v>2608</v>
      </c>
      <c r="C73" s="47" t="s">
        <v>35</v>
      </c>
      <c r="D73" s="449" t="s">
        <v>2545</v>
      </c>
      <c r="E73" s="946"/>
      <c r="F73" s="941">
        <f t="shared" si="0"/>
        <v>1.0209999999999999</v>
      </c>
      <c r="G73" s="947">
        <f t="shared" si="7"/>
        <v>1.0269999999999999</v>
      </c>
      <c r="H73" s="946">
        <f>+$H$3</f>
        <v>1.0029999999999999</v>
      </c>
      <c r="I73" s="948">
        <f>+$I$3</f>
        <v>1.0289999999999999</v>
      </c>
      <c r="J73" s="948">
        <f t="shared" si="11"/>
        <v>1.0049999999999999</v>
      </c>
      <c r="K73" s="948"/>
      <c r="L73" s="948"/>
      <c r="M73" s="948">
        <f>+$M$3</f>
        <v>1.0029999999999999</v>
      </c>
      <c r="N73" s="947">
        <f t="shared" si="8"/>
        <v>1.0029999999999999</v>
      </c>
      <c r="O73" s="949">
        <f>+$O$3</f>
        <v>1.0209999999999999</v>
      </c>
      <c r="P73" s="946">
        <f t="shared" si="9"/>
        <v>1.032</v>
      </c>
      <c r="Q73" s="947">
        <f t="shared" si="10"/>
        <v>1.0349999999999999</v>
      </c>
      <c r="R73" s="950">
        <f>PRODUCT(E73:Q73)</f>
        <v>1.1932356231980656</v>
      </c>
      <c r="S73" s="926"/>
      <c r="T73" s="926"/>
      <c r="U73" s="926"/>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6"/>
      <c r="AV73" s="926"/>
      <c r="AW73" s="926"/>
      <c r="AX73" s="926"/>
      <c r="AY73" s="926"/>
      <c r="AZ73" s="926"/>
      <c r="BA73" s="926"/>
      <c r="BB73" s="926"/>
      <c r="BC73" s="926"/>
      <c r="BD73" s="926"/>
      <c r="BE73" s="926"/>
      <c r="BF73" s="926"/>
      <c r="BG73" s="926"/>
      <c r="BH73" s="926"/>
      <c r="BI73" s="926"/>
      <c r="BJ73" s="926"/>
      <c r="BK73" s="926"/>
      <c r="BL73" s="926"/>
      <c r="BM73" s="926"/>
      <c r="BN73" s="926"/>
      <c r="BO73" s="926"/>
      <c r="BP73" s="926"/>
      <c r="BQ73" s="926"/>
      <c r="BR73" s="926"/>
      <c r="BS73" s="926"/>
      <c r="BT73" s="926"/>
      <c r="BU73" s="926"/>
      <c r="BV73" s="926"/>
      <c r="BW73" s="926"/>
      <c r="BX73" s="926"/>
      <c r="BY73" s="926"/>
      <c r="BZ73" s="926"/>
      <c r="CA73" s="926"/>
      <c r="CB73" s="926"/>
      <c r="CC73" s="926"/>
      <c r="CD73" s="926"/>
      <c r="CE73" s="926"/>
      <c r="CF73" s="926"/>
      <c r="CG73" s="926"/>
      <c r="CH73" s="926"/>
      <c r="CI73" s="926"/>
      <c r="CJ73" s="926"/>
      <c r="CK73" s="926"/>
      <c r="CL73" s="926"/>
      <c r="CM73" s="926"/>
      <c r="CN73" s="926"/>
      <c r="CO73" s="926"/>
      <c r="CP73" s="926"/>
      <c r="CQ73" s="926"/>
      <c r="CR73" s="926"/>
      <c r="CS73" s="926"/>
      <c r="CT73" s="926"/>
      <c r="CU73" s="926"/>
      <c r="CV73" s="926"/>
      <c r="CW73" s="926"/>
      <c r="CX73" s="926"/>
      <c r="CY73" s="926"/>
      <c r="CZ73" s="926"/>
      <c r="DA73" s="926"/>
      <c r="DB73" s="926"/>
      <c r="DC73" s="926"/>
      <c r="DD73" s="926"/>
      <c r="DE73" s="926"/>
      <c r="DF73" s="926"/>
      <c r="DG73" s="926"/>
      <c r="DH73" s="926"/>
      <c r="DI73" s="926"/>
      <c r="DJ73" s="926"/>
      <c r="DK73" s="926"/>
      <c r="DL73" s="926"/>
      <c r="DM73" s="926"/>
      <c r="DN73" s="926"/>
      <c r="DO73" s="926"/>
      <c r="DP73" s="926"/>
      <c r="DQ73" s="926"/>
      <c r="DR73" s="926"/>
      <c r="DS73" s="926"/>
      <c r="DT73" s="926"/>
      <c r="DU73" s="926"/>
      <c r="DV73" s="926"/>
      <c r="DW73" s="926"/>
      <c r="DX73" s="926"/>
      <c r="DY73" s="926"/>
      <c r="DZ73" s="926"/>
      <c r="EA73" s="926"/>
      <c r="EB73" s="926"/>
      <c r="EC73" s="926"/>
      <c r="ED73" s="926"/>
      <c r="EE73" s="926"/>
      <c r="EF73" s="926"/>
      <c r="EG73" s="926"/>
      <c r="EH73" s="926"/>
      <c r="EI73" s="926"/>
      <c r="EJ73" s="926"/>
      <c r="EK73" s="926"/>
      <c r="EL73" s="926"/>
      <c r="EM73" s="926"/>
      <c r="EN73" s="926"/>
      <c r="EO73" s="926"/>
      <c r="EP73" s="926"/>
      <c r="EQ73" s="926"/>
      <c r="ER73" s="926"/>
      <c r="ES73" s="926"/>
      <c r="ET73" s="926"/>
      <c r="EU73" s="926"/>
      <c r="EV73" s="926"/>
      <c r="EW73" s="926"/>
      <c r="EX73" s="926"/>
      <c r="EY73" s="926"/>
      <c r="EZ73" s="926"/>
      <c r="FA73" s="926"/>
      <c r="FB73" s="926"/>
      <c r="FC73" s="926"/>
      <c r="FD73" s="926"/>
      <c r="FE73" s="926"/>
      <c r="FF73" s="926"/>
      <c r="FG73" s="926"/>
      <c r="FH73" s="926"/>
      <c r="FI73" s="926"/>
      <c r="FJ73" s="926"/>
      <c r="FK73" s="926"/>
      <c r="FL73" s="926"/>
      <c r="FM73" s="926"/>
      <c r="FN73" s="926"/>
      <c r="FO73" s="926"/>
      <c r="FP73" s="926"/>
      <c r="FQ73" s="926"/>
      <c r="FR73" s="926"/>
      <c r="FS73" s="926"/>
      <c r="FT73" s="926"/>
      <c r="FU73" s="926"/>
      <c r="FV73" s="926"/>
      <c r="FW73" s="926"/>
      <c r="FX73" s="926"/>
      <c r="FY73" s="926"/>
      <c r="FZ73" s="926"/>
      <c r="GA73" s="926"/>
      <c r="GB73" s="926"/>
      <c r="GC73" s="926"/>
      <c r="GD73" s="926"/>
      <c r="GE73" s="926"/>
      <c r="GF73" s="926"/>
      <c r="GG73" s="926"/>
      <c r="GH73" s="926"/>
      <c r="GI73" s="926"/>
      <c r="GJ73" s="926"/>
      <c r="GK73" s="926"/>
      <c r="GL73" s="926"/>
      <c r="GM73" s="926"/>
      <c r="GN73" s="926"/>
      <c r="GO73" s="926"/>
      <c r="GP73" s="926"/>
      <c r="GQ73" s="926"/>
      <c r="GR73" s="926"/>
      <c r="GS73" s="926"/>
      <c r="GT73" s="926"/>
      <c r="GU73" s="926"/>
      <c r="GV73" s="926"/>
      <c r="GW73" s="926"/>
      <c r="GX73" s="926"/>
      <c r="GY73" s="926"/>
      <c r="GZ73" s="926"/>
      <c r="HA73" s="926"/>
      <c r="HB73" s="926"/>
      <c r="HC73" s="926"/>
      <c r="HD73" s="926"/>
      <c r="HE73" s="926"/>
      <c r="HF73" s="926"/>
      <c r="HG73" s="926"/>
      <c r="HH73" s="926"/>
      <c r="HI73" s="926"/>
      <c r="HJ73" s="926"/>
      <c r="HK73" s="926"/>
      <c r="HL73" s="926"/>
      <c r="HM73" s="926"/>
      <c r="HN73" s="926"/>
      <c r="HO73" s="926"/>
      <c r="HP73" s="926"/>
      <c r="HQ73" s="926"/>
      <c r="HR73" s="926"/>
      <c r="HS73" s="926"/>
      <c r="HT73" s="926"/>
      <c r="HU73" s="926"/>
      <c r="HV73" s="926"/>
      <c r="HW73" s="926"/>
      <c r="HX73" s="926"/>
      <c r="HY73" s="926"/>
      <c r="HZ73" s="926"/>
      <c r="IA73" s="926"/>
      <c r="IB73" s="926"/>
      <c r="IC73" s="926"/>
      <c r="ID73" s="926"/>
      <c r="IE73" s="926"/>
      <c r="IF73" s="926"/>
      <c r="IG73" s="926"/>
      <c r="IH73" s="926"/>
      <c r="II73" s="926"/>
      <c r="IJ73" s="926"/>
      <c r="IK73" s="926"/>
      <c r="IL73" s="926"/>
      <c r="IM73" s="926"/>
    </row>
    <row r="74" spans="1:247" x14ac:dyDescent="0.45">
      <c r="A74" s="441">
        <v>2131</v>
      </c>
      <c r="B74" s="939" t="s">
        <v>2609</v>
      </c>
      <c r="C74" s="47" t="s">
        <v>35</v>
      </c>
      <c r="D74" s="449" t="s">
        <v>2537</v>
      </c>
      <c r="E74" s="946"/>
      <c r="F74" s="941">
        <f t="shared" si="0"/>
        <v>1.0209999999999999</v>
      </c>
      <c r="G74" s="947">
        <f t="shared" si="7"/>
        <v>1.0269999999999999</v>
      </c>
      <c r="H74" s="946">
        <f>+$H$3</f>
        <v>1.0029999999999999</v>
      </c>
      <c r="I74" s="948"/>
      <c r="J74" s="948"/>
      <c r="K74" s="948"/>
      <c r="L74" s="948"/>
      <c r="M74" s="948"/>
      <c r="N74" s="947">
        <f t="shared" si="8"/>
        <v>1.0029999999999999</v>
      </c>
      <c r="O74" s="949">
        <f>+$O$3</f>
        <v>1.0209999999999999</v>
      </c>
      <c r="P74" s="946">
        <f t="shared" si="9"/>
        <v>1.032</v>
      </c>
      <c r="Q74" s="947">
        <f t="shared" si="10"/>
        <v>1.0349999999999999</v>
      </c>
      <c r="R74" s="950">
        <f>PRODUCT(E74:Q74)</f>
        <v>1.1503866704650523</v>
      </c>
      <c r="S74" s="926"/>
      <c r="T74" s="926"/>
      <c r="U74" s="926"/>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6"/>
      <c r="AV74" s="926"/>
      <c r="AW74" s="926"/>
      <c r="AX74" s="926"/>
      <c r="AY74" s="926"/>
      <c r="AZ74" s="926"/>
      <c r="BA74" s="926"/>
      <c r="BB74" s="926"/>
      <c r="BC74" s="926"/>
      <c r="BD74" s="926"/>
      <c r="BE74" s="926"/>
      <c r="BF74" s="926"/>
      <c r="BG74" s="926"/>
      <c r="BH74" s="926"/>
      <c r="BI74" s="926"/>
      <c r="BJ74" s="926"/>
      <c r="BK74" s="926"/>
      <c r="BL74" s="926"/>
      <c r="BM74" s="926"/>
      <c r="BN74" s="926"/>
      <c r="BO74" s="926"/>
      <c r="BP74" s="926"/>
      <c r="BQ74" s="926"/>
      <c r="BR74" s="926"/>
      <c r="BS74" s="926"/>
      <c r="BT74" s="926"/>
      <c r="BU74" s="926"/>
      <c r="BV74" s="926"/>
      <c r="BW74" s="926"/>
      <c r="BX74" s="926"/>
      <c r="BY74" s="926"/>
      <c r="BZ74" s="926"/>
      <c r="CA74" s="926"/>
      <c r="CB74" s="926"/>
      <c r="CC74" s="926"/>
      <c r="CD74" s="926"/>
      <c r="CE74" s="926"/>
      <c r="CF74" s="926"/>
      <c r="CG74" s="926"/>
      <c r="CH74" s="926"/>
      <c r="CI74" s="926"/>
      <c r="CJ74" s="926"/>
      <c r="CK74" s="926"/>
      <c r="CL74" s="926"/>
      <c r="CM74" s="926"/>
      <c r="CN74" s="926"/>
      <c r="CO74" s="926"/>
      <c r="CP74" s="926"/>
      <c r="CQ74" s="926"/>
      <c r="CR74" s="926"/>
      <c r="CS74" s="926"/>
      <c r="CT74" s="926"/>
      <c r="CU74" s="926"/>
      <c r="CV74" s="926"/>
      <c r="CW74" s="926"/>
      <c r="CX74" s="926"/>
      <c r="CY74" s="926"/>
      <c r="CZ74" s="926"/>
      <c r="DA74" s="926"/>
      <c r="DB74" s="926"/>
      <c r="DC74" s="926"/>
      <c r="DD74" s="926"/>
      <c r="DE74" s="926"/>
      <c r="DF74" s="926"/>
      <c r="DG74" s="926"/>
      <c r="DH74" s="926"/>
      <c r="DI74" s="926"/>
      <c r="DJ74" s="926"/>
      <c r="DK74" s="926"/>
      <c r="DL74" s="926"/>
      <c r="DM74" s="926"/>
      <c r="DN74" s="926"/>
      <c r="DO74" s="926"/>
      <c r="DP74" s="926"/>
      <c r="DQ74" s="926"/>
      <c r="DR74" s="926"/>
      <c r="DS74" s="926"/>
      <c r="DT74" s="926"/>
      <c r="DU74" s="926"/>
      <c r="DV74" s="926"/>
      <c r="DW74" s="926"/>
      <c r="DX74" s="926"/>
      <c r="DY74" s="926"/>
      <c r="DZ74" s="926"/>
      <c r="EA74" s="926"/>
      <c r="EB74" s="926"/>
      <c r="EC74" s="926"/>
      <c r="ED74" s="926"/>
      <c r="EE74" s="926"/>
      <c r="EF74" s="926"/>
      <c r="EG74" s="926"/>
      <c r="EH74" s="926"/>
      <c r="EI74" s="926"/>
      <c r="EJ74" s="926"/>
      <c r="EK74" s="926"/>
      <c r="EL74" s="926"/>
      <c r="EM74" s="926"/>
      <c r="EN74" s="926"/>
      <c r="EO74" s="926"/>
      <c r="EP74" s="926"/>
      <c r="EQ74" s="926"/>
      <c r="ER74" s="926"/>
      <c r="ES74" s="926"/>
      <c r="ET74" s="926"/>
      <c r="EU74" s="926"/>
      <c r="EV74" s="926"/>
      <c r="EW74" s="926"/>
      <c r="EX74" s="926"/>
      <c r="EY74" s="926"/>
      <c r="EZ74" s="926"/>
      <c r="FA74" s="926"/>
      <c r="FB74" s="926"/>
      <c r="FC74" s="926"/>
      <c r="FD74" s="926"/>
      <c r="FE74" s="926"/>
      <c r="FF74" s="926"/>
      <c r="FG74" s="926"/>
      <c r="FH74" s="926"/>
      <c r="FI74" s="926"/>
      <c r="FJ74" s="926"/>
      <c r="FK74" s="926"/>
      <c r="FL74" s="926"/>
      <c r="FM74" s="926"/>
      <c r="FN74" s="926"/>
      <c r="FO74" s="926"/>
      <c r="FP74" s="926"/>
      <c r="FQ74" s="926"/>
      <c r="FR74" s="926"/>
      <c r="FS74" s="926"/>
      <c r="FT74" s="926"/>
      <c r="FU74" s="926"/>
      <c r="FV74" s="926"/>
      <c r="FW74" s="926"/>
      <c r="FX74" s="926"/>
      <c r="FY74" s="926"/>
      <c r="FZ74" s="926"/>
      <c r="GA74" s="926"/>
      <c r="GB74" s="926"/>
      <c r="GC74" s="926"/>
      <c r="GD74" s="926"/>
      <c r="GE74" s="926"/>
      <c r="GF74" s="926"/>
      <c r="GG74" s="926"/>
      <c r="GH74" s="926"/>
      <c r="GI74" s="926"/>
      <c r="GJ74" s="926"/>
      <c r="GK74" s="926"/>
      <c r="GL74" s="926"/>
      <c r="GM74" s="926"/>
      <c r="GN74" s="926"/>
      <c r="GO74" s="926"/>
      <c r="GP74" s="926"/>
      <c r="GQ74" s="926"/>
      <c r="GR74" s="926"/>
      <c r="GS74" s="926"/>
      <c r="GT74" s="926"/>
      <c r="GU74" s="926"/>
      <c r="GV74" s="926"/>
      <c r="GW74" s="926"/>
      <c r="GX74" s="926"/>
      <c r="GY74" s="926"/>
      <c r="GZ74" s="926"/>
      <c r="HA74" s="926"/>
      <c r="HB74" s="926"/>
      <c r="HC74" s="926"/>
      <c r="HD74" s="926"/>
      <c r="HE74" s="926"/>
      <c r="HF74" s="926"/>
      <c r="HG74" s="926"/>
      <c r="HH74" s="926"/>
      <c r="HI74" s="926"/>
      <c r="HJ74" s="926"/>
      <c r="HK74" s="926"/>
      <c r="HL74" s="926"/>
      <c r="HM74" s="926"/>
      <c r="HN74" s="926"/>
      <c r="HO74" s="926"/>
      <c r="HP74" s="926"/>
      <c r="HQ74" s="926"/>
      <c r="HR74" s="926"/>
      <c r="HS74" s="926"/>
      <c r="HT74" s="926"/>
      <c r="HU74" s="926"/>
      <c r="HV74" s="926"/>
      <c r="HW74" s="926"/>
      <c r="HX74" s="926"/>
      <c r="HY74" s="926"/>
      <c r="HZ74" s="926"/>
      <c r="IA74" s="926"/>
      <c r="IB74" s="926"/>
      <c r="IC74" s="926"/>
      <c r="ID74" s="926"/>
      <c r="IE74" s="926"/>
      <c r="IF74" s="926"/>
      <c r="IG74" s="926"/>
      <c r="IH74" s="926"/>
      <c r="II74" s="926"/>
      <c r="IJ74" s="926"/>
      <c r="IK74" s="926"/>
      <c r="IL74" s="926"/>
      <c r="IM74" s="926"/>
    </row>
    <row r="75" spans="1:247" x14ac:dyDescent="0.45">
      <c r="A75" s="441">
        <v>2134</v>
      </c>
      <c r="B75" s="939" t="s">
        <v>2610</v>
      </c>
      <c r="C75" s="47" t="s">
        <v>35</v>
      </c>
      <c r="D75" s="449" t="s">
        <v>2545</v>
      </c>
      <c r="E75" s="946"/>
      <c r="F75" s="941">
        <f t="shared" si="0"/>
        <v>1.0209999999999999</v>
      </c>
      <c r="G75" s="947">
        <f t="shared" si="7"/>
        <v>1.0269999999999999</v>
      </c>
      <c r="H75" s="946"/>
      <c r="I75" s="948"/>
      <c r="J75" s="948">
        <f t="shared" si="11"/>
        <v>1.0049999999999999</v>
      </c>
      <c r="K75" s="948"/>
      <c r="L75" s="948"/>
      <c r="M75" s="948"/>
      <c r="N75" s="947">
        <f t="shared" si="8"/>
        <v>1.0029999999999999</v>
      </c>
      <c r="O75" s="949"/>
      <c r="P75" s="946">
        <f t="shared" si="9"/>
        <v>1.032</v>
      </c>
      <c r="Q75" s="947">
        <f t="shared" si="10"/>
        <v>1.0349999999999999</v>
      </c>
      <c r="R75" s="950">
        <f t="shared" si="1"/>
        <v>1.12897214704308</v>
      </c>
      <c r="S75" s="926"/>
      <c r="T75" s="926"/>
      <c r="U75" s="926"/>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6"/>
      <c r="AV75" s="926"/>
      <c r="AW75" s="926"/>
      <c r="AX75" s="926"/>
      <c r="AY75" s="926"/>
      <c r="AZ75" s="926"/>
      <c r="BA75" s="926"/>
      <c r="BB75" s="926"/>
      <c r="BC75" s="926"/>
      <c r="BD75" s="926"/>
      <c r="BE75" s="926"/>
      <c r="BF75" s="926"/>
      <c r="BG75" s="926"/>
      <c r="BH75" s="926"/>
      <c r="BI75" s="926"/>
      <c r="BJ75" s="926"/>
      <c r="BK75" s="926"/>
      <c r="BL75" s="926"/>
      <c r="BM75" s="926"/>
      <c r="BN75" s="926"/>
      <c r="BO75" s="926"/>
      <c r="BP75" s="926"/>
      <c r="BQ75" s="926"/>
      <c r="BR75" s="926"/>
      <c r="BS75" s="926"/>
      <c r="BT75" s="926"/>
      <c r="BU75" s="926"/>
      <c r="BV75" s="926"/>
      <c r="BW75" s="926"/>
      <c r="BX75" s="926"/>
      <c r="BY75" s="926"/>
      <c r="BZ75" s="926"/>
      <c r="CA75" s="926"/>
      <c r="CB75" s="926"/>
      <c r="CC75" s="926"/>
      <c r="CD75" s="926"/>
      <c r="CE75" s="926"/>
      <c r="CF75" s="926"/>
      <c r="CG75" s="926"/>
      <c r="CH75" s="926"/>
      <c r="CI75" s="926"/>
      <c r="CJ75" s="926"/>
      <c r="CK75" s="926"/>
      <c r="CL75" s="926"/>
      <c r="CM75" s="926"/>
      <c r="CN75" s="926"/>
      <c r="CO75" s="926"/>
      <c r="CP75" s="926"/>
      <c r="CQ75" s="926"/>
      <c r="CR75" s="926"/>
      <c r="CS75" s="926"/>
      <c r="CT75" s="926"/>
      <c r="CU75" s="926"/>
      <c r="CV75" s="926"/>
      <c r="CW75" s="926"/>
      <c r="CX75" s="926"/>
      <c r="CY75" s="926"/>
      <c r="CZ75" s="926"/>
      <c r="DA75" s="926"/>
      <c r="DB75" s="926"/>
      <c r="DC75" s="926"/>
      <c r="DD75" s="926"/>
      <c r="DE75" s="926"/>
      <c r="DF75" s="926"/>
      <c r="DG75" s="926"/>
      <c r="DH75" s="926"/>
      <c r="DI75" s="926"/>
      <c r="DJ75" s="926"/>
      <c r="DK75" s="926"/>
      <c r="DL75" s="926"/>
      <c r="DM75" s="926"/>
      <c r="DN75" s="926"/>
      <c r="DO75" s="926"/>
      <c r="DP75" s="926"/>
      <c r="DQ75" s="926"/>
      <c r="DR75" s="926"/>
      <c r="DS75" s="926"/>
      <c r="DT75" s="926"/>
      <c r="DU75" s="926"/>
      <c r="DV75" s="926"/>
      <c r="DW75" s="926"/>
      <c r="DX75" s="926"/>
      <c r="DY75" s="926"/>
      <c r="DZ75" s="926"/>
      <c r="EA75" s="926"/>
      <c r="EB75" s="926"/>
      <c r="EC75" s="926"/>
      <c r="ED75" s="926"/>
      <c r="EE75" s="926"/>
      <c r="EF75" s="926"/>
      <c r="EG75" s="926"/>
      <c r="EH75" s="926"/>
      <c r="EI75" s="926"/>
      <c r="EJ75" s="926"/>
      <c r="EK75" s="926"/>
      <c r="EL75" s="926"/>
      <c r="EM75" s="926"/>
      <c r="EN75" s="926"/>
      <c r="EO75" s="926"/>
      <c r="EP75" s="926"/>
      <c r="EQ75" s="926"/>
      <c r="ER75" s="926"/>
      <c r="ES75" s="926"/>
      <c r="ET75" s="926"/>
      <c r="EU75" s="926"/>
      <c r="EV75" s="926"/>
      <c r="EW75" s="926"/>
      <c r="EX75" s="926"/>
      <c r="EY75" s="926"/>
      <c r="EZ75" s="926"/>
      <c r="FA75" s="926"/>
      <c r="FB75" s="926"/>
      <c r="FC75" s="926"/>
      <c r="FD75" s="926"/>
      <c r="FE75" s="926"/>
      <c r="FF75" s="926"/>
      <c r="FG75" s="926"/>
      <c r="FH75" s="926"/>
      <c r="FI75" s="926"/>
      <c r="FJ75" s="926"/>
      <c r="FK75" s="926"/>
      <c r="FL75" s="926"/>
      <c r="FM75" s="926"/>
      <c r="FN75" s="926"/>
      <c r="FO75" s="926"/>
      <c r="FP75" s="926"/>
      <c r="FQ75" s="926"/>
      <c r="FR75" s="926"/>
      <c r="FS75" s="926"/>
      <c r="FT75" s="926"/>
      <c r="FU75" s="926"/>
      <c r="FV75" s="926"/>
      <c r="FW75" s="926"/>
      <c r="FX75" s="926"/>
      <c r="FY75" s="926"/>
      <c r="FZ75" s="926"/>
      <c r="GA75" s="926"/>
      <c r="GB75" s="926"/>
      <c r="GC75" s="926"/>
      <c r="GD75" s="926"/>
      <c r="GE75" s="926"/>
      <c r="GF75" s="926"/>
      <c r="GG75" s="926"/>
      <c r="GH75" s="926"/>
      <c r="GI75" s="926"/>
      <c r="GJ75" s="926"/>
      <c r="GK75" s="926"/>
      <c r="GL75" s="926"/>
      <c r="GM75" s="926"/>
      <c r="GN75" s="926"/>
      <c r="GO75" s="926"/>
      <c r="GP75" s="926"/>
      <c r="GQ75" s="926"/>
      <c r="GR75" s="926"/>
      <c r="GS75" s="926"/>
      <c r="GT75" s="926"/>
      <c r="GU75" s="926"/>
      <c r="GV75" s="926"/>
      <c r="GW75" s="926"/>
      <c r="GX75" s="926"/>
      <c r="GY75" s="926"/>
      <c r="GZ75" s="926"/>
      <c r="HA75" s="926"/>
      <c r="HB75" s="926"/>
      <c r="HC75" s="926"/>
      <c r="HD75" s="926"/>
      <c r="HE75" s="926"/>
      <c r="HF75" s="926"/>
      <c r="HG75" s="926"/>
      <c r="HH75" s="926"/>
      <c r="HI75" s="926"/>
      <c r="HJ75" s="926"/>
      <c r="HK75" s="926"/>
      <c r="HL75" s="926"/>
      <c r="HM75" s="926"/>
      <c r="HN75" s="926"/>
      <c r="HO75" s="926"/>
      <c r="HP75" s="926"/>
      <c r="HQ75" s="926"/>
      <c r="HR75" s="926"/>
      <c r="HS75" s="926"/>
      <c r="HT75" s="926"/>
      <c r="HU75" s="926"/>
      <c r="HV75" s="926"/>
      <c r="HW75" s="926"/>
      <c r="HX75" s="926"/>
      <c r="HY75" s="926"/>
      <c r="HZ75" s="926"/>
      <c r="IA75" s="926"/>
      <c r="IB75" s="926"/>
      <c r="IC75" s="926"/>
      <c r="ID75" s="926"/>
      <c r="IE75" s="926"/>
      <c r="IF75" s="926"/>
      <c r="IG75" s="926"/>
      <c r="IH75" s="926"/>
      <c r="II75" s="926"/>
      <c r="IJ75" s="926"/>
      <c r="IK75" s="926"/>
      <c r="IL75" s="926"/>
      <c r="IM75" s="926"/>
    </row>
    <row r="76" spans="1:247" x14ac:dyDescent="0.45">
      <c r="A76" s="441">
        <v>2152</v>
      </c>
      <c r="B76" s="939" t="s">
        <v>2611</v>
      </c>
      <c r="C76" s="47" t="s">
        <v>35</v>
      </c>
      <c r="D76" s="449" t="s">
        <v>2545</v>
      </c>
      <c r="E76" s="946"/>
      <c r="F76" s="941">
        <f t="shared" si="0"/>
        <v>1.0209999999999999</v>
      </c>
      <c r="G76" s="947">
        <f t="shared" si="7"/>
        <v>1.0269999999999999</v>
      </c>
      <c r="H76" s="946">
        <f>+$H$3</f>
        <v>1.0029999999999999</v>
      </c>
      <c r="I76" s="948">
        <f>+$I$3</f>
        <v>1.0289999999999999</v>
      </c>
      <c r="J76" s="948">
        <f t="shared" si="11"/>
        <v>1.0049999999999999</v>
      </c>
      <c r="K76" s="948"/>
      <c r="L76" s="948"/>
      <c r="M76" s="948">
        <f t="shared" ref="M76:M82" si="12">+$M$3</f>
        <v>1.0029999999999999</v>
      </c>
      <c r="N76" s="947">
        <f t="shared" si="8"/>
        <v>1.0029999999999999</v>
      </c>
      <c r="O76" s="949">
        <f t="shared" ref="O76:O82" si="13">+$O$3</f>
        <v>1.0209999999999999</v>
      </c>
      <c r="P76" s="946">
        <v>1.032</v>
      </c>
      <c r="Q76" s="947">
        <f t="shared" si="10"/>
        <v>1.0349999999999999</v>
      </c>
      <c r="R76" s="950">
        <f t="shared" si="1"/>
        <v>1.1932356231980656</v>
      </c>
      <c r="S76" s="926"/>
      <c r="T76" s="926"/>
      <c r="U76" s="926"/>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6"/>
      <c r="AV76" s="926"/>
      <c r="AW76" s="926"/>
      <c r="AX76" s="926"/>
      <c r="AY76" s="926"/>
      <c r="AZ76" s="926"/>
      <c r="BA76" s="926"/>
      <c r="BB76" s="926"/>
      <c r="BC76" s="926"/>
      <c r="BD76" s="926"/>
      <c r="BE76" s="926"/>
      <c r="BF76" s="926"/>
      <c r="BG76" s="926"/>
      <c r="BH76" s="926"/>
      <c r="BI76" s="926"/>
      <c r="BJ76" s="926"/>
      <c r="BK76" s="926"/>
      <c r="BL76" s="926"/>
      <c r="BM76" s="926"/>
      <c r="BN76" s="926"/>
      <c r="BO76" s="926"/>
      <c r="BP76" s="926"/>
      <c r="BQ76" s="926"/>
      <c r="BR76" s="926"/>
      <c r="BS76" s="926"/>
      <c r="BT76" s="926"/>
      <c r="BU76" s="926"/>
      <c r="BV76" s="926"/>
      <c r="BW76" s="926"/>
      <c r="BX76" s="926"/>
      <c r="BY76" s="926"/>
      <c r="BZ76" s="926"/>
      <c r="CA76" s="926"/>
      <c r="CB76" s="926"/>
      <c r="CC76" s="926"/>
      <c r="CD76" s="926"/>
      <c r="CE76" s="926"/>
      <c r="CF76" s="926"/>
      <c r="CG76" s="926"/>
      <c r="CH76" s="926"/>
      <c r="CI76" s="926"/>
      <c r="CJ76" s="926"/>
      <c r="CK76" s="926"/>
      <c r="CL76" s="926"/>
      <c r="CM76" s="926"/>
      <c r="CN76" s="926"/>
      <c r="CO76" s="926"/>
      <c r="CP76" s="926"/>
      <c r="CQ76" s="926"/>
      <c r="CR76" s="926"/>
      <c r="CS76" s="926"/>
      <c r="CT76" s="926"/>
      <c r="CU76" s="926"/>
      <c r="CV76" s="926"/>
      <c r="CW76" s="926"/>
      <c r="CX76" s="926"/>
      <c r="CY76" s="926"/>
      <c r="CZ76" s="926"/>
      <c r="DA76" s="926"/>
      <c r="DB76" s="926"/>
      <c r="DC76" s="926"/>
      <c r="DD76" s="926"/>
      <c r="DE76" s="926"/>
      <c r="DF76" s="926"/>
      <c r="DG76" s="926"/>
      <c r="DH76" s="926"/>
      <c r="DI76" s="926"/>
      <c r="DJ76" s="926"/>
      <c r="DK76" s="926"/>
      <c r="DL76" s="926"/>
      <c r="DM76" s="926"/>
      <c r="DN76" s="926"/>
      <c r="DO76" s="926"/>
      <c r="DP76" s="926"/>
      <c r="DQ76" s="926"/>
      <c r="DR76" s="926"/>
      <c r="DS76" s="926"/>
      <c r="DT76" s="926"/>
      <c r="DU76" s="926"/>
      <c r="DV76" s="926"/>
      <c r="DW76" s="926"/>
      <c r="DX76" s="926"/>
      <c r="DY76" s="926"/>
      <c r="DZ76" s="926"/>
      <c r="EA76" s="926"/>
      <c r="EB76" s="926"/>
      <c r="EC76" s="926"/>
      <c r="ED76" s="926"/>
      <c r="EE76" s="926"/>
      <c r="EF76" s="926"/>
      <c r="EG76" s="926"/>
      <c r="EH76" s="926"/>
      <c r="EI76" s="926"/>
      <c r="EJ76" s="926"/>
      <c r="EK76" s="926"/>
      <c r="EL76" s="926"/>
      <c r="EM76" s="926"/>
      <c r="EN76" s="926"/>
      <c r="EO76" s="926"/>
      <c r="EP76" s="926"/>
      <c r="EQ76" s="926"/>
      <c r="ER76" s="926"/>
      <c r="ES76" s="926"/>
      <c r="ET76" s="926"/>
      <c r="EU76" s="926"/>
      <c r="EV76" s="926"/>
      <c r="EW76" s="926"/>
      <c r="EX76" s="926"/>
      <c r="EY76" s="926"/>
      <c r="EZ76" s="926"/>
      <c r="FA76" s="926"/>
      <c r="FB76" s="926"/>
      <c r="FC76" s="926"/>
      <c r="FD76" s="926"/>
      <c r="FE76" s="926"/>
      <c r="FF76" s="926"/>
      <c r="FG76" s="926"/>
      <c r="FH76" s="926"/>
      <c r="FI76" s="926"/>
      <c r="FJ76" s="926"/>
      <c r="FK76" s="926"/>
      <c r="FL76" s="926"/>
      <c r="FM76" s="926"/>
      <c r="FN76" s="926"/>
      <c r="FO76" s="926"/>
      <c r="FP76" s="926"/>
      <c r="FQ76" s="926"/>
      <c r="FR76" s="926"/>
      <c r="FS76" s="926"/>
      <c r="FT76" s="926"/>
      <c r="FU76" s="926"/>
      <c r="FV76" s="926"/>
      <c r="FW76" s="926"/>
      <c r="FX76" s="926"/>
      <c r="FY76" s="926"/>
      <c r="FZ76" s="926"/>
      <c r="GA76" s="926"/>
      <c r="GB76" s="926"/>
      <c r="GC76" s="926"/>
      <c r="GD76" s="926"/>
      <c r="GE76" s="926"/>
      <c r="GF76" s="926"/>
      <c r="GG76" s="926"/>
      <c r="GH76" s="926"/>
      <c r="GI76" s="926"/>
      <c r="GJ76" s="926"/>
      <c r="GK76" s="926"/>
      <c r="GL76" s="926"/>
      <c r="GM76" s="926"/>
      <c r="GN76" s="926"/>
      <c r="GO76" s="926"/>
      <c r="GP76" s="926"/>
      <c r="GQ76" s="926"/>
      <c r="GR76" s="926"/>
      <c r="GS76" s="926"/>
      <c r="GT76" s="926"/>
      <c r="GU76" s="926"/>
      <c r="GV76" s="926"/>
      <c r="GW76" s="926"/>
      <c r="GX76" s="926"/>
      <c r="GY76" s="926"/>
      <c r="GZ76" s="926"/>
      <c r="HA76" s="926"/>
      <c r="HB76" s="926"/>
      <c r="HC76" s="926"/>
      <c r="HD76" s="926"/>
      <c r="HE76" s="926"/>
      <c r="HF76" s="926"/>
      <c r="HG76" s="926"/>
      <c r="HH76" s="926"/>
      <c r="HI76" s="926"/>
      <c r="HJ76" s="926"/>
      <c r="HK76" s="926"/>
      <c r="HL76" s="926"/>
      <c r="HM76" s="926"/>
      <c r="HN76" s="926"/>
      <c r="HO76" s="926"/>
      <c r="HP76" s="926"/>
      <c r="HQ76" s="926"/>
      <c r="HR76" s="926"/>
      <c r="HS76" s="926"/>
      <c r="HT76" s="926"/>
      <c r="HU76" s="926"/>
      <c r="HV76" s="926"/>
      <c r="HW76" s="926"/>
      <c r="HX76" s="926"/>
      <c r="HY76" s="926"/>
      <c r="HZ76" s="926"/>
      <c r="IA76" s="926"/>
      <c r="IB76" s="926"/>
      <c r="IC76" s="926"/>
      <c r="ID76" s="926"/>
      <c r="IE76" s="926"/>
      <c r="IF76" s="926"/>
      <c r="IG76" s="926"/>
      <c r="IH76" s="926"/>
      <c r="II76" s="926"/>
      <c r="IJ76" s="926"/>
      <c r="IK76" s="926"/>
      <c r="IL76" s="926"/>
      <c r="IM76" s="926"/>
    </row>
    <row r="77" spans="1:247" x14ac:dyDescent="0.45">
      <c r="A77" s="441">
        <v>2154</v>
      </c>
      <c r="B77" s="939" t="s">
        <v>2612</v>
      </c>
      <c r="C77" s="47" t="s">
        <v>35</v>
      </c>
      <c r="D77" s="449" t="s">
        <v>2537</v>
      </c>
      <c r="E77" s="946"/>
      <c r="F77" s="941">
        <f t="shared" si="0"/>
        <v>1.0209999999999999</v>
      </c>
      <c r="G77" s="947">
        <f t="shared" si="7"/>
        <v>1.0269999999999999</v>
      </c>
      <c r="H77" s="946"/>
      <c r="I77" s="948"/>
      <c r="J77" s="948">
        <f t="shared" si="11"/>
        <v>1.0049999999999999</v>
      </c>
      <c r="K77" s="948"/>
      <c r="L77" s="948"/>
      <c r="M77" s="948">
        <f t="shared" si="12"/>
        <v>1.0029999999999999</v>
      </c>
      <c r="N77" s="947">
        <f t="shared" si="8"/>
        <v>1.0029999999999999</v>
      </c>
      <c r="O77" s="949">
        <f t="shared" si="13"/>
        <v>1.0209999999999999</v>
      </c>
      <c r="P77" s="951">
        <v>1.032</v>
      </c>
      <c r="Q77" s="947">
        <f t="shared" si="10"/>
        <v>1.0349999999999999</v>
      </c>
      <c r="R77" s="950">
        <f t="shared" si="1"/>
        <v>1.1561386038173773</v>
      </c>
      <c r="S77" s="926"/>
      <c r="T77" s="926"/>
      <c r="U77" s="926"/>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6"/>
      <c r="AV77" s="926"/>
      <c r="AW77" s="926"/>
      <c r="AX77" s="926"/>
      <c r="AY77" s="926"/>
      <c r="AZ77" s="926"/>
      <c r="BA77" s="926"/>
      <c r="BB77" s="926"/>
      <c r="BC77" s="926"/>
      <c r="BD77" s="926"/>
      <c r="BE77" s="926"/>
      <c r="BF77" s="926"/>
      <c r="BG77" s="926"/>
      <c r="BH77" s="926"/>
      <c r="BI77" s="926"/>
      <c r="BJ77" s="926"/>
      <c r="BK77" s="926"/>
      <c r="BL77" s="926"/>
      <c r="BM77" s="926"/>
      <c r="BN77" s="926"/>
      <c r="BO77" s="926"/>
      <c r="BP77" s="926"/>
      <c r="BQ77" s="926"/>
      <c r="BR77" s="926"/>
      <c r="BS77" s="926"/>
      <c r="BT77" s="926"/>
      <c r="BU77" s="926"/>
      <c r="BV77" s="926"/>
      <c r="BW77" s="926"/>
      <c r="BX77" s="926"/>
      <c r="BY77" s="926"/>
      <c r="BZ77" s="926"/>
      <c r="CA77" s="926"/>
      <c r="CB77" s="926"/>
      <c r="CC77" s="926"/>
      <c r="CD77" s="926"/>
      <c r="CE77" s="926"/>
      <c r="CF77" s="926"/>
      <c r="CG77" s="926"/>
      <c r="CH77" s="926"/>
      <c r="CI77" s="926"/>
      <c r="CJ77" s="926"/>
      <c r="CK77" s="926"/>
      <c r="CL77" s="926"/>
      <c r="CM77" s="926"/>
      <c r="CN77" s="926"/>
      <c r="CO77" s="926"/>
      <c r="CP77" s="926"/>
      <c r="CQ77" s="926"/>
      <c r="CR77" s="926"/>
      <c r="CS77" s="926"/>
      <c r="CT77" s="926"/>
      <c r="CU77" s="926"/>
      <c r="CV77" s="926"/>
      <c r="CW77" s="926"/>
      <c r="CX77" s="926"/>
      <c r="CY77" s="926"/>
      <c r="CZ77" s="926"/>
      <c r="DA77" s="926"/>
      <c r="DB77" s="926"/>
      <c r="DC77" s="926"/>
      <c r="DD77" s="926"/>
      <c r="DE77" s="926"/>
      <c r="DF77" s="926"/>
      <c r="DG77" s="926"/>
      <c r="DH77" s="926"/>
      <c r="DI77" s="926"/>
      <c r="DJ77" s="926"/>
      <c r="DK77" s="926"/>
      <c r="DL77" s="926"/>
      <c r="DM77" s="926"/>
      <c r="DN77" s="926"/>
      <c r="DO77" s="926"/>
      <c r="DP77" s="926"/>
      <c r="DQ77" s="926"/>
      <c r="DR77" s="926"/>
      <c r="DS77" s="926"/>
      <c r="DT77" s="926"/>
      <c r="DU77" s="926"/>
      <c r="DV77" s="926"/>
      <c r="DW77" s="926"/>
      <c r="DX77" s="926"/>
      <c r="DY77" s="926"/>
      <c r="DZ77" s="926"/>
      <c r="EA77" s="926"/>
      <c r="EB77" s="926"/>
      <c r="EC77" s="926"/>
      <c r="ED77" s="926"/>
      <c r="EE77" s="926"/>
      <c r="EF77" s="926"/>
      <c r="EG77" s="926"/>
      <c r="EH77" s="926"/>
      <c r="EI77" s="926"/>
      <c r="EJ77" s="926"/>
      <c r="EK77" s="926"/>
      <c r="EL77" s="926"/>
      <c r="EM77" s="926"/>
      <c r="EN77" s="926"/>
      <c r="EO77" s="926"/>
      <c r="EP77" s="926"/>
      <c r="EQ77" s="926"/>
      <c r="ER77" s="926"/>
      <c r="ES77" s="926"/>
      <c r="ET77" s="926"/>
      <c r="EU77" s="926"/>
      <c r="EV77" s="926"/>
      <c r="EW77" s="926"/>
      <c r="EX77" s="926"/>
      <c r="EY77" s="926"/>
      <c r="EZ77" s="926"/>
      <c r="FA77" s="926"/>
      <c r="FB77" s="926"/>
      <c r="FC77" s="926"/>
      <c r="FD77" s="926"/>
      <c r="FE77" s="926"/>
      <c r="FF77" s="926"/>
      <c r="FG77" s="926"/>
      <c r="FH77" s="926"/>
      <c r="FI77" s="926"/>
      <c r="FJ77" s="926"/>
      <c r="FK77" s="926"/>
      <c r="FL77" s="926"/>
      <c r="FM77" s="926"/>
      <c r="FN77" s="926"/>
      <c r="FO77" s="926"/>
      <c r="FP77" s="926"/>
      <c r="FQ77" s="926"/>
      <c r="FR77" s="926"/>
      <c r="FS77" s="926"/>
      <c r="FT77" s="926"/>
      <c r="FU77" s="926"/>
      <c r="FV77" s="926"/>
      <c r="FW77" s="926"/>
      <c r="FX77" s="926"/>
      <c r="FY77" s="926"/>
      <c r="FZ77" s="926"/>
      <c r="GA77" s="926"/>
      <c r="GB77" s="926"/>
      <c r="GC77" s="926"/>
      <c r="GD77" s="926"/>
      <c r="GE77" s="926"/>
      <c r="GF77" s="926"/>
      <c r="GG77" s="926"/>
      <c r="GH77" s="926"/>
      <c r="GI77" s="926"/>
      <c r="GJ77" s="926"/>
      <c r="GK77" s="926"/>
      <c r="GL77" s="926"/>
      <c r="GM77" s="926"/>
      <c r="GN77" s="926"/>
      <c r="GO77" s="926"/>
      <c r="GP77" s="926"/>
      <c r="GQ77" s="926"/>
      <c r="GR77" s="926"/>
      <c r="GS77" s="926"/>
      <c r="GT77" s="926"/>
      <c r="GU77" s="926"/>
      <c r="GV77" s="926"/>
      <c r="GW77" s="926"/>
      <c r="GX77" s="926"/>
      <c r="GY77" s="926"/>
      <c r="GZ77" s="926"/>
      <c r="HA77" s="926"/>
      <c r="HB77" s="926"/>
      <c r="HC77" s="926"/>
      <c r="HD77" s="926"/>
      <c r="HE77" s="926"/>
      <c r="HF77" s="926"/>
      <c r="HG77" s="926"/>
      <c r="HH77" s="926"/>
      <c r="HI77" s="926"/>
      <c r="HJ77" s="926"/>
      <c r="HK77" s="926"/>
      <c r="HL77" s="926"/>
      <c r="HM77" s="926"/>
      <c r="HN77" s="926"/>
      <c r="HO77" s="926"/>
      <c r="HP77" s="926"/>
      <c r="HQ77" s="926"/>
      <c r="HR77" s="926"/>
      <c r="HS77" s="926"/>
      <c r="HT77" s="926"/>
      <c r="HU77" s="926"/>
      <c r="HV77" s="926"/>
      <c r="HW77" s="926"/>
      <c r="HX77" s="926"/>
      <c r="HY77" s="926"/>
      <c r="HZ77" s="926"/>
      <c r="IA77" s="926"/>
      <c r="IB77" s="926"/>
      <c r="IC77" s="926"/>
      <c r="ID77" s="926"/>
      <c r="IE77" s="926"/>
      <c r="IF77" s="926"/>
      <c r="IG77" s="926"/>
      <c r="IH77" s="926"/>
      <c r="II77" s="926"/>
      <c r="IJ77" s="926"/>
      <c r="IK77" s="926"/>
      <c r="IL77" s="926"/>
      <c r="IM77" s="926"/>
    </row>
    <row r="78" spans="1:247" x14ac:dyDescent="0.45">
      <c r="A78" s="441">
        <v>2161</v>
      </c>
      <c r="B78" s="939" t="s">
        <v>2613</v>
      </c>
      <c r="C78" s="47" t="s">
        <v>35</v>
      </c>
      <c r="D78" s="449" t="s">
        <v>2537</v>
      </c>
      <c r="E78" s="946"/>
      <c r="F78" s="941">
        <f t="shared" si="0"/>
        <v>1.0209999999999999</v>
      </c>
      <c r="G78" s="947">
        <f t="shared" si="7"/>
        <v>1.0269999999999999</v>
      </c>
      <c r="H78" s="946"/>
      <c r="I78" s="948"/>
      <c r="J78" s="948">
        <f t="shared" si="11"/>
        <v>1.0049999999999999</v>
      </c>
      <c r="K78" s="948"/>
      <c r="L78" s="948"/>
      <c r="M78" s="948">
        <f t="shared" si="12"/>
        <v>1.0029999999999999</v>
      </c>
      <c r="N78" s="947">
        <f t="shared" si="8"/>
        <v>1.0029999999999999</v>
      </c>
      <c r="O78" s="949">
        <f t="shared" si="13"/>
        <v>1.0209999999999999</v>
      </c>
      <c r="P78" s="946">
        <f t="shared" si="9"/>
        <v>1.032</v>
      </c>
      <c r="Q78" s="947">
        <f t="shared" si="10"/>
        <v>1.0349999999999999</v>
      </c>
      <c r="R78" s="950">
        <f>PRODUCT(E78:Q78)</f>
        <v>1.1561386038173773</v>
      </c>
      <c r="S78" s="926"/>
      <c r="T78" s="926"/>
      <c r="U78" s="926"/>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6"/>
      <c r="AV78" s="926"/>
      <c r="AW78" s="926"/>
      <c r="AX78" s="926"/>
      <c r="AY78" s="926"/>
      <c r="AZ78" s="926"/>
      <c r="BA78" s="926"/>
      <c r="BB78" s="926"/>
      <c r="BC78" s="926"/>
      <c r="BD78" s="926"/>
      <c r="BE78" s="926"/>
      <c r="BF78" s="926"/>
      <c r="BG78" s="926"/>
      <c r="BH78" s="926"/>
      <c r="BI78" s="926"/>
      <c r="BJ78" s="926"/>
      <c r="BK78" s="926"/>
      <c r="BL78" s="926"/>
      <c r="BM78" s="926"/>
      <c r="BN78" s="926"/>
      <c r="BO78" s="926"/>
      <c r="BP78" s="926"/>
      <c r="BQ78" s="926"/>
      <c r="BR78" s="926"/>
      <c r="BS78" s="926"/>
      <c r="BT78" s="926"/>
      <c r="BU78" s="926"/>
      <c r="BV78" s="926"/>
      <c r="BW78" s="926"/>
      <c r="BX78" s="926"/>
      <c r="BY78" s="926"/>
      <c r="BZ78" s="926"/>
      <c r="CA78" s="926"/>
      <c r="CB78" s="926"/>
      <c r="CC78" s="926"/>
      <c r="CD78" s="926"/>
      <c r="CE78" s="926"/>
      <c r="CF78" s="926"/>
      <c r="CG78" s="926"/>
      <c r="CH78" s="926"/>
      <c r="CI78" s="926"/>
      <c r="CJ78" s="926"/>
      <c r="CK78" s="926"/>
      <c r="CL78" s="926"/>
      <c r="CM78" s="926"/>
      <c r="CN78" s="926"/>
      <c r="CO78" s="926"/>
      <c r="CP78" s="926"/>
      <c r="CQ78" s="926"/>
      <c r="CR78" s="926"/>
      <c r="CS78" s="926"/>
      <c r="CT78" s="926"/>
      <c r="CU78" s="926"/>
      <c r="CV78" s="926"/>
      <c r="CW78" s="926"/>
      <c r="CX78" s="926"/>
      <c r="CY78" s="926"/>
      <c r="CZ78" s="926"/>
      <c r="DA78" s="926"/>
      <c r="DB78" s="926"/>
      <c r="DC78" s="926"/>
      <c r="DD78" s="926"/>
      <c r="DE78" s="926"/>
      <c r="DF78" s="926"/>
      <c r="DG78" s="926"/>
      <c r="DH78" s="926"/>
      <c r="DI78" s="926"/>
      <c r="DJ78" s="926"/>
      <c r="DK78" s="926"/>
      <c r="DL78" s="926"/>
      <c r="DM78" s="926"/>
      <c r="DN78" s="926"/>
      <c r="DO78" s="926"/>
      <c r="DP78" s="926"/>
      <c r="DQ78" s="926"/>
      <c r="DR78" s="926"/>
      <c r="DS78" s="926"/>
      <c r="DT78" s="926"/>
      <c r="DU78" s="926"/>
      <c r="DV78" s="926"/>
      <c r="DW78" s="926"/>
      <c r="DX78" s="926"/>
      <c r="DY78" s="926"/>
      <c r="DZ78" s="926"/>
      <c r="EA78" s="926"/>
      <c r="EB78" s="926"/>
      <c r="EC78" s="926"/>
      <c r="ED78" s="926"/>
      <c r="EE78" s="926"/>
      <c r="EF78" s="926"/>
      <c r="EG78" s="926"/>
      <c r="EH78" s="926"/>
      <c r="EI78" s="926"/>
      <c r="EJ78" s="926"/>
      <c r="EK78" s="926"/>
      <c r="EL78" s="926"/>
      <c r="EM78" s="926"/>
      <c r="EN78" s="926"/>
      <c r="EO78" s="926"/>
      <c r="EP78" s="926"/>
      <c r="EQ78" s="926"/>
      <c r="ER78" s="926"/>
      <c r="ES78" s="926"/>
      <c r="ET78" s="926"/>
      <c r="EU78" s="926"/>
      <c r="EV78" s="926"/>
      <c r="EW78" s="926"/>
      <c r="EX78" s="926"/>
      <c r="EY78" s="926"/>
      <c r="EZ78" s="926"/>
      <c r="FA78" s="926"/>
      <c r="FB78" s="926"/>
      <c r="FC78" s="926"/>
      <c r="FD78" s="926"/>
      <c r="FE78" s="926"/>
      <c r="FF78" s="926"/>
      <c r="FG78" s="926"/>
      <c r="FH78" s="926"/>
      <c r="FI78" s="926"/>
      <c r="FJ78" s="926"/>
      <c r="FK78" s="926"/>
      <c r="FL78" s="926"/>
      <c r="FM78" s="926"/>
      <c r="FN78" s="926"/>
      <c r="FO78" s="926"/>
      <c r="FP78" s="926"/>
      <c r="FQ78" s="926"/>
      <c r="FR78" s="926"/>
      <c r="FS78" s="926"/>
      <c r="FT78" s="926"/>
      <c r="FU78" s="926"/>
      <c r="FV78" s="926"/>
      <c r="FW78" s="926"/>
      <c r="FX78" s="926"/>
      <c r="FY78" s="926"/>
      <c r="FZ78" s="926"/>
      <c r="GA78" s="926"/>
      <c r="GB78" s="926"/>
      <c r="GC78" s="926"/>
      <c r="GD78" s="926"/>
      <c r="GE78" s="926"/>
      <c r="GF78" s="926"/>
      <c r="GG78" s="926"/>
      <c r="GH78" s="926"/>
      <c r="GI78" s="926"/>
      <c r="GJ78" s="926"/>
      <c r="GK78" s="926"/>
      <c r="GL78" s="926"/>
      <c r="GM78" s="926"/>
      <c r="GN78" s="926"/>
      <c r="GO78" s="926"/>
      <c r="GP78" s="926"/>
      <c r="GQ78" s="926"/>
      <c r="GR78" s="926"/>
      <c r="GS78" s="926"/>
      <c r="GT78" s="926"/>
      <c r="GU78" s="926"/>
      <c r="GV78" s="926"/>
      <c r="GW78" s="926"/>
      <c r="GX78" s="926"/>
      <c r="GY78" s="926"/>
      <c r="GZ78" s="926"/>
      <c r="HA78" s="926"/>
      <c r="HB78" s="926"/>
      <c r="HC78" s="926"/>
      <c r="HD78" s="926"/>
      <c r="HE78" s="926"/>
      <c r="HF78" s="926"/>
      <c r="HG78" s="926"/>
      <c r="HH78" s="926"/>
      <c r="HI78" s="926"/>
      <c r="HJ78" s="926"/>
      <c r="HK78" s="926"/>
      <c r="HL78" s="926"/>
      <c r="HM78" s="926"/>
      <c r="HN78" s="926"/>
      <c r="HO78" s="926"/>
      <c r="HP78" s="926"/>
      <c r="HQ78" s="926"/>
      <c r="HR78" s="926"/>
      <c r="HS78" s="926"/>
      <c r="HT78" s="926"/>
      <c r="HU78" s="926"/>
      <c r="HV78" s="926"/>
      <c r="HW78" s="926"/>
      <c r="HX78" s="926"/>
      <c r="HY78" s="926"/>
      <c r="HZ78" s="926"/>
      <c r="IA78" s="926"/>
      <c r="IB78" s="926"/>
      <c r="IC78" s="926"/>
      <c r="ID78" s="926"/>
      <c r="IE78" s="926"/>
      <c r="IF78" s="926"/>
      <c r="IG78" s="926"/>
      <c r="IH78" s="926"/>
      <c r="II78" s="926"/>
      <c r="IJ78" s="926"/>
      <c r="IK78" s="926"/>
      <c r="IL78" s="926"/>
      <c r="IM78" s="926"/>
    </row>
    <row r="79" spans="1:247" x14ac:dyDescent="0.45">
      <c r="A79" s="441">
        <v>2162</v>
      </c>
      <c r="B79" s="939" t="s">
        <v>2614</v>
      </c>
      <c r="C79" s="47" t="s">
        <v>35</v>
      </c>
      <c r="D79" s="449" t="s">
        <v>2537</v>
      </c>
      <c r="E79" s="946"/>
      <c r="F79" s="941">
        <f t="shared" si="0"/>
        <v>1.0209999999999999</v>
      </c>
      <c r="G79" s="947">
        <f t="shared" si="7"/>
        <v>1.0269999999999999</v>
      </c>
      <c r="H79" s="946"/>
      <c r="I79" s="948"/>
      <c r="J79" s="948">
        <f t="shared" si="11"/>
        <v>1.0049999999999999</v>
      </c>
      <c r="K79" s="948"/>
      <c r="L79" s="948"/>
      <c r="M79" s="948">
        <f t="shared" si="12"/>
        <v>1.0029999999999999</v>
      </c>
      <c r="N79" s="947">
        <f t="shared" si="8"/>
        <v>1.0029999999999999</v>
      </c>
      <c r="O79" s="949">
        <f t="shared" si="13"/>
        <v>1.0209999999999999</v>
      </c>
      <c r="P79" s="946">
        <f t="shared" si="9"/>
        <v>1.032</v>
      </c>
      <c r="Q79" s="947">
        <f t="shared" si="10"/>
        <v>1.0349999999999999</v>
      </c>
      <c r="R79" s="950">
        <f>PRODUCT(E79:Q79)</f>
        <v>1.1561386038173773</v>
      </c>
      <c r="S79" s="926"/>
      <c r="T79" s="926"/>
      <c r="U79" s="926"/>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R79" s="926"/>
      <c r="AS79" s="926"/>
      <c r="AT79" s="926"/>
      <c r="AU79" s="926"/>
      <c r="AV79" s="926"/>
      <c r="AW79" s="926"/>
      <c r="AX79" s="926"/>
      <c r="AY79" s="926"/>
      <c r="AZ79" s="926"/>
      <c r="BA79" s="926"/>
      <c r="BB79" s="926"/>
      <c r="BC79" s="926"/>
      <c r="BD79" s="926"/>
      <c r="BE79" s="926"/>
      <c r="BF79" s="926"/>
      <c r="BG79" s="926"/>
      <c r="BH79" s="926"/>
      <c r="BI79" s="926"/>
      <c r="BJ79" s="926"/>
      <c r="BK79" s="926"/>
      <c r="BL79" s="926"/>
      <c r="BM79" s="926"/>
      <c r="BN79" s="926"/>
      <c r="BO79" s="926"/>
      <c r="BP79" s="926"/>
      <c r="BQ79" s="926"/>
      <c r="BR79" s="926"/>
      <c r="BS79" s="926"/>
      <c r="BT79" s="926"/>
      <c r="BU79" s="926"/>
      <c r="BV79" s="926"/>
      <c r="BW79" s="926"/>
      <c r="BX79" s="926"/>
      <c r="BY79" s="926"/>
      <c r="BZ79" s="926"/>
      <c r="CA79" s="926"/>
      <c r="CB79" s="926"/>
      <c r="CC79" s="926"/>
      <c r="CD79" s="926"/>
      <c r="CE79" s="926"/>
      <c r="CF79" s="926"/>
      <c r="CG79" s="926"/>
      <c r="CH79" s="926"/>
      <c r="CI79" s="926"/>
      <c r="CJ79" s="926"/>
      <c r="CK79" s="926"/>
      <c r="CL79" s="926"/>
      <c r="CM79" s="926"/>
      <c r="CN79" s="926"/>
      <c r="CO79" s="926"/>
      <c r="CP79" s="926"/>
      <c r="CQ79" s="926"/>
      <c r="CR79" s="926"/>
      <c r="CS79" s="926"/>
      <c r="CT79" s="926"/>
      <c r="CU79" s="926"/>
      <c r="CV79" s="926"/>
      <c r="CW79" s="926"/>
      <c r="CX79" s="926"/>
      <c r="CY79" s="926"/>
      <c r="CZ79" s="926"/>
      <c r="DA79" s="926"/>
      <c r="DB79" s="926"/>
      <c r="DC79" s="926"/>
      <c r="DD79" s="926"/>
      <c r="DE79" s="926"/>
      <c r="DF79" s="926"/>
      <c r="DG79" s="926"/>
      <c r="DH79" s="926"/>
      <c r="DI79" s="926"/>
      <c r="DJ79" s="926"/>
      <c r="DK79" s="926"/>
      <c r="DL79" s="926"/>
      <c r="DM79" s="926"/>
      <c r="DN79" s="926"/>
      <c r="DO79" s="926"/>
      <c r="DP79" s="926"/>
      <c r="DQ79" s="926"/>
      <c r="DR79" s="926"/>
      <c r="DS79" s="926"/>
      <c r="DT79" s="926"/>
      <c r="DU79" s="926"/>
      <c r="DV79" s="926"/>
      <c r="DW79" s="926"/>
      <c r="DX79" s="926"/>
      <c r="DY79" s="926"/>
      <c r="DZ79" s="926"/>
      <c r="EA79" s="926"/>
      <c r="EB79" s="926"/>
      <c r="EC79" s="926"/>
      <c r="ED79" s="926"/>
      <c r="EE79" s="926"/>
      <c r="EF79" s="926"/>
      <c r="EG79" s="926"/>
      <c r="EH79" s="926"/>
      <c r="EI79" s="926"/>
      <c r="EJ79" s="926"/>
      <c r="EK79" s="926"/>
      <c r="EL79" s="926"/>
      <c r="EM79" s="926"/>
      <c r="EN79" s="926"/>
      <c r="EO79" s="926"/>
      <c r="EP79" s="926"/>
      <c r="EQ79" s="926"/>
      <c r="ER79" s="926"/>
      <c r="ES79" s="926"/>
      <c r="ET79" s="926"/>
      <c r="EU79" s="926"/>
      <c r="EV79" s="926"/>
      <c r="EW79" s="926"/>
      <c r="EX79" s="926"/>
      <c r="EY79" s="926"/>
      <c r="EZ79" s="926"/>
      <c r="FA79" s="926"/>
      <c r="FB79" s="926"/>
      <c r="FC79" s="926"/>
      <c r="FD79" s="926"/>
      <c r="FE79" s="926"/>
      <c r="FF79" s="926"/>
      <c r="FG79" s="926"/>
      <c r="FH79" s="926"/>
      <c r="FI79" s="926"/>
      <c r="FJ79" s="926"/>
      <c r="FK79" s="926"/>
      <c r="FL79" s="926"/>
      <c r="FM79" s="926"/>
      <c r="FN79" s="926"/>
      <c r="FO79" s="926"/>
      <c r="FP79" s="926"/>
      <c r="FQ79" s="926"/>
      <c r="FR79" s="926"/>
      <c r="FS79" s="926"/>
      <c r="FT79" s="926"/>
      <c r="FU79" s="926"/>
      <c r="FV79" s="926"/>
      <c r="FW79" s="926"/>
      <c r="FX79" s="926"/>
      <c r="FY79" s="926"/>
      <c r="FZ79" s="926"/>
      <c r="GA79" s="926"/>
      <c r="GB79" s="926"/>
      <c r="GC79" s="926"/>
      <c r="GD79" s="926"/>
      <c r="GE79" s="926"/>
      <c r="GF79" s="926"/>
      <c r="GG79" s="926"/>
      <c r="GH79" s="926"/>
      <c r="GI79" s="926"/>
      <c r="GJ79" s="926"/>
      <c r="GK79" s="926"/>
      <c r="GL79" s="926"/>
      <c r="GM79" s="926"/>
      <c r="GN79" s="926"/>
      <c r="GO79" s="926"/>
      <c r="GP79" s="926"/>
      <c r="GQ79" s="926"/>
      <c r="GR79" s="926"/>
      <c r="GS79" s="926"/>
      <c r="GT79" s="926"/>
      <c r="GU79" s="926"/>
      <c r="GV79" s="926"/>
      <c r="GW79" s="926"/>
      <c r="GX79" s="926"/>
      <c r="GY79" s="926"/>
      <c r="GZ79" s="926"/>
      <c r="HA79" s="926"/>
      <c r="HB79" s="926"/>
      <c r="HC79" s="926"/>
      <c r="HD79" s="926"/>
      <c r="HE79" s="926"/>
      <c r="HF79" s="926"/>
      <c r="HG79" s="926"/>
      <c r="HH79" s="926"/>
      <c r="HI79" s="926"/>
      <c r="HJ79" s="926"/>
      <c r="HK79" s="926"/>
      <c r="HL79" s="926"/>
      <c r="HM79" s="926"/>
      <c r="HN79" s="926"/>
      <c r="HO79" s="926"/>
      <c r="HP79" s="926"/>
      <c r="HQ79" s="926"/>
      <c r="HR79" s="926"/>
      <c r="HS79" s="926"/>
      <c r="HT79" s="926"/>
      <c r="HU79" s="926"/>
      <c r="HV79" s="926"/>
      <c r="HW79" s="926"/>
      <c r="HX79" s="926"/>
      <c r="HY79" s="926"/>
      <c r="HZ79" s="926"/>
      <c r="IA79" s="926"/>
      <c r="IB79" s="926"/>
      <c r="IC79" s="926"/>
      <c r="ID79" s="926"/>
      <c r="IE79" s="926"/>
      <c r="IF79" s="926"/>
      <c r="IG79" s="926"/>
      <c r="IH79" s="926"/>
      <c r="II79" s="926"/>
      <c r="IJ79" s="926"/>
      <c r="IK79" s="926"/>
      <c r="IL79" s="926"/>
      <c r="IM79" s="926"/>
    </row>
    <row r="80" spans="1:247" x14ac:dyDescent="0.45">
      <c r="A80" s="441">
        <v>2163</v>
      </c>
      <c r="B80" s="939" t="s">
        <v>2615</v>
      </c>
      <c r="C80" s="47" t="s">
        <v>35</v>
      </c>
      <c r="D80" s="449" t="s">
        <v>2537</v>
      </c>
      <c r="E80" s="946"/>
      <c r="F80" s="941">
        <f t="shared" si="0"/>
        <v>1.0209999999999999</v>
      </c>
      <c r="G80" s="947">
        <f t="shared" si="7"/>
        <v>1.0269999999999999</v>
      </c>
      <c r="H80" s="946"/>
      <c r="I80" s="948"/>
      <c r="J80" s="948">
        <f t="shared" si="11"/>
        <v>1.0049999999999999</v>
      </c>
      <c r="K80" s="948"/>
      <c r="L80" s="948"/>
      <c r="M80" s="948">
        <f t="shared" si="12"/>
        <v>1.0029999999999999</v>
      </c>
      <c r="N80" s="947">
        <f t="shared" si="8"/>
        <v>1.0029999999999999</v>
      </c>
      <c r="O80" s="949">
        <f t="shared" si="13"/>
        <v>1.0209999999999999</v>
      </c>
      <c r="P80" s="946">
        <f t="shared" si="9"/>
        <v>1.032</v>
      </c>
      <c r="Q80" s="947">
        <f t="shared" si="10"/>
        <v>1.0349999999999999</v>
      </c>
      <c r="R80" s="950">
        <f>PRODUCT(E80:Q80)</f>
        <v>1.1561386038173773</v>
      </c>
      <c r="S80" s="926"/>
      <c r="T80" s="926"/>
      <c r="U80" s="926"/>
      <c r="V80" s="926"/>
      <c r="W80" s="926"/>
      <c r="X80" s="926"/>
      <c r="Y80" s="926"/>
      <c r="Z80" s="926"/>
      <c r="AA80" s="926"/>
      <c r="AB80" s="926"/>
      <c r="AC80" s="926"/>
      <c r="AD80" s="926"/>
      <c r="AE80" s="926"/>
      <c r="AF80" s="926"/>
      <c r="AG80" s="926"/>
      <c r="AH80" s="926"/>
      <c r="AI80" s="926"/>
      <c r="AJ80" s="926"/>
      <c r="AK80" s="926"/>
      <c r="AL80" s="926"/>
      <c r="AM80" s="926"/>
      <c r="AN80" s="926"/>
      <c r="AO80" s="926"/>
      <c r="AP80" s="926"/>
      <c r="AQ80" s="926"/>
      <c r="AR80" s="926"/>
      <c r="AS80" s="926"/>
      <c r="AT80" s="926"/>
      <c r="AU80" s="926"/>
      <c r="AV80" s="926"/>
      <c r="AW80" s="926"/>
      <c r="AX80" s="926"/>
      <c r="AY80" s="926"/>
      <c r="AZ80" s="926"/>
      <c r="BA80" s="926"/>
      <c r="BB80" s="926"/>
      <c r="BC80" s="926"/>
      <c r="BD80" s="926"/>
      <c r="BE80" s="926"/>
      <c r="BF80" s="926"/>
      <c r="BG80" s="926"/>
      <c r="BH80" s="926"/>
      <c r="BI80" s="926"/>
      <c r="BJ80" s="926"/>
      <c r="BK80" s="926"/>
      <c r="BL80" s="926"/>
      <c r="BM80" s="926"/>
      <c r="BN80" s="926"/>
      <c r="BO80" s="926"/>
      <c r="BP80" s="926"/>
      <c r="BQ80" s="926"/>
      <c r="BR80" s="926"/>
      <c r="BS80" s="926"/>
      <c r="BT80" s="926"/>
      <c r="BU80" s="926"/>
      <c r="BV80" s="926"/>
      <c r="BW80" s="926"/>
      <c r="BX80" s="926"/>
      <c r="BY80" s="926"/>
      <c r="BZ80" s="926"/>
      <c r="CA80" s="926"/>
      <c r="CB80" s="926"/>
      <c r="CC80" s="926"/>
      <c r="CD80" s="926"/>
      <c r="CE80" s="926"/>
      <c r="CF80" s="926"/>
      <c r="CG80" s="926"/>
      <c r="CH80" s="926"/>
      <c r="CI80" s="926"/>
      <c r="CJ80" s="926"/>
      <c r="CK80" s="926"/>
      <c r="CL80" s="926"/>
      <c r="CM80" s="926"/>
      <c r="CN80" s="926"/>
      <c r="CO80" s="926"/>
      <c r="CP80" s="926"/>
      <c r="CQ80" s="926"/>
      <c r="CR80" s="926"/>
      <c r="CS80" s="926"/>
      <c r="CT80" s="926"/>
      <c r="CU80" s="926"/>
      <c r="CV80" s="926"/>
      <c r="CW80" s="926"/>
      <c r="CX80" s="926"/>
      <c r="CY80" s="926"/>
      <c r="CZ80" s="926"/>
      <c r="DA80" s="926"/>
      <c r="DB80" s="926"/>
      <c r="DC80" s="926"/>
      <c r="DD80" s="926"/>
      <c r="DE80" s="926"/>
      <c r="DF80" s="926"/>
      <c r="DG80" s="926"/>
      <c r="DH80" s="926"/>
      <c r="DI80" s="926"/>
      <c r="DJ80" s="926"/>
      <c r="DK80" s="926"/>
      <c r="DL80" s="926"/>
      <c r="DM80" s="926"/>
      <c r="DN80" s="926"/>
      <c r="DO80" s="926"/>
      <c r="DP80" s="926"/>
      <c r="DQ80" s="926"/>
      <c r="DR80" s="926"/>
      <c r="DS80" s="926"/>
      <c r="DT80" s="926"/>
      <c r="DU80" s="926"/>
      <c r="DV80" s="926"/>
      <c r="DW80" s="926"/>
      <c r="DX80" s="926"/>
      <c r="DY80" s="926"/>
      <c r="DZ80" s="926"/>
      <c r="EA80" s="926"/>
      <c r="EB80" s="926"/>
      <c r="EC80" s="926"/>
      <c r="ED80" s="926"/>
      <c r="EE80" s="926"/>
      <c r="EF80" s="926"/>
      <c r="EG80" s="926"/>
      <c r="EH80" s="926"/>
      <c r="EI80" s="926"/>
      <c r="EJ80" s="926"/>
      <c r="EK80" s="926"/>
      <c r="EL80" s="926"/>
      <c r="EM80" s="926"/>
      <c r="EN80" s="926"/>
      <c r="EO80" s="926"/>
      <c r="EP80" s="926"/>
      <c r="EQ80" s="926"/>
      <c r="ER80" s="926"/>
      <c r="ES80" s="926"/>
      <c r="ET80" s="926"/>
      <c r="EU80" s="926"/>
      <c r="EV80" s="926"/>
      <c r="EW80" s="926"/>
      <c r="EX80" s="926"/>
      <c r="EY80" s="926"/>
      <c r="EZ80" s="926"/>
      <c r="FA80" s="926"/>
      <c r="FB80" s="926"/>
      <c r="FC80" s="926"/>
      <c r="FD80" s="926"/>
      <c r="FE80" s="926"/>
      <c r="FF80" s="926"/>
      <c r="FG80" s="926"/>
      <c r="FH80" s="926"/>
      <c r="FI80" s="926"/>
      <c r="FJ80" s="926"/>
      <c r="FK80" s="926"/>
      <c r="FL80" s="926"/>
      <c r="FM80" s="926"/>
      <c r="FN80" s="926"/>
      <c r="FO80" s="926"/>
      <c r="FP80" s="926"/>
      <c r="FQ80" s="926"/>
      <c r="FR80" s="926"/>
      <c r="FS80" s="926"/>
      <c r="FT80" s="926"/>
      <c r="FU80" s="926"/>
      <c r="FV80" s="926"/>
      <c r="FW80" s="926"/>
      <c r="FX80" s="926"/>
      <c r="FY80" s="926"/>
      <c r="FZ80" s="926"/>
      <c r="GA80" s="926"/>
      <c r="GB80" s="926"/>
      <c r="GC80" s="926"/>
      <c r="GD80" s="926"/>
      <c r="GE80" s="926"/>
      <c r="GF80" s="926"/>
      <c r="GG80" s="926"/>
      <c r="GH80" s="926"/>
      <c r="GI80" s="926"/>
      <c r="GJ80" s="926"/>
      <c r="GK80" s="926"/>
      <c r="GL80" s="926"/>
      <c r="GM80" s="926"/>
      <c r="GN80" s="926"/>
      <c r="GO80" s="926"/>
      <c r="GP80" s="926"/>
      <c r="GQ80" s="926"/>
      <c r="GR80" s="926"/>
      <c r="GS80" s="926"/>
      <c r="GT80" s="926"/>
      <c r="GU80" s="926"/>
      <c r="GV80" s="926"/>
      <c r="GW80" s="926"/>
      <c r="GX80" s="926"/>
      <c r="GY80" s="926"/>
      <c r="GZ80" s="926"/>
      <c r="HA80" s="926"/>
      <c r="HB80" s="926"/>
      <c r="HC80" s="926"/>
      <c r="HD80" s="926"/>
      <c r="HE80" s="926"/>
      <c r="HF80" s="926"/>
      <c r="HG80" s="926"/>
      <c r="HH80" s="926"/>
      <c r="HI80" s="926"/>
      <c r="HJ80" s="926"/>
      <c r="HK80" s="926"/>
      <c r="HL80" s="926"/>
      <c r="HM80" s="926"/>
      <c r="HN80" s="926"/>
      <c r="HO80" s="926"/>
      <c r="HP80" s="926"/>
      <c r="HQ80" s="926"/>
      <c r="HR80" s="926"/>
      <c r="HS80" s="926"/>
      <c r="HT80" s="926"/>
      <c r="HU80" s="926"/>
      <c r="HV80" s="926"/>
      <c r="HW80" s="926"/>
      <c r="HX80" s="926"/>
      <c r="HY80" s="926"/>
      <c r="HZ80" s="926"/>
      <c r="IA80" s="926"/>
      <c r="IB80" s="926"/>
      <c r="IC80" s="926"/>
      <c r="ID80" s="926"/>
      <c r="IE80" s="926"/>
      <c r="IF80" s="926"/>
      <c r="IG80" s="926"/>
      <c r="IH80" s="926"/>
      <c r="II80" s="926"/>
      <c r="IJ80" s="926"/>
      <c r="IK80" s="926"/>
      <c r="IL80" s="926"/>
      <c r="IM80" s="926"/>
    </row>
    <row r="81" spans="1:247" x14ac:dyDescent="0.45">
      <c r="A81" s="441">
        <v>2173</v>
      </c>
      <c r="B81" s="939" t="s">
        <v>2616</v>
      </c>
      <c r="C81" s="47" t="s">
        <v>88</v>
      </c>
      <c r="D81" s="449" t="s">
        <v>2537</v>
      </c>
      <c r="E81" s="946"/>
      <c r="F81" s="941">
        <f t="shared" si="0"/>
        <v>1.0209999999999999</v>
      </c>
      <c r="G81" s="947">
        <f t="shared" si="7"/>
        <v>1.0269999999999999</v>
      </c>
      <c r="H81" s="946"/>
      <c r="I81" s="948"/>
      <c r="J81" s="948"/>
      <c r="K81" s="948"/>
      <c r="L81" s="948"/>
      <c r="M81" s="948"/>
      <c r="N81" s="947"/>
      <c r="O81" s="949"/>
      <c r="P81" s="946"/>
      <c r="Q81" s="947"/>
      <c r="R81" s="950">
        <f>PRODUCT(E81:Q81)</f>
        <v>1.0485669999999998</v>
      </c>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26"/>
      <c r="AQ81" s="926"/>
      <c r="AR81" s="926"/>
      <c r="AS81" s="926"/>
      <c r="AT81" s="926"/>
      <c r="AU81" s="926"/>
      <c r="AV81" s="926"/>
      <c r="AW81" s="926"/>
      <c r="AX81" s="926"/>
      <c r="AY81" s="926"/>
      <c r="AZ81" s="926"/>
      <c r="BA81" s="926"/>
      <c r="BB81" s="926"/>
      <c r="BC81" s="926"/>
      <c r="BD81" s="926"/>
      <c r="BE81" s="926"/>
      <c r="BF81" s="926"/>
      <c r="BG81" s="926"/>
      <c r="BH81" s="926"/>
      <c r="BI81" s="926"/>
      <c r="BJ81" s="926"/>
      <c r="BK81" s="926"/>
      <c r="BL81" s="926"/>
      <c r="BM81" s="926"/>
      <c r="BN81" s="926"/>
      <c r="BO81" s="926"/>
      <c r="BP81" s="926"/>
      <c r="BQ81" s="926"/>
      <c r="BR81" s="926"/>
      <c r="BS81" s="926"/>
      <c r="BT81" s="926"/>
      <c r="BU81" s="926"/>
      <c r="BV81" s="926"/>
      <c r="BW81" s="926"/>
      <c r="BX81" s="926"/>
      <c r="BY81" s="926"/>
      <c r="BZ81" s="926"/>
      <c r="CA81" s="926"/>
      <c r="CB81" s="926"/>
      <c r="CC81" s="926"/>
      <c r="CD81" s="926"/>
      <c r="CE81" s="926"/>
      <c r="CF81" s="926"/>
      <c r="CG81" s="926"/>
      <c r="CH81" s="926"/>
      <c r="CI81" s="926"/>
      <c r="CJ81" s="926"/>
      <c r="CK81" s="926"/>
      <c r="CL81" s="926"/>
      <c r="CM81" s="926"/>
      <c r="CN81" s="926"/>
      <c r="CO81" s="926"/>
      <c r="CP81" s="926"/>
      <c r="CQ81" s="926"/>
      <c r="CR81" s="926"/>
      <c r="CS81" s="926"/>
      <c r="CT81" s="926"/>
      <c r="CU81" s="926"/>
      <c r="CV81" s="926"/>
      <c r="CW81" s="926"/>
      <c r="CX81" s="926"/>
      <c r="CY81" s="926"/>
      <c r="CZ81" s="926"/>
      <c r="DA81" s="926"/>
      <c r="DB81" s="926"/>
      <c r="DC81" s="926"/>
      <c r="DD81" s="926"/>
      <c r="DE81" s="926"/>
      <c r="DF81" s="926"/>
      <c r="DG81" s="926"/>
      <c r="DH81" s="926"/>
      <c r="DI81" s="926"/>
      <c r="DJ81" s="926"/>
      <c r="DK81" s="926"/>
      <c r="DL81" s="926"/>
      <c r="DM81" s="926"/>
      <c r="DN81" s="926"/>
      <c r="DO81" s="926"/>
      <c r="DP81" s="926"/>
      <c r="DQ81" s="926"/>
      <c r="DR81" s="926"/>
      <c r="DS81" s="926"/>
      <c r="DT81" s="926"/>
      <c r="DU81" s="926"/>
      <c r="DV81" s="926"/>
      <c r="DW81" s="926"/>
      <c r="DX81" s="926"/>
      <c r="DY81" s="926"/>
      <c r="DZ81" s="926"/>
      <c r="EA81" s="926"/>
      <c r="EB81" s="926"/>
      <c r="EC81" s="926"/>
      <c r="ED81" s="926"/>
      <c r="EE81" s="926"/>
      <c r="EF81" s="926"/>
      <c r="EG81" s="926"/>
      <c r="EH81" s="926"/>
      <c r="EI81" s="926"/>
      <c r="EJ81" s="926"/>
      <c r="EK81" s="926"/>
      <c r="EL81" s="926"/>
      <c r="EM81" s="926"/>
      <c r="EN81" s="926"/>
      <c r="EO81" s="926"/>
      <c r="EP81" s="926"/>
      <c r="EQ81" s="926"/>
      <c r="ER81" s="926"/>
      <c r="ES81" s="926"/>
      <c r="ET81" s="926"/>
      <c r="EU81" s="926"/>
      <c r="EV81" s="926"/>
      <c r="EW81" s="926"/>
      <c r="EX81" s="926"/>
      <c r="EY81" s="926"/>
      <c r="EZ81" s="926"/>
      <c r="FA81" s="926"/>
      <c r="FB81" s="926"/>
      <c r="FC81" s="926"/>
      <c r="FD81" s="926"/>
      <c r="FE81" s="926"/>
      <c r="FF81" s="926"/>
      <c r="FG81" s="926"/>
      <c r="FH81" s="926"/>
      <c r="FI81" s="926"/>
      <c r="FJ81" s="926"/>
      <c r="FK81" s="926"/>
      <c r="FL81" s="926"/>
      <c r="FM81" s="926"/>
      <c r="FN81" s="926"/>
      <c r="FO81" s="926"/>
      <c r="FP81" s="926"/>
      <c r="FQ81" s="926"/>
      <c r="FR81" s="926"/>
      <c r="FS81" s="926"/>
      <c r="FT81" s="926"/>
      <c r="FU81" s="926"/>
      <c r="FV81" s="926"/>
      <c r="FW81" s="926"/>
      <c r="FX81" s="926"/>
      <c r="FY81" s="926"/>
      <c r="FZ81" s="926"/>
      <c r="GA81" s="926"/>
      <c r="GB81" s="926"/>
      <c r="GC81" s="926"/>
      <c r="GD81" s="926"/>
      <c r="GE81" s="926"/>
      <c r="GF81" s="926"/>
      <c r="GG81" s="926"/>
      <c r="GH81" s="926"/>
      <c r="GI81" s="926"/>
      <c r="GJ81" s="926"/>
      <c r="GK81" s="926"/>
      <c r="GL81" s="926"/>
      <c r="GM81" s="926"/>
      <c r="GN81" s="926"/>
      <c r="GO81" s="926"/>
      <c r="GP81" s="926"/>
      <c r="GQ81" s="926"/>
      <c r="GR81" s="926"/>
      <c r="GS81" s="926"/>
      <c r="GT81" s="926"/>
      <c r="GU81" s="926"/>
      <c r="GV81" s="926"/>
      <c r="GW81" s="926"/>
      <c r="GX81" s="926"/>
      <c r="GY81" s="926"/>
      <c r="GZ81" s="926"/>
      <c r="HA81" s="926"/>
      <c r="HB81" s="926"/>
      <c r="HC81" s="926"/>
      <c r="HD81" s="926"/>
      <c r="HE81" s="926"/>
      <c r="HF81" s="926"/>
      <c r="HG81" s="926"/>
      <c r="HH81" s="926"/>
      <c r="HI81" s="926"/>
      <c r="HJ81" s="926"/>
      <c r="HK81" s="926"/>
      <c r="HL81" s="926"/>
      <c r="HM81" s="926"/>
      <c r="HN81" s="926"/>
      <c r="HO81" s="926"/>
      <c r="HP81" s="926"/>
      <c r="HQ81" s="926"/>
      <c r="HR81" s="926"/>
      <c r="HS81" s="926"/>
      <c r="HT81" s="926"/>
      <c r="HU81" s="926"/>
      <c r="HV81" s="926"/>
      <c r="HW81" s="926"/>
      <c r="HX81" s="926"/>
      <c r="HY81" s="926"/>
      <c r="HZ81" s="926"/>
      <c r="IA81" s="926"/>
      <c r="IB81" s="926"/>
      <c r="IC81" s="926"/>
      <c r="ID81" s="926"/>
      <c r="IE81" s="926"/>
      <c r="IF81" s="926"/>
      <c r="IG81" s="926"/>
      <c r="IH81" s="926"/>
      <c r="II81" s="926"/>
      <c r="IJ81" s="926"/>
      <c r="IK81" s="926"/>
      <c r="IL81" s="926"/>
      <c r="IM81" s="926"/>
    </row>
    <row r="82" spans="1:247" x14ac:dyDescent="0.45">
      <c r="A82" s="441">
        <v>2191</v>
      </c>
      <c r="B82" s="939" t="s">
        <v>2617</v>
      </c>
      <c r="C82" s="47" t="s">
        <v>35</v>
      </c>
      <c r="D82" s="449" t="s">
        <v>2545</v>
      </c>
      <c r="E82" s="946">
        <f>+$E$3</f>
        <v>1.0740000000000001</v>
      </c>
      <c r="F82" s="941">
        <f t="shared" si="0"/>
        <v>1.0209999999999999</v>
      </c>
      <c r="G82" s="947">
        <f t="shared" si="7"/>
        <v>1.0269999999999999</v>
      </c>
      <c r="H82" s="946"/>
      <c r="I82" s="948"/>
      <c r="J82" s="948">
        <f t="shared" si="11"/>
        <v>1.0049999999999999</v>
      </c>
      <c r="K82" s="948"/>
      <c r="L82" s="948"/>
      <c r="M82" s="948">
        <f t="shared" si="12"/>
        <v>1.0029999999999999</v>
      </c>
      <c r="N82" s="947">
        <f t="shared" si="8"/>
        <v>1.0029999999999999</v>
      </c>
      <c r="O82" s="949">
        <f t="shared" si="13"/>
        <v>1.0209999999999999</v>
      </c>
      <c r="P82" s="946">
        <f t="shared" si="9"/>
        <v>1.032</v>
      </c>
      <c r="Q82" s="947">
        <f t="shared" si="10"/>
        <v>1.0349999999999999</v>
      </c>
      <c r="R82" s="950">
        <f t="shared" si="1"/>
        <v>1.2416928604998634</v>
      </c>
      <c r="S82" s="926"/>
      <c r="T82" s="926"/>
      <c r="U82" s="926"/>
      <c r="V82" s="926"/>
      <c r="W82" s="926"/>
      <c r="X82" s="926"/>
      <c r="Y82" s="926"/>
      <c r="Z82" s="926"/>
      <c r="AA82" s="926"/>
      <c r="AB82" s="926"/>
      <c r="AC82" s="926"/>
      <c r="AD82" s="926"/>
      <c r="AE82" s="926"/>
      <c r="AF82" s="926"/>
      <c r="AG82" s="926"/>
      <c r="AH82" s="926"/>
      <c r="AI82" s="926"/>
      <c r="AJ82" s="926"/>
      <c r="AK82" s="926"/>
      <c r="AL82" s="926"/>
      <c r="AM82" s="926"/>
      <c r="AN82" s="926"/>
      <c r="AO82" s="926"/>
      <c r="AP82" s="926"/>
      <c r="AQ82" s="926"/>
      <c r="AR82" s="926"/>
      <c r="AS82" s="926"/>
      <c r="AT82" s="926"/>
      <c r="AU82" s="926"/>
      <c r="AV82" s="926"/>
      <c r="AW82" s="926"/>
      <c r="AX82" s="926"/>
      <c r="AY82" s="926"/>
      <c r="AZ82" s="926"/>
      <c r="BA82" s="926"/>
      <c r="BB82" s="926"/>
      <c r="BC82" s="926"/>
      <c r="BD82" s="926"/>
      <c r="BE82" s="926"/>
      <c r="BF82" s="926"/>
      <c r="BG82" s="926"/>
      <c r="BH82" s="926"/>
      <c r="BI82" s="926"/>
      <c r="BJ82" s="926"/>
      <c r="BK82" s="926"/>
      <c r="BL82" s="926"/>
      <c r="BM82" s="926"/>
      <c r="BN82" s="926"/>
      <c r="BO82" s="926"/>
      <c r="BP82" s="926"/>
      <c r="BQ82" s="926"/>
      <c r="BR82" s="926"/>
      <c r="BS82" s="926"/>
      <c r="BT82" s="926"/>
      <c r="BU82" s="926"/>
      <c r="BV82" s="926"/>
      <c r="BW82" s="926"/>
      <c r="BX82" s="926"/>
      <c r="BY82" s="926"/>
      <c r="BZ82" s="926"/>
      <c r="CA82" s="926"/>
      <c r="CB82" s="926"/>
      <c r="CC82" s="926"/>
      <c r="CD82" s="926"/>
      <c r="CE82" s="926"/>
      <c r="CF82" s="926"/>
      <c r="CG82" s="926"/>
      <c r="CH82" s="926"/>
      <c r="CI82" s="926"/>
      <c r="CJ82" s="926"/>
      <c r="CK82" s="926"/>
      <c r="CL82" s="926"/>
      <c r="CM82" s="926"/>
      <c r="CN82" s="926"/>
      <c r="CO82" s="926"/>
      <c r="CP82" s="926"/>
      <c r="CQ82" s="926"/>
      <c r="CR82" s="926"/>
      <c r="CS82" s="926"/>
      <c r="CT82" s="926"/>
      <c r="CU82" s="926"/>
      <c r="CV82" s="926"/>
      <c r="CW82" s="926"/>
      <c r="CX82" s="926"/>
      <c r="CY82" s="926"/>
      <c r="CZ82" s="926"/>
      <c r="DA82" s="926"/>
      <c r="DB82" s="926"/>
      <c r="DC82" s="926"/>
      <c r="DD82" s="926"/>
      <c r="DE82" s="926"/>
      <c r="DF82" s="926"/>
      <c r="DG82" s="926"/>
      <c r="DH82" s="926"/>
      <c r="DI82" s="926"/>
      <c r="DJ82" s="926"/>
      <c r="DK82" s="926"/>
      <c r="DL82" s="926"/>
      <c r="DM82" s="926"/>
      <c r="DN82" s="926"/>
      <c r="DO82" s="926"/>
      <c r="DP82" s="926"/>
      <c r="DQ82" s="926"/>
      <c r="DR82" s="926"/>
      <c r="DS82" s="926"/>
      <c r="DT82" s="926"/>
      <c r="DU82" s="926"/>
      <c r="DV82" s="926"/>
      <c r="DW82" s="926"/>
      <c r="DX82" s="926"/>
      <c r="DY82" s="926"/>
      <c r="DZ82" s="926"/>
      <c r="EA82" s="926"/>
      <c r="EB82" s="926"/>
      <c r="EC82" s="926"/>
      <c r="ED82" s="926"/>
      <c r="EE82" s="926"/>
      <c r="EF82" s="926"/>
      <c r="EG82" s="926"/>
      <c r="EH82" s="926"/>
      <c r="EI82" s="926"/>
      <c r="EJ82" s="926"/>
      <c r="EK82" s="926"/>
      <c r="EL82" s="926"/>
      <c r="EM82" s="926"/>
      <c r="EN82" s="926"/>
      <c r="EO82" s="926"/>
      <c r="EP82" s="926"/>
      <c r="EQ82" s="926"/>
      <c r="ER82" s="926"/>
      <c r="ES82" s="926"/>
      <c r="ET82" s="926"/>
      <c r="EU82" s="926"/>
      <c r="EV82" s="926"/>
      <c r="EW82" s="926"/>
      <c r="EX82" s="926"/>
      <c r="EY82" s="926"/>
      <c r="EZ82" s="926"/>
      <c r="FA82" s="926"/>
      <c r="FB82" s="926"/>
      <c r="FC82" s="926"/>
      <c r="FD82" s="926"/>
      <c r="FE82" s="926"/>
      <c r="FF82" s="926"/>
      <c r="FG82" s="926"/>
      <c r="FH82" s="926"/>
      <c r="FI82" s="926"/>
      <c r="FJ82" s="926"/>
      <c r="FK82" s="926"/>
      <c r="FL82" s="926"/>
      <c r="FM82" s="926"/>
      <c r="FN82" s="926"/>
      <c r="FO82" s="926"/>
      <c r="FP82" s="926"/>
      <c r="FQ82" s="926"/>
      <c r="FR82" s="926"/>
      <c r="FS82" s="926"/>
      <c r="FT82" s="926"/>
      <c r="FU82" s="926"/>
      <c r="FV82" s="926"/>
      <c r="FW82" s="926"/>
      <c r="FX82" s="926"/>
      <c r="FY82" s="926"/>
      <c r="FZ82" s="926"/>
      <c r="GA82" s="926"/>
      <c r="GB82" s="926"/>
      <c r="GC82" s="926"/>
      <c r="GD82" s="926"/>
      <c r="GE82" s="926"/>
      <c r="GF82" s="926"/>
      <c r="GG82" s="926"/>
      <c r="GH82" s="926"/>
      <c r="GI82" s="926"/>
      <c r="GJ82" s="926"/>
      <c r="GK82" s="926"/>
      <c r="GL82" s="926"/>
      <c r="GM82" s="926"/>
      <c r="GN82" s="926"/>
      <c r="GO82" s="926"/>
      <c r="GP82" s="926"/>
      <c r="GQ82" s="926"/>
      <c r="GR82" s="926"/>
      <c r="GS82" s="926"/>
      <c r="GT82" s="926"/>
      <c r="GU82" s="926"/>
      <c r="GV82" s="926"/>
      <c r="GW82" s="926"/>
      <c r="GX82" s="926"/>
      <c r="GY82" s="926"/>
      <c r="GZ82" s="926"/>
      <c r="HA82" s="926"/>
      <c r="HB82" s="926"/>
      <c r="HC82" s="926"/>
      <c r="HD82" s="926"/>
      <c r="HE82" s="926"/>
      <c r="HF82" s="926"/>
      <c r="HG82" s="926"/>
      <c r="HH82" s="926"/>
      <c r="HI82" s="926"/>
      <c r="HJ82" s="926"/>
      <c r="HK82" s="926"/>
      <c r="HL82" s="926"/>
      <c r="HM82" s="926"/>
      <c r="HN82" s="926"/>
      <c r="HO82" s="926"/>
      <c r="HP82" s="926"/>
      <c r="HQ82" s="926"/>
      <c r="HR82" s="926"/>
      <c r="HS82" s="926"/>
      <c r="HT82" s="926"/>
      <c r="HU82" s="926"/>
      <c r="HV82" s="926"/>
      <c r="HW82" s="926"/>
      <c r="HX82" s="926"/>
      <c r="HY82" s="926"/>
      <c r="HZ82" s="926"/>
      <c r="IA82" s="926"/>
      <c r="IB82" s="926"/>
      <c r="IC82" s="926"/>
      <c r="ID82" s="926"/>
      <c r="IE82" s="926"/>
      <c r="IF82" s="926"/>
      <c r="IG82" s="926"/>
      <c r="IH82" s="926"/>
      <c r="II82" s="926"/>
      <c r="IJ82" s="926"/>
      <c r="IK82" s="926"/>
      <c r="IL82" s="926"/>
      <c r="IM82" s="926"/>
    </row>
    <row r="83" spans="1:247" x14ac:dyDescent="0.45">
      <c r="A83" s="441">
        <v>2192</v>
      </c>
      <c r="B83" s="939" t="s">
        <v>2618</v>
      </c>
      <c r="C83" s="47" t="s">
        <v>88</v>
      </c>
      <c r="D83" s="449" t="s">
        <v>2537</v>
      </c>
      <c r="E83" s="946"/>
      <c r="F83" s="941">
        <f t="shared" si="0"/>
        <v>1.0209999999999999</v>
      </c>
      <c r="G83" s="947">
        <f t="shared" si="7"/>
        <v>1.0269999999999999</v>
      </c>
      <c r="H83" s="946"/>
      <c r="I83" s="948"/>
      <c r="J83" s="948"/>
      <c r="K83" s="948"/>
      <c r="L83" s="948"/>
      <c r="M83" s="948"/>
      <c r="N83" s="947">
        <f t="shared" si="8"/>
        <v>1.0029999999999999</v>
      </c>
      <c r="O83" s="949"/>
      <c r="P83" s="946"/>
      <c r="Q83" s="947"/>
      <c r="R83" s="950">
        <f t="shared" si="1"/>
        <v>1.0517127009999996</v>
      </c>
      <c r="S83" s="926"/>
      <c r="T83" s="926"/>
      <c r="U83" s="926"/>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R83" s="926"/>
      <c r="AS83" s="926"/>
      <c r="AT83" s="926"/>
      <c r="AU83" s="926"/>
      <c r="AV83" s="926"/>
      <c r="AW83" s="926"/>
      <c r="AX83" s="926"/>
      <c r="AY83" s="926"/>
      <c r="AZ83" s="926"/>
      <c r="BA83" s="926"/>
      <c r="BB83" s="926"/>
      <c r="BC83" s="926"/>
      <c r="BD83" s="926"/>
      <c r="BE83" s="926"/>
      <c r="BF83" s="926"/>
      <c r="BG83" s="926"/>
      <c r="BH83" s="926"/>
      <c r="BI83" s="926"/>
      <c r="BJ83" s="926"/>
      <c r="BK83" s="926"/>
      <c r="BL83" s="926"/>
      <c r="BM83" s="926"/>
      <c r="BN83" s="926"/>
      <c r="BO83" s="926"/>
      <c r="BP83" s="926"/>
      <c r="BQ83" s="926"/>
      <c r="BR83" s="926"/>
      <c r="BS83" s="926"/>
      <c r="BT83" s="926"/>
      <c r="BU83" s="926"/>
      <c r="BV83" s="926"/>
      <c r="BW83" s="926"/>
      <c r="BX83" s="926"/>
      <c r="BY83" s="926"/>
      <c r="BZ83" s="926"/>
      <c r="CA83" s="926"/>
      <c r="CB83" s="926"/>
      <c r="CC83" s="926"/>
      <c r="CD83" s="926"/>
      <c r="CE83" s="926"/>
      <c r="CF83" s="926"/>
      <c r="CG83" s="926"/>
      <c r="CH83" s="926"/>
      <c r="CI83" s="926"/>
      <c r="CJ83" s="926"/>
      <c r="CK83" s="926"/>
      <c r="CL83" s="926"/>
      <c r="CM83" s="926"/>
      <c r="CN83" s="926"/>
      <c r="CO83" s="926"/>
      <c r="CP83" s="926"/>
      <c r="CQ83" s="926"/>
      <c r="CR83" s="926"/>
      <c r="CS83" s="926"/>
      <c r="CT83" s="926"/>
      <c r="CU83" s="926"/>
      <c r="CV83" s="926"/>
      <c r="CW83" s="926"/>
      <c r="CX83" s="926"/>
      <c r="CY83" s="926"/>
      <c r="CZ83" s="926"/>
      <c r="DA83" s="926"/>
      <c r="DB83" s="926"/>
      <c r="DC83" s="926"/>
      <c r="DD83" s="926"/>
      <c r="DE83" s="926"/>
      <c r="DF83" s="926"/>
      <c r="DG83" s="926"/>
      <c r="DH83" s="926"/>
      <c r="DI83" s="926"/>
      <c r="DJ83" s="926"/>
      <c r="DK83" s="926"/>
      <c r="DL83" s="926"/>
      <c r="DM83" s="926"/>
      <c r="DN83" s="926"/>
      <c r="DO83" s="926"/>
      <c r="DP83" s="926"/>
      <c r="DQ83" s="926"/>
      <c r="DR83" s="926"/>
      <c r="DS83" s="926"/>
      <c r="DT83" s="926"/>
      <c r="DU83" s="926"/>
      <c r="DV83" s="926"/>
      <c r="DW83" s="926"/>
      <c r="DX83" s="926"/>
      <c r="DY83" s="926"/>
      <c r="DZ83" s="926"/>
      <c r="EA83" s="926"/>
      <c r="EB83" s="926"/>
      <c r="EC83" s="926"/>
      <c r="ED83" s="926"/>
      <c r="EE83" s="926"/>
      <c r="EF83" s="926"/>
      <c r="EG83" s="926"/>
      <c r="EH83" s="926"/>
      <c r="EI83" s="926"/>
      <c r="EJ83" s="926"/>
      <c r="EK83" s="926"/>
      <c r="EL83" s="926"/>
      <c r="EM83" s="926"/>
      <c r="EN83" s="926"/>
      <c r="EO83" s="926"/>
      <c r="EP83" s="926"/>
      <c r="EQ83" s="926"/>
      <c r="ER83" s="926"/>
      <c r="ES83" s="926"/>
      <c r="ET83" s="926"/>
      <c r="EU83" s="926"/>
      <c r="EV83" s="926"/>
      <c r="EW83" s="926"/>
      <c r="EX83" s="926"/>
      <c r="EY83" s="926"/>
      <c r="EZ83" s="926"/>
      <c r="FA83" s="926"/>
      <c r="FB83" s="926"/>
      <c r="FC83" s="926"/>
      <c r="FD83" s="926"/>
      <c r="FE83" s="926"/>
      <c r="FF83" s="926"/>
      <c r="FG83" s="926"/>
      <c r="FH83" s="926"/>
      <c r="FI83" s="926"/>
      <c r="FJ83" s="926"/>
      <c r="FK83" s="926"/>
      <c r="FL83" s="926"/>
      <c r="FM83" s="926"/>
      <c r="FN83" s="926"/>
      <c r="FO83" s="926"/>
      <c r="FP83" s="926"/>
      <c r="FQ83" s="926"/>
      <c r="FR83" s="926"/>
      <c r="FS83" s="926"/>
      <c r="FT83" s="926"/>
      <c r="FU83" s="926"/>
      <c r="FV83" s="926"/>
      <c r="FW83" s="926"/>
      <c r="FX83" s="926"/>
      <c r="FY83" s="926"/>
      <c r="FZ83" s="926"/>
      <c r="GA83" s="926"/>
      <c r="GB83" s="926"/>
      <c r="GC83" s="926"/>
      <c r="GD83" s="926"/>
      <c r="GE83" s="926"/>
      <c r="GF83" s="926"/>
      <c r="GG83" s="926"/>
      <c r="GH83" s="926"/>
      <c r="GI83" s="926"/>
      <c r="GJ83" s="926"/>
      <c r="GK83" s="926"/>
      <c r="GL83" s="926"/>
      <c r="GM83" s="926"/>
      <c r="GN83" s="926"/>
      <c r="GO83" s="926"/>
      <c r="GP83" s="926"/>
      <c r="GQ83" s="926"/>
      <c r="GR83" s="926"/>
      <c r="GS83" s="926"/>
      <c r="GT83" s="926"/>
      <c r="GU83" s="926"/>
      <c r="GV83" s="926"/>
      <c r="GW83" s="926"/>
      <c r="GX83" s="926"/>
      <c r="GY83" s="926"/>
      <c r="GZ83" s="926"/>
      <c r="HA83" s="926"/>
      <c r="HB83" s="926"/>
      <c r="HC83" s="926"/>
      <c r="HD83" s="926"/>
      <c r="HE83" s="926"/>
      <c r="HF83" s="926"/>
      <c r="HG83" s="926"/>
      <c r="HH83" s="926"/>
      <c r="HI83" s="926"/>
      <c r="HJ83" s="926"/>
      <c r="HK83" s="926"/>
      <c r="HL83" s="926"/>
      <c r="HM83" s="926"/>
      <c r="HN83" s="926"/>
      <c r="HO83" s="926"/>
      <c r="HP83" s="926"/>
      <c r="HQ83" s="926"/>
      <c r="HR83" s="926"/>
      <c r="HS83" s="926"/>
      <c r="HT83" s="926"/>
      <c r="HU83" s="926"/>
      <c r="HV83" s="926"/>
      <c r="HW83" s="926"/>
      <c r="HX83" s="926"/>
      <c r="HY83" s="926"/>
      <c r="HZ83" s="926"/>
      <c r="IA83" s="926"/>
      <c r="IB83" s="926"/>
      <c r="IC83" s="926"/>
      <c r="ID83" s="926"/>
      <c r="IE83" s="926"/>
      <c r="IF83" s="926"/>
      <c r="IG83" s="926"/>
      <c r="IH83" s="926"/>
      <c r="II83" s="926"/>
      <c r="IJ83" s="926"/>
      <c r="IK83" s="926"/>
      <c r="IL83" s="926"/>
      <c r="IM83" s="926"/>
    </row>
    <row r="84" spans="1:247" x14ac:dyDescent="0.45">
      <c r="A84" s="441">
        <v>2211</v>
      </c>
      <c r="B84" s="939" t="s">
        <v>2619</v>
      </c>
      <c r="C84" s="47" t="s">
        <v>35</v>
      </c>
      <c r="D84" s="449" t="s">
        <v>2545</v>
      </c>
      <c r="E84" s="946"/>
      <c r="F84" s="941">
        <f t="shared" si="0"/>
        <v>1.0209999999999999</v>
      </c>
      <c r="G84" s="947">
        <f t="shared" si="7"/>
        <v>1.0269999999999999</v>
      </c>
      <c r="H84" s="946">
        <f>+$H$3</f>
        <v>1.0029999999999999</v>
      </c>
      <c r="I84" s="948">
        <f>+$I$3</f>
        <v>1.0289999999999999</v>
      </c>
      <c r="J84" s="948">
        <f>+$J$3</f>
        <v>1.0049999999999999</v>
      </c>
      <c r="K84" s="948"/>
      <c r="L84" s="948"/>
      <c r="M84" s="948">
        <f>+$M$3</f>
        <v>1.0029999999999999</v>
      </c>
      <c r="N84" s="947">
        <f t="shared" si="8"/>
        <v>1.0029999999999999</v>
      </c>
      <c r="O84" s="949">
        <f>+$O$3</f>
        <v>1.0209999999999999</v>
      </c>
      <c r="P84" s="946">
        <f t="shared" ref="P84:P107" si="14">+$P$3</f>
        <v>1.032</v>
      </c>
      <c r="Q84" s="947">
        <f t="shared" ref="Q84:Q107" si="15">+$Q$3</f>
        <v>1.0349999999999999</v>
      </c>
      <c r="R84" s="950">
        <f t="shared" si="1"/>
        <v>1.1932356231980656</v>
      </c>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26"/>
      <c r="AQ84" s="926"/>
      <c r="AR84" s="926"/>
      <c r="AS84" s="926"/>
      <c r="AT84" s="926"/>
      <c r="AU84" s="926"/>
      <c r="AV84" s="926"/>
      <c r="AW84" s="926"/>
      <c r="AX84" s="926"/>
      <c r="AY84" s="926"/>
      <c r="AZ84" s="926"/>
      <c r="BA84" s="926"/>
      <c r="BB84" s="926"/>
      <c r="BC84" s="926"/>
      <c r="BD84" s="926"/>
      <c r="BE84" s="926"/>
      <c r="BF84" s="926"/>
      <c r="BG84" s="926"/>
      <c r="BH84" s="926"/>
      <c r="BI84" s="926"/>
      <c r="BJ84" s="926"/>
      <c r="BK84" s="926"/>
      <c r="BL84" s="926"/>
      <c r="BM84" s="926"/>
      <c r="BN84" s="926"/>
      <c r="BO84" s="926"/>
      <c r="BP84" s="926"/>
      <c r="BQ84" s="926"/>
      <c r="BR84" s="926"/>
      <c r="BS84" s="926"/>
      <c r="BT84" s="926"/>
      <c r="BU84" s="926"/>
      <c r="BV84" s="926"/>
      <c r="BW84" s="926"/>
      <c r="BX84" s="926"/>
      <c r="BY84" s="926"/>
      <c r="BZ84" s="926"/>
      <c r="CA84" s="926"/>
      <c r="CB84" s="926"/>
      <c r="CC84" s="926"/>
      <c r="CD84" s="926"/>
      <c r="CE84" s="926"/>
      <c r="CF84" s="926"/>
      <c r="CG84" s="926"/>
      <c r="CH84" s="926"/>
      <c r="CI84" s="926"/>
      <c r="CJ84" s="926"/>
      <c r="CK84" s="926"/>
      <c r="CL84" s="926"/>
      <c r="CM84" s="926"/>
      <c r="CN84" s="926"/>
      <c r="CO84" s="926"/>
      <c r="CP84" s="926"/>
      <c r="CQ84" s="926"/>
      <c r="CR84" s="926"/>
      <c r="CS84" s="926"/>
      <c r="CT84" s="926"/>
      <c r="CU84" s="926"/>
      <c r="CV84" s="926"/>
      <c r="CW84" s="926"/>
      <c r="CX84" s="926"/>
      <c r="CY84" s="926"/>
      <c r="CZ84" s="926"/>
      <c r="DA84" s="926"/>
      <c r="DB84" s="926"/>
      <c r="DC84" s="926"/>
      <c r="DD84" s="926"/>
      <c r="DE84" s="926"/>
      <c r="DF84" s="926"/>
      <c r="DG84" s="926"/>
      <c r="DH84" s="926"/>
      <c r="DI84" s="926"/>
      <c r="DJ84" s="926"/>
      <c r="DK84" s="926"/>
      <c r="DL84" s="926"/>
      <c r="DM84" s="926"/>
      <c r="DN84" s="926"/>
      <c r="DO84" s="926"/>
      <c r="DP84" s="926"/>
      <c r="DQ84" s="926"/>
      <c r="DR84" s="926"/>
      <c r="DS84" s="926"/>
      <c r="DT84" s="926"/>
      <c r="DU84" s="926"/>
      <c r="DV84" s="926"/>
      <c r="DW84" s="926"/>
      <c r="DX84" s="926"/>
      <c r="DY84" s="926"/>
      <c r="DZ84" s="926"/>
      <c r="EA84" s="926"/>
      <c r="EB84" s="926"/>
      <c r="EC84" s="926"/>
      <c r="ED84" s="926"/>
      <c r="EE84" s="926"/>
      <c r="EF84" s="926"/>
      <c r="EG84" s="926"/>
      <c r="EH84" s="926"/>
      <c r="EI84" s="926"/>
      <c r="EJ84" s="926"/>
      <c r="EK84" s="926"/>
      <c r="EL84" s="926"/>
      <c r="EM84" s="926"/>
      <c r="EN84" s="926"/>
      <c r="EO84" s="926"/>
      <c r="EP84" s="926"/>
      <c r="EQ84" s="926"/>
      <c r="ER84" s="926"/>
      <c r="ES84" s="926"/>
      <c r="ET84" s="926"/>
      <c r="EU84" s="926"/>
      <c r="EV84" s="926"/>
      <c r="EW84" s="926"/>
      <c r="EX84" s="926"/>
      <c r="EY84" s="926"/>
      <c r="EZ84" s="926"/>
      <c r="FA84" s="926"/>
      <c r="FB84" s="926"/>
      <c r="FC84" s="926"/>
      <c r="FD84" s="926"/>
      <c r="FE84" s="926"/>
      <c r="FF84" s="926"/>
      <c r="FG84" s="926"/>
      <c r="FH84" s="926"/>
      <c r="FI84" s="926"/>
      <c r="FJ84" s="926"/>
      <c r="FK84" s="926"/>
      <c r="FL84" s="926"/>
      <c r="FM84" s="926"/>
      <c r="FN84" s="926"/>
      <c r="FO84" s="926"/>
      <c r="FP84" s="926"/>
      <c r="FQ84" s="926"/>
      <c r="FR84" s="926"/>
      <c r="FS84" s="926"/>
      <c r="FT84" s="926"/>
      <c r="FU84" s="926"/>
      <c r="FV84" s="926"/>
      <c r="FW84" s="926"/>
      <c r="FX84" s="926"/>
      <c r="FY84" s="926"/>
      <c r="FZ84" s="926"/>
      <c r="GA84" s="926"/>
      <c r="GB84" s="926"/>
      <c r="GC84" s="926"/>
      <c r="GD84" s="926"/>
      <c r="GE84" s="926"/>
      <c r="GF84" s="926"/>
      <c r="GG84" s="926"/>
      <c r="GH84" s="926"/>
      <c r="GI84" s="926"/>
      <c r="GJ84" s="926"/>
      <c r="GK84" s="926"/>
      <c r="GL84" s="926"/>
      <c r="GM84" s="926"/>
      <c r="GN84" s="926"/>
      <c r="GO84" s="926"/>
      <c r="GP84" s="926"/>
      <c r="GQ84" s="926"/>
      <c r="GR84" s="926"/>
      <c r="GS84" s="926"/>
      <c r="GT84" s="926"/>
      <c r="GU84" s="926"/>
      <c r="GV84" s="926"/>
      <c r="GW84" s="926"/>
      <c r="GX84" s="926"/>
      <c r="GY84" s="926"/>
      <c r="GZ84" s="926"/>
      <c r="HA84" s="926"/>
      <c r="HB84" s="926"/>
      <c r="HC84" s="926"/>
      <c r="HD84" s="926"/>
      <c r="HE84" s="926"/>
      <c r="HF84" s="926"/>
      <c r="HG84" s="926"/>
      <c r="HH84" s="926"/>
      <c r="HI84" s="926"/>
      <c r="HJ84" s="926"/>
      <c r="HK84" s="926"/>
      <c r="HL84" s="926"/>
      <c r="HM84" s="926"/>
      <c r="HN84" s="926"/>
      <c r="HO84" s="926"/>
      <c r="HP84" s="926"/>
      <c r="HQ84" s="926"/>
      <c r="HR84" s="926"/>
      <c r="HS84" s="926"/>
      <c r="HT84" s="926"/>
      <c r="HU84" s="926"/>
      <c r="HV84" s="926"/>
      <c r="HW84" s="926"/>
      <c r="HX84" s="926"/>
      <c r="HY84" s="926"/>
      <c r="HZ84" s="926"/>
      <c r="IA84" s="926"/>
      <c r="IB84" s="926"/>
      <c r="IC84" s="926"/>
      <c r="ID84" s="926"/>
      <c r="IE84" s="926"/>
      <c r="IF84" s="926"/>
      <c r="IG84" s="926"/>
      <c r="IH84" s="926"/>
      <c r="II84" s="926"/>
      <c r="IJ84" s="926"/>
      <c r="IK84" s="926"/>
      <c r="IL84" s="926"/>
      <c r="IM84" s="926"/>
    </row>
    <row r="85" spans="1:247" x14ac:dyDescent="0.45">
      <c r="A85" s="441">
        <v>2213</v>
      </c>
      <c r="B85" s="939" t="s">
        <v>2620</v>
      </c>
      <c r="C85" s="47" t="s">
        <v>35</v>
      </c>
      <c r="D85" s="449" t="s">
        <v>2537</v>
      </c>
      <c r="E85" s="946"/>
      <c r="F85" s="941">
        <f t="shared" si="0"/>
        <v>1.0209999999999999</v>
      </c>
      <c r="G85" s="947">
        <f t="shared" si="7"/>
        <v>1.0269999999999999</v>
      </c>
      <c r="H85" s="946">
        <f>+$H$3</f>
        <v>1.0029999999999999</v>
      </c>
      <c r="I85" s="948">
        <f>+$I$3</f>
        <v>1.0289999999999999</v>
      </c>
      <c r="J85" s="948"/>
      <c r="K85" s="948"/>
      <c r="L85" s="948"/>
      <c r="M85" s="948"/>
      <c r="N85" s="947">
        <f t="shared" si="8"/>
        <v>1.0029999999999999</v>
      </c>
      <c r="O85" s="949">
        <f>+$O$3</f>
        <v>1.0209999999999999</v>
      </c>
      <c r="P85" s="946">
        <f t="shared" si="14"/>
        <v>1.032</v>
      </c>
      <c r="Q85" s="947">
        <f t="shared" si="15"/>
        <v>1.0349999999999999</v>
      </c>
      <c r="R85" s="950">
        <f t="shared" si="1"/>
        <v>1.1837478839085387</v>
      </c>
      <c r="S85" s="926"/>
      <c r="T85" s="926"/>
      <c r="U85" s="926"/>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AV85" s="926"/>
      <c r="AW85" s="926"/>
      <c r="AX85" s="926"/>
      <c r="AY85" s="926"/>
      <c r="AZ85" s="926"/>
      <c r="BA85" s="926"/>
      <c r="BB85" s="926"/>
      <c r="BC85" s="926"/>
      <c r="BD85" s="926"/>
      <c r="BE85" s="926"/>
      <c r="BF85" s="926"/>
      <c r="BG85" s="926"/>
      <c r="BH85" s="926"/>
      <c r="BI85" s="926"/>
      <c r="BJ85" s="926"/>
      <c r="BK85" s="926"/>
      <c r="BL85" s="926"/>
      <c r="BM85" s="926"/>
      <c r="BN85" s="926"/>
      <c r="BO85" s="926"/>
      <c r="BP85" s="926"/>
      <c r="BQ85" s="926"/>
      <c r="BR85" s="926"/>
      <c r="BS85" s="926"/>
      <c r="BT85" s="926"/>
      <c r="BU85" s="926"/>
      <c r="BV85" s="926"/>
      <c r="BW85" s="926"/>
      <c r="BX85" s="926"/>
      <c r="BY85" s="926"/>
      <c r="BZ85" s="926"/>
      <c r="CA85" s="926"/>
      <c r="CB85" s="926"/>
      <c r="CC85" s="926"/>
      <c r="CD85" s="926"/>
      <c r="CE85" s="926"/>
      <c r="CF85" s="926"/>
      <c r="CG85" s="926"/>
      <c r="CH85" s="926"/>
      <c r="CI85" s="926"/>
      <c r="CJ85" s="926"/>
      <c r="CK85" s="926"/>
      <c r="CL85" s="926"/>
      <c r="CM85" s="926"/>
      <c r="CN85" s="926"/>
      <c r="CO85" s="926"/>
      <c r="CP85" s="926"/>
      <c r="CQ85" s="926"/>
      <c r="CR85" s="926"/>
      <c r="CS85" s="926"/>
      <c r="CT85" s="926"/>
      <c r="CU85" s="926"/>
      <c r="CV85" s="926"/>
      <c r="CW85" s="926"/>
      <c r="CX85" s="926"/>
      <c r="CY85" s="926"/>
      <c r="CZ85" s="926"/>
      <c r="DA85" s="926"/>
      <c r="DB85" s="926"/>
      <c r="DC85" s="926"/>
      <c r="DD85" s="926"/>
      <c r="DE85" s="926"/>
      <c r="DF85" s="926"/>
      <c r="DG85" s="926"/>
      <c r="DH85" s="926"/>
      <c r="DI85" s="926"/>
      <c r="DJ85" s="926"/>
      <c r="DK85" s="926"/>
      <c r="DL85" s="926"/>
      <c r="DM85" s="926"/>
      <c r="DN85" s="926"/>
      <c r="DO85" s="926"/>
      <c r="DP85" s="926"/>
      <c r="DQ85" s="926"/>
      <c r="DR85" s="926"/>
      <c r="DS85" s="926"/>
      <c r="DT85" s="926"/>
      <c r="DU85" s="926"/>
      <c r="DV85" s="926"/>
      <c r="DW85" s="926"/>
      <c r="DX85" s="926"/>
      <c r="DY85" s="926"/>
      <c r="DZ85" s="926"/>
      <c r="EA85" s="926"/>
      <c r="EB85" s="926"/>
      <c r="EC85" s="926"/>
      <c r="ED85" s="926"/>
      <c r="EE85" s="926"/>
      <c r="EF85" s="926"/>
      <c r="EG85" s="926"/>
      <c r="EH85" s="926"/>
      <c r="EI85" s="926"/>
      <c r="EJ85" s="926"/>
      <c r="EK85" s="926"/>
      <c r="EL85" s="926"/>
      <c r="EM85" s="926"/>
      <c r="EN85" s="926"/>
      <c r="EO85" s="926"/>
      <c r="EP85" s="926"/>
      <c r="EQ85" s="926"/>
      <c r="ER85" s="926"/>
      <c r="ES85" s="926"/>
      <c r="ET85" s="926"/>
      <c r="EU85" s="926"/>
      <c r="EV85" s="926"/>
      <c r="EW85" s="926"/>
      <c r="EX85" s="926"/>
      <c r="EY85" s="926"/>
      <c r="EZ85" s="926"/>
      <c r="FA85" s="926"/>
      <c r="FB85" s="926"/>
      <c r="FC85" s="926"/>
      <c r="FD85" s="926"/>
      <c r="FE85" s="926"/>
      <c r="FF85" s="926"/>
      <c r="FG85" s="926"/>
      <c r="FH85" s="926"/>
      <c r="FI85" s="926"/>
      <c r="FJ85" s="926"/>
      <c r="FK85" s="926"/>
      <c r="FL85" s="926"/>
      <c r="FM85" s="926"/>
      <c r="FN85" s="926"/>
      <c r="FO85" s="926"/>
      <c r="FP85" s="926"/>
      <c r="FQ85" s="926"/>
      <c r="FR85" s="926"/>
      <c r="FS85" s="926"/>
      <c r="FT85" s="926"/>
      <c r="FU85" s="926"/>
      <c r="FV85" s="926"/>
      <c r="FW85" s="926"/>
      <c r="FX85" s="926"/>
      <c r="FY85" s="926"/>
      <c r="FZ85" s="926"/>
      <c r="GA85" s="926"/>
      <c r="GB85" s="926"/>
      <c r="GC85" s="926"/>
      <c r="GD85" s="926"/>
      <c r="GE85" s="926"/>
      <c r="GF85" s="926"/>
      <c r="GG85" s="926"/>
      <c r="GH85" s="926"/>
      <c r="GI85" s="926"/>
      <c r="GJ85" s="926"/>
      <c r="GK85" s="926"/>
      <c r="GL85" s="926"/>
      <c r="GM85" s="926"/>
      <c r="GN85" s="926"/>
      <c r="GO85" s="926"/>
      <c r="GP85" s="926"/>
      <c r="GQ85" s="926"/>
      <c r="GR85" s="926"/>
      <c r="GS85" s="926"/>
      <c r="GT85" s="926"/>
      <c r="GU85" s="926"/>
      <c r="GV85" s="926"/>
      <c r="GW85" s="926"/>
      <c r="GX85" s="926"/>
      <c r="GY85" s="926"/>
      <c r="GZ85" s="926"/>
      <c r="HA85" s="926"/>
      <c r="HB85" s="926"/>
      <c r="HC85" s="926"/>
      <c r="HD85" s="926"/>
      <c r="HE85" s="926"/>
      <c r="HF85" s="926"/>
      <c r="HG85" s="926"/>
      <c r="HH85" s="926"/>
      <c r="HI85" s="926"/>
      <c r="HJ85" s="926"/>
      <c r="HK85" s="926"/>
      <c r="HL85" s="926"/>
      <c r="HM85" s="926"/>
      <c r="HN85" s="926"/>
      <c r="HO85" s="926"/>
      <c r="HP85" s="926"/>
      <c r="HQ85" s="926"/>
      <c r="HR85" s="926"/>
      <c r="HS85" s="926"/>
      <c r="HT85" s="926"/>
      <c r="HU85" s="926"/>
      <c r="HV85" s="926"/>
      <c r="HW85" s="926"/>
      <c r="HX85" s="926"/>
      <c r="HY85" s="926"/>
      <c r="HZ85" s="926"/>
      <c r="IA85" s="926"/>
      <c r="IB85" s="926"/>
      <c r="IC85" s="926"/>
      <c r="ID85" s="926"/>
      <c r="IE85" s="926"/>
      <c r="IF85" s="926"/>
      <c r="IG85" s="926"/>
      <c r="IH85" s="926"/>
      <c r="II85" s="926"/>
      <c r="IJ85" s="926"/>
      <c r="IK85" s="926"/>
      <c r="IL85" s="926"/>
      <c r="IM85" s="926"/>
    </row>
    <row r="86" spans="1:247" x14ac:dyDescent="0.45">
      <c r="A86" s="441">
        <v>2221</v>
      </c>
      <c r="B86" s="939" t="s">
        <v>2621</v>
      </c>
      <c r="C86" s="47" t="s">
        <v>35</v>
      </c>
      <c r="D86" s="449" t="s">
        <v>2545</v>
      </c>
      <c r="E86" s="946"/>
      <c r="F86" s="941">
        <f t="shared" si="0"/>
        <v>1.0209999999999999</v>
      </c>
      <c r="G86" s="947">
        <f t="shared" si="7"/>
        <v>1.0269999999999999</v>
      </c>
      <c r="H86" s="946">
        <f>+$H$3</f>
        <v>1.0029999999999999</v>
      </c>
      <c r="I86" s="948">
        <f>+$I$3</f>
        <v>1.0289999999999999</v>
      </c>
      <c r="J86" s="948">
        <f>+$J$3</f>
        <v>1.0049999999999999</v>
      </c>
      <c r="K86" s="948"/>
      <c r="L86" s="948"/>
      <c r="M86" s="948">
        <f>+$M$3</f>
        <v>1.0029999999999999</v>
      </c>
      <c r="N86" s="947">
        <f t="shared" si="8"/>
        <v>1.0029999999999999</v>
      </c>
      <c r="O86" s="949">
        <f>+$O$3</f>
        <v>1.0209999999999999</v>
      </c>
      <c r="P86" s="946">
        <f t="shared" si="14"/>
        <v>1.032</v>
      </c>
      <c r="Q86" s="947">
        <f t="shared" si="15"/>
        <v>1.0349999999999999</v>
      </c>
      <c r="R86" s="950">
        <f t="shared" si="1"/>
        <v>1.1932356231980656</v>
      </c>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c r="CG86" s="926"/>
      <c r="CH86" s="926"/>
      <c r="CI86" s="926"/>
      <c r="CJ86" s="926"/>
      <c r="CK86" s="926"/>
      <c r="CL86" s="926"/>
      <c r="CM86" s="926"/>
      <c r="CN86" s="926"/>
      <c r="CO86" s="926"/>
      <c r="CP86" s="926"/>
      <c r="CQ86" s="926"/>
      <c r="CR86" s="926"/>
      <c r="CS86" s="926"/>
      <c r="CT86" s="926"/>
      <c r="CU86" s="926"/>
      <c r="CV86" s="926"/>
      <c r="CW86" s="926"/>
      <c r="CX86" s="926"/>
      <c r="CY86" s="926"/>
      <c r="CZ86" s="926"/>
      <c r="DA86" s="926"/>
      <c r="DB86" s="926"/>
      <c r="DC86" s="926"/>
      <c r="DD86" s="926"/>
      <c r="DE86" s="926"/>
      <c r="DF86" s="926"/>
      <c r="DG86" s="926"/>
      <c r="DH86" s="926"/>
      <c r="DI86" s="926"/>
      <c r="DJ86" s="926"/>
      <c r="DK86" s="926"/>
      <c r="DL86" s="926"/>
      <c r="DM86" s="926"/>
      <c r="DN86" s="926"/>
      <c r="DO86" s="926"/>
      <c r="DP86" s="926"/>
      <c r="DQ86" s="926"/>
      <c r="DR86" s="926"/>
      <c r="DS86" s="926"/>
      <c r="DT86" s="926"/>
      <c r="DU86" s="926"/>
      <c r="DV86" s="926"/>
      <c r="DW86" s="926"/>
      <c r="DX86" s="926"/>
      <c r="DY86" s="926"/>
      <c r="DZ86" s="926"/>
      <c r="EA86" s="926"/>
      <c r="EB86" s="926"/>
      <c r="EC86" s="926"/>
      <c r="ED86" s="926"/>
      <c r="EE86" s="926"/>
      <c r="EF86" s="926"/>
      <c r="EG86" s="926"/>
      <c r="EH86" s="926"/>
      <c r="EI86" s="926"/>
      <c r="EJ86" s="926"/>
      <c r="EK86" s="926"/>
      <c r="EL86" s="926"/>
      <c r="EM86" s="926"/>
      <c r="EN86" s="926"/>
      <c r="EO86" s="926"/>
      <c r="EP86" s="926"/>
      <c r="EQ86" s="926"/>
      <c r="ER86" s="926"/>
      <c r="ES86" s="926"/>
      <c r="ET86" s="926"/>
      <c r="EU86" s="926"/>
      <c r="EV86" s="926"/>
      <c r="EW86" s="926"/>
      <c r="EX86" s="926"/>
      <c r="EY86" s="926"/>
      <c r="EZ86" s="926"/>
      <c r="FA86" s="926"/>
      <c r="FB86" s="926"/>
      <c r="FC86" s="926"/>
      <c r="FD86" s="926"/>
      <c r="FE86" s="926"/>
      <c r="FF86" s="926"/>
      <c r="FG86" s="926"/>
      <c r="FH86" s="926"/>
      <c r="FI86" s="926"/>
      <c r="FJ86" s="926"/>
      <c r="FK86" s="926"/>
      <c r="FL86" s="926"/>
      <c r="FM86" s="926"/>
      <c r="FN86" s="926"/>
      <c r="FO86" s="926"/>
      <c r="FP86" s="926"/>
      <c r="FQ86" s="926"/>
      <c r="FR86" s="926"/>
      <c r="FS86" s="926"/>
      <c r="FT86" s="926"/>
      <c r="FU86" s="926"/>
      <c r="FV86" s="926"/>
      <c r="FW86" s="926"/>
      <c r="FX86" s="926"/>
      <c r="FY86" s="926"/>
      <c r="FZ86" s="926"/>
      <c r="GA86" s="926"/>
      <c r="GB86" s="926"/>
      <c r="GC86" s="926"/>
      <c r="GD86" s="926"/>
      <c r="GE86" s="926"/>
      <c r="GF86" s="926"/>
      <c r="GG86" s="926"/>
      <c r="GH86" s="926"/>
      <c r="GI86" s="926"/>
      <c r="GJ86" s="926"/>
      <c r="GK86" s="926"/>
      <c r="GL86" s="926"/>
      <c r="GM86" s="926"/>
      <c r="GN86" s="926"/>
      <c r="GO86" s="926"/>
      <c r="GP86" s="926"/>
      <c r="GQ86" s="926"/>
      <c r="GR86" s="926"/>
      <c r="GS86" s="926"/>
      <c r="GT86" s="926"/>
      <c r="GU86" s="926"/>
      <c r="GV86" s="926"/>
      <c r="GW86" s="926"/>
      <c r="GX86" s="926"/>
      <c r="GY86" s="926"/>
      <c r="GZ86" s="926"/>
      <c r="HA86" s="926"/>
      <c r="HB86" s="926"/>
      <c r="HC86" s="926"/>
      <c r="HD86" s="926"/>
      <c r="HE86" s="926"/>
      <c r="HF86" s="926"/>
      <c r="HG86" s="926"/>
      <c r="HH86" s="926"/>
      <c r="HI86" s="926"/>
      <c r="HJ86" s="926"/>
      <c r="HK86" s="926"/>
      <c r="HL86" s="926"/>
      <c r="HM86" s="926"/>
      <c r="HN86" s="926"/>
      <c r="HO86" s="926"/>
      <c r="HP86" s="926"/>
      <c r="HQ86" s="926"/>
      <c r="HR86" s="926"/>
      <c r="HS86" s="926"/>
      <c r="HT86" s="926"/>
      <c r="HU86" s="926"/>
      <c r="HV86" s="926"/>
      <c r="HW86" s="926"/>
      <c r="HX86" s="926"/>
      <c r="HY86" s="926"/>
      <c r="HZ86" s="926"/>
      <c r="IA86" s="926"/>
      <c r="IB86" s="926"/>
      <c r="IC86" s="926"/>
      <c r="ID86" s="926"/>
      <c r="IE86" s="926"/>
      <c r="IF86" s="926"/>
      <c r="IG86" s="926"/>
      <c r="IH86" s="926"/>
      <c r="II86" s="926"/>
      <c r="IJ86" s="926"/>
      <c r="IK86" s="926"/>
      <c r="IL86" s="926"/>
      <c r="IM86" s="926"/>
    </row>
    <row r="87" spans="1:247" x14ac:dyDescent="0.45">
      <c r="A87" s="441">
        <v>2231</v>
      </c>
      <c r="B87" s="939" t="s">
        <v>2622</v>
      </c>
      <c r="C87" s="47" t="s">
        <v>35</v>
      </c>
      <c r="D87" s="449" t="s">
        <v>2545</v>
      </c>
      <c r="E87" s="946"/>
      <c r="F87" s="941">
        <f t="shared" si="0"/>
        <v>1.0209999999999999</v>
      </c>
      <c r="G87" s="947">
        <f t="shared" si="7"/>
        <v>1.0269999999999999</v>
      </c>
      <c r="H87" s="946">
        <f>+$H$3</f>
        <v>1.0029999999999999</v>
      </c>
      <c r="I87" s="948">
        <f>+$I$3</f>
        <v>1.0289999999999999</v>
      </c>
      <c r="J87" s="948">
        <f>+$J$3</f>
        <v>1.0049999999999999</v>
      </c>
      <c r="K87" s="948"/>
      <c r="L87" s="948"/>
      <c r="M87" s="948">
        <f>+$M$3</f>
        <v>1.0029999999999999</v>
      </c>
      <c r="N87" s="947">
        <f t="shared" si="8"/>
        <v>1.0029999999999999</v>
      </c>
      <c r="O87" s="949">
        <f>+$O$3</f>
        <v>1.0209999999999999</v>
      </c>
      <c r="P87" s="946">
        <f t="shared" si="14"/>
        <v>1.032</v>
      </c>
      <c r="Q87" s="947">
        <f t="shared" si="15"/>
        <v>1.0349999999999999</v>
      </c>
      <c r="R87" s="950">
        <f t="shared" si="1"/>
        <v>1.1932356231980656</v>
      </c>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c r="CG87" s="926"/>
      <c r="CH87" s="926"/>
      <c r="CI87" s="926"/>
      <c r="CJ87" s="926"/>
      <c r="CK87" s="926"/>
      <c r="CL87" s="926"/>
      <c r="CM87" s="926"/>
      <c r="CN87" s="926"/>
      <c r="CO87" s="926"/>
      <c r="CP87" s="926"/>
      <c r="CQ87" s="926"/>
      <c r="CR87" s="926"/>
      <c r="CS87" s="926"/>
      <c r="CT87" s="926"/>
      <c r="CU87" s="926"/>
      <c r="CV87" s="926"/>
      <c r="CW87" s="926"/>
      <c r="CX87" s="926"/>
      <c r="CY87" s="926"/>
      <c r="CZ87" s="926"/>
      <c r="DA87" s="926"/>
      <c r="DB87" s="926"/>
      <c r="DC87" s="926"/>
      <c r="DD87" s="926"/>
      <c r="DE87" s="926"/>
      <c r="DF87" s="926"/>
      <c r="DG87" s="926"/>
      <c r="DH87" s="926"/>
      <c r="DI87" s="926"/>
      <c r="DJ87" s="926"/>
      <c r="DK87" s="926"/>
      <c r="DL87" s="926"/>
      <c r="DM87" s="926"/>
      <c r="DN87" s="926"/>
      <c r="DO87" s="926"/>
      <c r="DP87" s="926"/>
      <c r="DQ87" s="926"/>
      <c r="DR87" s="926"/>
      <c r="DS87" s="926"/>
      <c r="DT87" s="926"/>
      <c r="DU87" s="926"/>
      <c r="DV87" s="926"/>
      <c r="DW87" s="926"/>
      <c r="DX87" s="926"/>
      <c r="DY87" s="926"/>
      <c r="DZ87" s="926"/>
      <c r="EA87" s="926"/>
      <c r="EB87" s="926"/>
      <c r="EC87" s="926"/>
      <c r="ED87" s="926"/>
      <c r="EE87" s="926"/>
      <c r="EF87" s="926"/>
      <c r="EG87" s="926"/>
      <c r="EH87" s="926"/>
      <c r="EI87" s="926"/>
      <c r="EJ87" s="926"/>
      <c r="EK87" s="926"/>
      <c r="EL87" s="926"/>
      <c r="EM87" s="926"/>
      <c r="EN87" s="926"/>
      <c r="EO87" s="926"/>
      <c r="EP87" s="926"/>
      <c r="EQ87" s="926"/>
      <c r="ER87" s="926"/>
      <c r="ES87" s="926"/>
      <c r="ET87" s="926"/>
      <c r="EU87" s="926"/>
      <c r="EV87" s="926"/>
      <c r="EW87" s="926"/>
      <c r="EX87" s="926"/>
      <c r="EY87" s="926"/>
      <c r="EZ87" s="926"/>
      <c r="FA87" s="926"/>
      <c r="FB87" s="926"/>
      <c r="FC87" s="926"/>
      <c r="FD87" s="926"/>
      <c r="FE87" s="926"/>
      <c r="FF87" s="926"/>
      <c r="FG87" s="926"/>
      <c r="FH87" s="926"/>
      <c r="FI87" s="926"/>
      <c r="FJ87" s="926"/>
      <c r="FK87" s="926"/>
      <c r="FL87" s="926"/>
      <c r="FM87" s="926"/>
      <c r="FN87" s="926"/>
      <c r="FO87" s="926"/>
      <c r="FP87" s="926"/>
      <c r="FQ87" s="926"/>
      <c r="FR87" s="926"/>
      <c r="FS87" s="926"/>
      <c r="FT87" s="926"/>
      <c r="FU87" s="926"/>
      <c r="FV87" s="926"/>
      <c r="FW87" s="926"/>
      <c r="FX87" s="926"/>
      <c r="FY87" s="926"/>
      <c r="FZ87" s="926"/>
      <c r="GA87" s="926"/>
      <c r="GB87" s="926"/>
      <c r="GC87" s="926"/>
      <c r="GD87" s="926"/>
      <c r="GE87" s="926"/>
      <c r="GF87" s="926"/>
      <c r="GG87" s="926"/>
      <c r="GH87" s="926"/>
      <c r="GI87" s="926"/>
      <c r="GJ87" s="926"/>
      <c r="GK87" s="926"/>
      <c r="GL87" s="926"/>
      <c r="GM87" s="926"/>
      <c r="GN87" s="926"/>
      <c r="GO87" s="926"/>
      <c r="GP87" s="926"/>
      <c r="GQ87" s="926"/>
      <c r="GR87" s="926"/>
      <c r="GS87" s="926"/>
      <c r="GT87" s="926"/>
      <c r="GU87" s="926"/>
      <c r="GV87" s="926"/>
      <c r="GW87" s="926"/>
      <c r="GX87" s="926"/>
      <c r="GY87" s="926"/>
      <c r="GZ87" s="926"/>
      <c r="HA87" s="926"/>
      <c r="HB87" s="926"/>
      <c r="HC87" s="926"/>
      <c r="HD87" s="926"/>
      <c r="HE87" s="926"/>
      <c r="HF87" s="926"/>
      <c r="HG87" s="926"/>
      <c r="HH87" s="926"/>
      <c r="HI87" s="926"/>
      <c r="HJ87" s="926"/>
      <c r="HK87" s="926"/>
      <c r="HL87" s="926"/>
      <c r="HM87" s="926"/>
      <c r="HN87" s="926"/>
      <c r="HO87" s="926"/>
      <c r="HP87" s="926"/>
      <c r="HQ87" s="926"/>
      <c r="HR87" s="926"/>
      <c r="HS87" s="926"/>
      <c r="HT87" s="926"/>
      <c r="HU87" s="926"/>
      <c r="HV87" s="926"/>
      <c r="HW87" s="926"/>
      <c r="HX87" s="926"/>
      <c r="HY87" s="926"/>
      <c r="HZ87" s="926"/>
      <c r="IA87" s="926"/>
      <c r="IB87" s="926"/>
      <c r="IC87" s="926"/>
      <c r="ID87" s="926"/>
      <c r="IE87" s="926"/>
      <c r="IF87" s="926"/>
      <c r="IG87" s="926"/>
      <c r="IH87" s="926"/>
      <c r="II87" s="926"/>
      <c r="IJ87" s="926"/>
      <c r="IK87" s="926"/>
      <c r="IL87" s="926"/>
      <c r="IM87" s="926"/>
    </row>
    <row r="88" spans="1:247" x14ac:dyDescent="0.45">
      <c r="A88" s="441">
        <v>2241</v>
      </c>
      <c r="B88" s="939" t="s">
        <v>2623</v>
      </c>
      <c r="C88" s="47" t="s">
        <v>35</v>
      </c>
      <c r="D88" s="449" t="s">
        <v>2545</v>
      </c>
      <c r="E88" s="946"/>
      <c r="F88" s="941">
        <f t="shared" si="0"/>
        <v>1.0209999999999999</v>
      </c>
      <c r="G88" s="947">
        <f t="shared" si="7"/>
        <v>1.0269999999999999</v>
      </c>
      <c r="H88" s="946">
        <f>+$H$3</f>
        <v>1.0029999999999999</v>
      </c>
      <c r="I88" s="948">
        <f>+$I$3</f>
        <v>1.0289999999999999</v>
      </c>
      <c r="J88" s="948">
        <f>+$J$3</f>
        <v>1.0049999999999999</v>
      </c>
      <c r="K88" s="948"/>
      <c r="L88" s="948"/>
      <c r="M88" s="948">
        <f>+$M$3</f>
        <v>1.0029999999999999</v>
      </c>
      <c r="N88" s="947">
        <f t="shared" si="8"/>
        <v>1.0029999999999999</v>
      </c>
      <c r="O88" s="949">
        <f>+$O$3</f>
        <v>1.0209999999999999</v>
      </c>
      <c r="P88" s="946">
        <f t="shared" si="14"/>
        <v>1.032</v>
      </c>
      <c r="Q88" s="947">
        <f t="shared" si="15"/>
        <v>1.0349999999999999</v>
      </c>
      <c r="R88" s="950">
        <f t="shared" si="1"/>
        <v>1.1932356231980656</v>
      </c>
      <c r="S88" s="926"/>
      <c r="T88" s="926"/>
      <c r="U88" s="926"/>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6"/>
      <c r="AV88" s="926"/>
      <c r="AW88" s="926"/>
      <c r="AX88" s="926"/>
      <c r="AY88" s="926"/>
      <c r="AZ88" s="926"/>
      <c r="BA88" s="926"/>
      <c r="BB88" s="926"/>
      <c r="BC88" s="926"/>
      <c r="BD88" s="926"/>
      <c r="BE88" s="926"/>
      <c r="BF88" s="926"/>
      <c r="BG88" s="926"/>
      <c r="BH88" s="926"/>
      <c r="BI88" s="926"/>
      <c r="BJ88" s="926"/>
      <c r="BK88" s="926"/>
      <c r="BL88" s="926"/>
      <c r="BM88" s="926"/>
      <c r="BN88" s="926"/>
      <c r="BO88" s="926"/>
      <c r="BP88" s="926"/>
      <c r="BQ88" s="926"/>
      <c r="BR88" s="926"/>
      <c r="BS88" s="926"/>
      <c r="BT88" s="926"/>
      <c r="BU88" s="926"/>
      <c r="BV88" s="926"/>
      <c r="BW88" s="926"/>
      <c r="BX88" s="926"/>
      <c r="BY88" s="926"/>
      <c r="BZ88" s="926"/>
      <c r="CA88" s="926"/>
      <c r="CB88" s="926"/>
      <c r="CC88" s="926"/>
      <c r="CD88" s="926"/>
      <c r="CE88" s="926"/>
      <c r="CF88" s="926"/>
      <c r="CG88" s="926"/>
      <c r="CH88" s="926"/>
      <c r="CI88" s="926"/>
      <c r="CJ88" s="926"/>
      <c r="CK88" s="926"/>
      <c r="CL88" s="926"/>
      <c r="CM88" s="926"/>
      <c r="CN88" s="926"/>
      <c r="CO88" s="926"/>
      <c r="CP88" s="926"/>
      <c r="CQ88" s="926"/>
      <c r="CR88" s="926"/>
      <c r="CS88" s="926"/>
      <c r="CT88" s="926"/>
      <c r="CU88" s="926"/>
      <c r="CV88" s="926"/>
      <c r="CW88" s="926"/>
      <c r="CX88" s="926"/>
      <c r="CY88" s="926"/>
      <c r="CZ88" s="926"/>
      <c r="DA88" s="926"/>
      <c r="DB88" s="926"/>
      <c r="DC88" s="926"/>
      <c r="DD88" s="926"/>
      <c r="DE88" s="926"/>
      <c r="DF88" s="926"/>
      <c r="DG88" s="926"/>
      <c r="DH88" s="926"/>
      <c r="DI88" s="926"/>
      <c r="DJ88" s="926"/>
      <c r="DK88" s="926"/>
      <c r="DL88" s="926"/>
      <c r="DM88" s="926"/>
      <c r="DN88" s="926"/>
      <c r="DO88" s="926"/>
      <c r="DP88" s="926"/>
      <c r="DQ88" s="926"/>
      <c r="DR88" s="926"/>
      <c r="DS88" s="926"/>
      <c r="DT88" s="926"/>
      <c r="DU88" s="926"/>
      <c r="DV88" s="926"/>
      <c r="DW88" s="926"/>
      <c r="DX88" s="926"/>
      <c r="DY88" s="926"/>
      <c r="DZ88" s="926"/>
      <c r="EA88" s="926"/>
      <c r="EB88" s="926"/>
      <c r="EC88" s="926"/>
      <c r="ED88" s="926"/>
      <c r="EE88" s="926"/>
      <c r="EF88" s="926"/>
      <c r="EG88" s="926"/>
      <c r="EH88" s="926"/>
      <c r="EI88" s="926"/>
      <c r="EJ88" s="926"/>
      <c r="EK88" s="926"/>
      <c r="EL88" s="926"/>
      <c r="EM88" s="926"/>
      <c r="EN88" s="926"/>
      <c r="EO88" s="926"/>
      <c r="EP88" s="926"/>
      <c r="EQ88" s="926"/>
      <c r="ER88" s="926"/>
      <c r="ES88" s="926"/>
      <c r="ET88" s="926"/>
      <c r="EU88" s="926"/>
      <c r="EV88" s="926"/>
      <c r="EW88" s="926"/>
      <c r="EX88" s="926"/>
      <c r="EY88" s="926"/>
      <c r="EZ88" s="926"/>
      <c r="FA88" s="926"/>
      <c r="FB88" s="926"/>
      <c r="FC88" s="926"/>
      <c r="FD88" s="926"/>
      <c r="FE88" s="926"/>
      <c r="FF88" s="926"/>
      <c r="FG88" s="926"/>
      <c r="FH88" s="926"/>
      <c r="FI88" s="926"/>
      <c r="FJ88" s="926"/>
      <c r="FK88" s="926"/>
      <c r="FL88" s="926"/>
      <c r="FM88" s="926"/>
      <c r="FN88" s="926"/>
      <c r="FO88" s="926"/>
      <c r="FP88" s="926"/>
      <c r="FQ88" s="926"/>
      <c r="FR88" s="926"/>
      <c r="FS88" s="926"/>
      <c r="FT88" s="926"/>
      <c r="FU88" s="926"/>
      <c r="FV88" s="926"/>
      <c r="FW88" s="926"/>
      <c r="FX88" s="926"/>
      <c r="FY88" s="926"/>
      <c r="FZ88" s="926"/>
      <c r="GA88" s="926"/>
      <c r="GB88" s="926"/>
      <c r="GC88" s="926"/>
      <c r="GD88" s="926"/>
      <c r="GE88" s="926"/>
      <c r="GF88" s="926"/>
      <c r="GG88" s="926"/>
      <c r="GH88" s="926"/>
      <c r="GI88" s="926"/>
      <c r="GJ88" s="926"/>
      <c r="GK88" s="926"/>
      <c r="GL88" s="926"/>
      <c r="GM88" s="926"/>
      <c r="GN88" s="926"/>
      <c r="GO88" s="926"/>
      <c r="GP88" s="926"/>
      <c r="GQ88" s="926"/>
      <c r="GR88" s="926"/>
      <c r="GS88" s="926"/>
      <c r="GT88" s="926"/>
      <c r="GU88" s="926"/>
      <c r="GV88" s="926"/>
      <c r="GW88" s="926"/>
      <c r="GX88" s="926"/>
      <c r="GY88" s="926"/>
      <c r="GZ88" s="926"/>
      <c r="HA88" s="926"/>
      <c r="HB88" s="926"/>
      <c r="HC88" s="926"/>
      <c r="HD88" s="926"/>
      <c r="HE88" s="926"/>
      <c r="HF88" s="926"/>
      <c r="HG88" s="926"/>
      <c r="HH88" s="926"/>
      <c r="HI88" s="926"/>
      <c r="HJ88" s="926"/>
      <c r="HK88" s="926"/>
      <c r="HL88" s="926"/>
      <c r="HM88" s="926"/>
      <c r="HN88" s="926"/>
      <c r="HO88" s="926"/>
      <c r="HP88" s="926"/>
      <c r="HQ88" s="926"/>
      <c r="HR88" s="926"/>
      <c r="HS88" s="926"/>
      <c r="HT88" s="926"/>
      <c r="HU88" s="926"/>
      <c r="HV88" s="926"/>
      <c r="HW88" s="926"/>
      <c r="HX88" s="926"/>
      <c r="HY88" s="926"/>
      <c r="HZ88" s="926"/>
      <c r="IA88" s="926"/>
      <c r="IB88" s="926"/>
      <c r="IC88" s="926"/>
      <c r="ID88" s="926"/>
      <c r="IE88" s="926"/>
      <c r="IF88" s="926"/>
      <c r="IG88" s="926"/>
      <c r="IH88" s="926"/>
      <c r="II88" s="926"/>
      <c r="IJ88" s="926"/>
      <c r="IK88" s="926"/>
      <c r="IL88" s="926"/>
      <c r="IM88" s="926"/>
    </row>
    <row r="89" spans="1:247" x14ac:dyDescent="0.45">
      <c r="A89" s="441">
        <v>2242</v>
      </c>
      <c r="B89" s="939" t="s">
        <v>2624</v>
      </c>
      <c r="C89" s="47" t="s">
        <v>35</v>
      </c>
      <c r="D89" s="449" t="s">
        <v>2537</v>
      </c>
      <c r="E89" s="946"/>
      <c r="F89" s="941">
        <f t="shared" si="0"/>
        <v>1.0209999999999999</v>
      </c>
      <c r="G89" s="947">
        <f t="shared" si="7"/>
        <v>1.0269999999999999</v>
      </c>
      <c r="H89" s="946"/>
      <c r="I89" s="948"/>
      <c r="J89" s="948"/>
      <c r="K89" s="948"/>
      <c r="L89" s="948"/>
      <c r="M89" s="948"/>
      <c r="N89" s="947"/>
      <c r="O89" s="949"/>
      <c r="P89" s="946">
        <f t="shared" si="14"/>
        <v>1.032</v>
      </c>
      <c r="Q89" s="947">
        <f t="shared" si="15"/>
        <v>1.0349999999999999</v>
      </c>
      <c r="R89" s="950">
        <f t="shared" si="1"/>
        <v>1.1199953840399997</v>
      </c>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26"/>
      <c r="AQ89" s="926"/>
      <c r="AR89" s="926"/>
      <c r="AS89" s="926"/>
      <c r="AT89" s="926"/>
      <c r="AU89" s="926"/>
      <c r="AV89" s="926"/>
      <c r="AW89" s="926"/>
      <c r="AX89" s="926"/>
      <c r="AY89" s="926"/>
      <c r="AZ89" s="926"/>
      <c r="BA89" s="926"/>
      <c r="BB89" s="926"/>
      <c r="BC89" s="926"/>
      <c r="BD89" s="926"/>
      <c r="BE89" s="926"/>
      <c r="BF89" s="926"/>
      <c r="BG89" s="926"/>
      <c r="BH89" s="926"/>
      <c r="BI89" s="926"/>
      <c r="BJ89" s="926"/>
      <c r="BK89" s="926"/>
      <c r="BL89" s="926"/>
      <c r="BM89" s="926"/>
      <c r="BN89" s="926"/>
      <c r="BO89" s="926"/>
      <c r="BP89" s="926"/>
      <c r="BQ89" s="926"/>
      <c r="BR89" s="926"/>
      <c r="BS89" s="926"/>
      <c r="BT89" s="926"/>
      <c r="BU89" s="926"/>
      <c r="BV89" s="926"/>
      <c r="BW89" s="926"/>
      <c r="BX89" s="926"/>
      <c r="BY89" s="926"/>
      <c r="BZ89" s="926"/>
      <c r="CA89" s="926"/>
      <c r="CB89" s="926"/>
      <c r="CC89" s="926"/>
      <c r="CD89" s="926"/>
      <c r="CE89" s="926"/>
      <c r="CF89" s="926"/>
      <c r="CG89" s="926"/>
      <c r="CH89" s="926"/>
      <c r="CI89" s="926"/>
      <c r="CJ89" s="926"/>
      <c r="CK89" s="926"/>
      <c r="CL89" s="926"/>
      <c r="CM89" s="926"/>
      <c r="CN89" s="926"/>
      <c r="CO89" s="926"/>
      <c r="CP89" s="926"/>
      <c r="CQ89" s="926"/>
      <c r="CR89" s="926"/>
      <c r="CS89" s="926"/>
      <c r="CT89" s="926"/>
      <c r="CU89" s="926"/>
      <c r="CV89" s="926"/>
      <c r="CW89" s="926"/>
      <c r="CX89" s="926"/>
      <c r="CY89" s="926"/>
      <c r="CZ89" s="926"/>
      <c r="DA89" s="926"/>
      <c r="DB89" s="926"/>
      <c r="DC89" s="926"/>
      <c r="DD89" s="926"/>
      <c r="DE89" s="926"/>
      <c r="DF89" s="926"/>
      <c r="DG89" s="926"/>
      <c r="DH89" s="926"/>
      <c r="DI89" s="926"/>
      <c r="DJ89" s="926"/>
      <c r="DK89" s="926"/>
      <c r="DL89" s="926"/>
      <c r="DM89" s="926"/>
      <c r="DN89" s="926"/>
      <c r="DO89" s="926"/>
      <c r="DP89" s="926"/>
      <c r="DQ89" s="926"/>
      <c r="DR89" s="926"/>
      <c r="DS89" s="926"/>
      <c r="DT89" s="926"/>
      <c r="DU89" s="926"/>
      <c r="DV89" s="926"/>
      <c r="DW89" s="926"/>
      <c r="DX89" s="926"/>
      <c r="DY89" s="926"/>
      <c r="DZ89" s="926"/>
      <c r="EA89" s="926"/>
      <c r="EB89" s="926"/>
      <c r="EC89" s="926"/>
      <c r="ED89" s="926"/>
      <c r="EE89" s="926"/>
      <c r="EF89" s="926"/>
      <c r="EG89" s="926"/>
      <c r="EH89" s="926"/>
      <c r="EI89" s="926"/>
      <c r="EJ89" s="926"/>
      <c r="EK89" s="926"/>
      <c r="EL89" s="926"/>
      <c r="EM89" s="926"/>
      <c r="EN89" s="926"/>
      <c r="EO89" s="926"/>
      <c r="EP89" s="926"/>
      <c r="EQ89" s="926"/>
      <c r="ER89" s="926"/>
      <c r="ES89" s="926"/>
      <c r="ET89" s="926"/>
      <c r="EU89" s="926"/>
      <c r="EV89" s="926"/>
      <c r="EW89" s="926"/>
      <c r="EX89" s="926"/>
      <c r="EY89" s="926"/>
      <c r="EZ89" s="926"/>
      <c r="FA89" s="926"/>
      <c r="FB89" s="926"/>
      <c r="FC89" s="926"/>
      <c r="FD89" s="926"/>
      <c r="FE89" s="926"/>
      <c r="FF89" s="926"/>
      <c r="FG89" s="926"/>
      <c r="FH89" s="926"/>
      <c r="FI89" s="926"/>
      <c r="FJ89" s="926"/>
      <c r="FK89" s="926"/>
      <c r="FL89" s="926"/>
      <c r="FM89" s="926"/>
      <c r="FN89" s="926"/>
      <c r="FO89" s="926"/>
      <c r="FP89" s="926"/>
      <c r="FQ89" s="926"/>
      <c r="FR89" s="926"/>
      <c r="FS89" s="926"/>
      <c r="FT89" s="926"/>
      <c r="FU89" s="926"/>
      <c r="FV89" s="926"/>
      <c r="FW89" s="926"/>
      <c r="FX89" s="926"/>
      <c r="FY89" s="926"/>
      <c r="FZ89" s="926"/>
      <c r="GA89" s="926"/>
      <c r="GB89" s="926"/>
      <c r="GC89" s="926"/>
      <c r="GD89" s="926"/>
      <c r="GE89" s="926"/>
      <c r="GF89" s="926"/>
      <c r="GG89" s="926"/>
      <c r="GH89" s="926"/>
      <c r="GI89" s="926"/>
      <c r="GJ89" s="926"/>
      <c r="GK89" s="926"/>
      <c r="GL89" s="926"/>
      <c r="GM89" s="926"/>
      <c r="GN89" s="926"/>
      <c r="GO89" s="926"/>
      <c r="GP89" s="926"/>
      <c r="GQ89" s="926"/>
      <c r="GR89" s="926"/>
      <c r="GS89" s="926"/>
      <c r="GT89" s="926"/>
      <c r="GU89" s="926"/>
      <c r="GV89" s="926"/>
      <c r="GW89" s="926"/>
      <c r="GX89" s="926"/>
      <c r="GY89" s="926"/>
      <c r="GZ89" s="926"/>
      <c r="HA89" s="926"/>
      <c r="HB89" s="926"/>
      <c r="HC89" s="926"/>
      <c r="HD89" s="926"/>
      <c r="HE89" s="926"/>
      <c r="HF89" s="926"/>
      <c r="HG89" s="926"/>
      <c r="HH89" s="926"/>
      <c r="HI89" s="926"/>
      <c r="HJ89" s="926"/>
      <c r="HK89" s="926"/>
      <c r="HL89" s="926"/>
      <c r="HM89" s="926"/>
      <c r="HN89" s="926"/>
      <c r="HO89" s="926"/>
      <c r="HP89" s="926"/>
      <c r="HQ89" s="926"/>
      <c r="HR89" s="926"/>
      <c r="HS89" s="926"/>
      <c r="HT89" s="926"/>
      <c r="HU89" s="926"/>
      <c r="HV89" s="926"/>
      <c r="HW89" s="926"/>
      <c r="HX89" s="926"/>
      <c r="HY89" s="926"/>
      <c r="HZ89" s="926"/>
      <c r="IA89" s="926"/>
      <c r="IB89" s="926"/>
      <c r="IC89" s="926"/>
      <c r="ID89" s="926"/>
      <c r="IE89" s="926"/>
      <c r="IF89" s="926"/>
      <c r="IG89" s="926"/>
      <c r="IH89" s="926"/>
      <c r="II89" s="926"/>
      <c r="IJ89" s="926"/>
      <c r="IK89" s="926"/>
      <c r="IL89" s="926"/>
      <c r="IM89" s="926"/>
    </row>
    <row r="90" spans="1:247" x14ac:dyDescent="0.45">
      <c r="A90" s="441">
        <v>2251</v>
      </c>
      <c r="B90" s="939" t="s">
        <v>2625</v>
      </c>
      <c r="C90" s="47" t="s">
        <v>35</v>
      </c>
      <c r="D90" s="449" t="s">
        <v>2545</v>
      </c>
      <c r="E90" s="946"/>
      <c r="F90" s="941">
        <f t="shared" si="0"/>
        <v>1.0209999999999999</v>
      </c>
      <c r="G90" s="947">
        <f t="shared" si="7"/>
        <v>1.0269999999999999</v>
      </c>
      <c r="H90" s="946">
        <f>+$H$3</f>
        <v>1.0029999999999999</v>
      </c>
      <c r="I90" s="948">
        <f>+$I$3</f>
        <v>1.0289999999999999</v>
      </c>
      <c r="J90" s="948">
        <f>+$J$3</f>
        <v>1.0049999999999999</v>
      </c>
      <c r="K90" s="948"/>
      <c r="L90" s="948"/>
      <c r="M90" s="948">
        <f>+$M$3</f>
        <v>1.0029999999999999</v>
      </c>
      <c r="N90" s="947">
        <f>+$N$3</f>
        <v>1.0029999999999999</v>
      </c>
      <c r="O90" s="949">
        <f>+$O$3</f>
        <v>1.0209999999999999</v>
      </c>
      <c r="P90" s="946">
        <f t="shared" si="14"/>
        <v>1.032</v>
      </c>
      <c r="Q90" s="947">
        <f t="shared" si="15"/>
        <v>1.0349999999999999</v>
      </c>
      <c r="R90" s="950">
        <f t="shared" si="1"/>
        <v>1.1932356231980656</v>
      </c>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26"/>
      <c r="AQ90" s="926"/>
      <c r="AR90" s="926"/>
      <c r="AS90" s="926"/>
      <c r="AT90" s="926"/>
      <c r="AU90" s="926"/>
      <c r="AV90" s="926"/>
      <c r="AW90" s="926"/>
      <c r="AX90" s="926"/>
      <c r="AY90" s="926"/>
      <c r="AZ90" s="926"/>
      <c r="BA90" s="926"/>
      <c r="BB90" s="926"/>
      <c r="BC90" s="926"/>
      <c r="BD90" s="926"/>
      <c r="BE90" s="926"/>
      <c r="BF90" s="926"/>
      <c r="BG90" s="926"/>
      <c r="BH90" s="926"/>
      <c r="BI90" s="926"/>
      <c r="BJ90" s="926"/>
      <c r="BK90" s="926"/>
      <c r="BL90" s="926"/>
      <c r="BM90" s="926"/>
      <c r="BN90" s="926"/>
      <c r="BO90" s="926"/>
      <c r="BP90" s="926"/>
      <c r="BQ90" s="926"/>
      <c r="BR90" s="926"/>
      <c r="BS90" s="926"/>
      <c r="BT90" s="926"/>
      <c r="BU90" s="926"/>
      <c r="BV90" s="926"/>
      <c r="BW90" s="926"/>
      <c r="BX90" s="926"/>
      <c r="BY90" s="926"/>
      <c r="BZ90" s="926"/>
      <c r="CA90" s="926"/>
      <c r="CB90" s="926"/>
      <c r="CC90" s="926"/>
      <c r="CD90" s="926"/>
      <c r="CE90" s="926"/>
      <c r="CF90" s="926"/>
      <c r="CG90" s="926"/>
      <c r="CH90" s="926"/>
      <c r="CI90" s="926"/>
      <c r="CJ90" s="926"/>
      <c r="CK90" s="926"/>
      <c r="CL90" s="926"/>
      <c r="CM90" s="926"/>
      <c r="CN90" s="926"/>
      <c r="CO90" s="926"/>
      <c r="CP90" s="926"/>
      <c r="CQ90" s="926"/>
      <c r="CR90" s="926"/>
      <c r="CS90" s="926"/>
      <c r="CT90" s="926"/>
      <c r="CU90" s="926"/>
      <c r="CV90" s="926"/>
      <c r="CW90" s="926"/>
      <c r="CX90" s="926"/>
      <c r="CY90" s="926"/>
      <c r="CZ90" s="926"/>
      <c r="DA90" s="926"/>
      <c r="DB90" s="926"/>
      <c r="DC90" s="926"/>
      <c r="DD90" s="926"/>
      <c r="DE90" s="926"/>
      <c r="DF90" s="926"/>
      <c r="DG90" s="926"/>
      <c r="DH90" s="926"/>
      <c r="DI90" s="926"/>
      <c r="DJ90" s="926"/>
      <c r="DK90" s="926"/>
      <c r="DL90" s="926"/>
      <c r="DM90" s="926"/>
      <c r="DN90" s="926"/>
      <c r="DO90" s="926"/>
      <c r="DP90" s="926"/>
      <c r="DQ90" s="926"/>
      <c r="DR90" s="926"/>
      <c r="DS90" s="926"/>
      <c r="DT90" s="926"/>
      <c r="DU90" s="926"/>
      <c r="DV90" s="926"/>
      <c r="DW90" s="926"/>
      <c r="DX90" s="926"/>
      <c r="DY90" s="926"/>
      <c r="DZ90" s="926"/>
      <c r="EA90" s="926"/>
      <c r="EB90" s="926"/>
      <c r="EC90" s="926"/>
      <c r="ED90" s="926"/>
      <c r="EE90" s="926"/>
      <c r="EF90" s="926"/>
      <c r="EG90" s="926"/>
      <c r="EH90" s="926"/>
      <c r="EI90" s="926"/>
      <c r="EJ90" s="926"/>
      <c r="EK90" s="926"/>
      <c r="EL90" s="926"/>
      <c r="EM90" s="926"/>
      <c r="EN90" s="926"/>
      <c r="EO90" s="926"/>
      <c r="EP90" s="926"/>
      <c r="EQ90" s="926"/>
      <c r="ER90" s="926"/>
      <c r="ES90" s="926"/>
      <c r="ET90" s="926"/>
      <c r="EU90" s="926"/>
      <c r="EV90" s="926"/>
      <c r="EW90" s="926"/>
      <c r="EX90" s="926"/>
      <c r="EY90" s="926"/>
      <c r="EZ90" s="926"/>
      <c r="FA90" s="926"/>
      <c r="FB90" s="926"/>
      <c r="FC90" s="926"/>
      <c r="FD90" s="926"/>
      <c r="FE90" s="926"/>
      <c r="FF90" s="926"/>
      <c r="FG90" s="926"/>
      <c r="FH90" s="926"/>
      <c r="FI90" s="926"/>
      <c r="FJ90" s="926"/>
      <c r="FK90" s="926"/>
      <c r="FL90" s="926"/>
      <c r="FM90" s="926"/>
      <c r="FN90" s="926"/>
      <c r="FO90" s="926"/>
      <c r="FP90" s="926"/>
      <c r="FQ90" s="926"/>
      <c r="FR90" s="926"/>
      <c r="FS90" s="926"/>
      <c r="FT90" s="926"/>
      <c r="FU90" s="926"/>
      <c r="FV90" s="926"/>
      <c r="FW90" s="926"/>
      <c r="FX90" s="926"/>
      <c r="FY90" s="926"/>
      <c r="FZ90" s="926"/>
      <c r="GA90" s="926"/>
      <c r="GB90" s="926"/>
      <c r="GC90" s="926"/>
      <c r="GD90" s="926"/>
      <c r="GE90" s="926"/>
      <c r="GF90" s="926"/>
      <c r="GG90" s="926"/>
      <c r="GH90" s="926"/>
      <c r="GI90" s="926"/>
      <c r="GJ90" s="926"/>
      <c r="GK90" s="926"/>
      <c r="GL90" s="926"/>
      <c r="GM90" s="926"/>
      <c r="GN90" s="926"/>
      <c r="GO90" s="926"/>
      <c r="GP90" s="926"/>
      <c r="GQ90" s="926"/>
      <c r="GR90" s="926"/>
      <c r="GS90" s="926"/>
      <c r="GT90" s="926"/>
      <c r="GU90" s="926"/>
      <c r="GV90" s="926"/>
      <c r="GW90" s="926"/>
      <c r="GX90" s="926"/>
      <c r="GY90" s="926"/>
      <c r="GZ90" s="926"/>
      <c r="HA90" s="926"/>
      <c r="HB90" s="926"/>
      <c r="HC90" s="926"/>
      <c r="HD90" s="926"/>
      <c r="HE90" s="926"/>
      <c r="HF90" s="926"/>
      <c r="HG90" s="926"/>
      <c r="HH90" s="926"/>
      <c r="HI90" s="926"/>
      <c r="HJ90" s="926"/>
      <c r="HK90" s="926"/>
      <c r="HL90" s="926"/>
      <c r="HM90" s="926"/>
      <c r="HN90" s="926"/>
      <c r="HO90" s="926"/>
      <c r="HP90" s="926"/>
      <c r="HQ90" s="926"/>
      <c r="HR90" s="926"/>
      <c r="HS90" s="926"/>
      <c r="HT90" s="926"/>
      <c r="HU90" s="926"/>
      <c r="HV90" s="926"/>
      <c r="HW90" s="926"/>
      <c r="HX90" s="926"/>
      <c r="HY90" s="926"/>
      <c r="HZ90" s="926"/>
      <c r="IA90" s="926"/>
      <c r="IB90" s="926"/>
      <c r="IC90" s="926"/>
      <c r="ID90" s="926"/>
      <c r="IE90" s="926"/>
      <c r="IF90" s="926"/>
      <c r="IG90" s="926"/>
      <c r="IH90" s="926"/>
      <c r="II90" s="926"/>
      <c r="IJ90" s="926"/>
      <c r="IK90" s="926"/>
      <c r="IL90" s="926"/>
      <c r="IM90" s="926"/>
    </row>
    <row r="91" spans="1:247" x14ac:dyDescent="0.45">
      <c r="A91" s="441">
        <v>2252</v>
      </c>
      <c r="B91" s="939" t="s">
        <v>2626</v>
      </c>
      <c r="C91" s="47" t="s">
        <v>35</v>
      </c>
      <c r="D91" s="449" t="s">
        <v>2537</v>
      </c>
      <c r="E91" s="946"/>
      <c r="F91" s="941">
        <v>1.0209999999999999</v>
      </c>
      <c r="G91" s="947">
        <v>1.0269999999999999</v>
      </c>
      <c r="H91" s="946">
        <v>1.0029999999999999</v>
      </c>
      <c r="I91" s="948">
        <v>1.0289999999999999</v>
      </c>
      <c r="J91" s="948">
        <v>1.0049999999999999</v>
      </c>
      <c r="K91" s="948"/>
      <c r="L91" s="948"/>
      <c r="M91" s="948">
        <v>1.0029999999999999</v>
      </c>
      <c r="N91" s="947">
        <v>1.0029999999999999</v>
      </c>
      <c r="O91" s="949">
        <v>1.0209999999999999</v>
      </c>
      <c r="P91" s="946">
        <v>1.032</v>
      </c>
      <c r="Q91" s="947">
        <v>1.0349999999999999</v>
      </c>
      <c r="R91" s="950">
        <v>1.1932356231980656</v>
      </c>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926"/>
      <c r="AY91" s="926"/>
      <c r="AZ91" s="926"/>
      <c r="BA91" s="926"/>
      <c r="BB91" s="926"/>
      <c r="BC91" s="926"/>
      <c r="BD91" s="926"/>
      <c r="BE91" s="926"/>
      <c r="BF91" s="926"/>
      <c r="BG91" s="926"/>
      <c r="BH91" s="926"/>
      <c r="BI91" s="926"/>
      <c r="BJ91" s="926"/>
      <c r="BK91" s="926"/>
      <c r="BL91" s="926"/>
      <c r="BM91" s="926"/>
      <c r="BN91" s="926"/>
      <c r="BO91" s="926"/>
      <c r="BP91" s="926"/>
      <c r="BQ91" s="926"/>
      <c r="BR91" s="926"/>
      <c r="BS91" s="926"/>
      <c r="BT91" s="926"/>
      <c r="BU91" s="926"/>
      <c r="BV91" s="926"/>
      <c r="BW91" s="926"/>
      <c r="BX91" s="926"/>
      <c r="BY91" s="926"/>
      <c r="BZ91" s="926"/>
      <c r="CA91" s="926"/>
      <c r="CB91" s="926"/>
      <c r="CC91" s="926"/>
      <c r="CD91" s="926"/>
      <c r="CE91" s="926"/>
      <c r="CF91" s="926"/>
      <c r="CG91" s="926"/>
      <c r="CH91" s="926"/>
      <c r="CI91" s="926"/>
      <c r="CJ91" s="926"/>
      <c r="CK91" s="926"/>
      <c r="CL91" s="926"/>
      <c r="CM91" s="926"/>
      <c r="CN91" s="926"/>
      <c r="CO91" s="926"/>
      <c r="CP91" s="926"/>
      <c r="CQ91" s="926"/>
      <c r="CR91" s="926"/>
      <c r="CS91" s="926"/>
      <c r="CT91" s="926"/>
      <c r="CU91" s="926"/>
      <c r="CV91" s="926"/>
      <c r="CW91" s="926"/>
      <c r="CX91" s="926"/>
      <c r="CY91" s="926"/>
      <c r="CZ91" s="926"/>
      <c r="DA91" s="926"/>
      <c r="DB91" s="926"/>
      <c r="DC91" s="926"/>
      <c r="DD91" s="926"/>
      <c r="DE91" s="926"/>
      <c r="DF91" s="926"/>
      <c r="DG91" s="926"/>
      <c r="DH91" s="926"/>
      <c r="DI91" s="926"/>
      <c r="DJ91" s="926"/>
      <c r="DK91" s="926"/>
      <c r="DL91" s="926"/>
      <c r="DM91" s="926"/>
      <c r="DN91" s="926"/>
      <c r="DO91" s="926"/>
      <c r="DP91" s="926"/>
      <c r="DQ91" s="926"/>
      <c r="DR91" s="926"/>
      <c r="DS91" s="926"/>
      <c r="DT91" s="926"/>
      <c r="DU91" s="926"/>
      <c r="DV91" s="926"/>
      <c r="DW91" s="926"/>
      <c r="DX91" s="926"/>
      <c r="DY91" s="926"/>
      <c r="DZ91" s="926"/>
      <c r="EA91" s="926"/>
      <c r="EB91" s="926"/>
      <c r="EC91" s="926"/>
      <c r="ED91" s="926"/>
      <c r="EE91" s="926"/>
      <c r="EF91" s="926"/>
      <c r="EG91" s="926"/>
      <c r="EH91" s="926"/>
      <c r="EI91" s="926"/>
      <c r="EJ91" s="926"/>
      <c r="EK91" s="926"/>
      <c r="EL91" s="926"/>
      <c r="EM91" s="926"/>
      <c r="EN91" s="926"/>
      <c r="EO91" s="926"/>
      <c r="EP91" s="926"/>
      <c r="EQ91" s="926"/>
      <c r="ER91" s="926"/>
      <c r="ES91" s="926"/>
      <c r="ET91" s="926"/>
      <c r="EU91" s="926"/>
      <c r="EV91" s="926"/>
      <c r="EW91" s="926"/>
      <c r="EX91" s="926"/>
      <c r="EY91" s="926"/>
      <c r="EZ91" s="926"/>
      <c r="FA91" s="926"/>
      <c r="FB91" s="926"/>
      <c r="FC91" s="926"/>
      <c r="FD91" s="926"/>
      <c r="FE91" s="926"/>
      <c r="FF91" s="926"/>
      <c r="FG91" s="926"/>
      <c r="FH91" s="926"/>
      <c r="FI91" s="926"/>
      <c r="FJ91" s="926"/>
      <c r="FK91" s="926"/>
      <c r="FL91" s="926"/>
      <c r="FM91" s="926"/>
      <c r="FN91" s="926"/>
      <c r="FO91" s="926"/>
      <c r="FP91" s="926"/>
      <c r="FQ91" s="926"/>
      <c r="FR91" s="926"/>
      <c r="FS91" s="926"/>
      <c r="FT91" s="926"/>
      <c r="FU91" s="926"/>
      <c r="FV91" s="926"/>
      <c r="FW91" s="926"/>
      <c r="FX91" s="926"/>
      <c r="FY91" s="926"/>
      <c r="FZ91" s="926"/>
      <c r="GA91" s="926"/>
      <c r="GB91" s="926"/>
      <c r="GC91" s="926"/>
      <c r="GD91" s="926"/>
      <c r="GE91" s="926"/>
      <c r="GF91" s="926"/>
      <c r="GG91" s="926"/>
      <c r="GH91" s="926"/>
      <c r="GI91" s="926"/>
      <c r="GJ91" s="926"/>
      <c r="GK91" s="926"/>
      <c r="GL91" s="926"/>
      <c r="GM91" s="926"/>
      <c r="GN91" s="926"/>
      <c r="GO91" s="926"/>
      <c r="GP91" s="926"/>
      <c r="GQ91" s="926"/>
      <c r="GR91" s="926"/>
      <c r="GS91" s="926"/>
      <c r="GT91" s="926"/>
      <c r="GU91" s="926"/>
      <c r="GV91" s="926"/>
      <c r="GW91" s="926"/>
      <c r="GX91" s="926"/>
      <c r="GY91" s="926"/>
      <c r="GZ91" s="926"/>
      <c r="HA91" s="926"/>
      <c r="HB91" s="926"/>
      <c r="HC91" s="926"/>
      <c r="HD91" s="926"/>
      <c r="HE91" s="926"/>
      <c r="HF91" s="926"/>
      <c r="HG91" s="926"/>
      <c r="HH91" s="926"/>
      <c r="HI91" s="926"/>
      <c r="HJ91" s="926"/>
      <c r="HK91" s="926"/>
      <c r="HL91" s="926"/>
      <c r="HM91" s="926"/>
      <c r="HN91" s="926"/>
      <c r="HO91" s="926"/>
      <c r="HP91" s="926"/>
      <c r="HQ91" s="926"/>
      <c r="HR91" s="926"/>
      <c r="HS91" s="926"/>
      <c r="HT91" s="926"/>
      <c r="HU91" s="926"/>
      <c r="HV91" s="926"/>
      <c r="HW91" s="926"/>
      <c r="HX91" s="926"/>
      <c r="HY91" s="926"/>
      <c r="HZ91" s="926"/>
      <c r="IA91" s="926"/>
      <c r="IB91" s="926"/>
      <c r="IC91" s="926"/>
      <c r="ID91" s="926"/>
      <c r="IE91" s="926"/>
      <c r="IF91" s="926"/>
      <c r="IG91" s="926"/>
      <c r="IH91" s="926"/>
      <c r="II91" s="926"/>
      <c r="IJ91" s="926"/>
      <c r="IK91" s="926"/>
      <c r="IL91" s="926"/>
      <c r="IM91" s="926"/>
    </row>
    <row r="92" spans="1:247" x14ac:dyDescent="0.45">
      <c r="A92" s="441">
        <v>2261</v>
      </c>
      <c r="B92" s="939" t="s">
        <v>2627</v>
      </c>
      <c r="C92" s="47" t="s">
        <v>35</v>
      </c>
      <c r="D92" s="449" t="s">
        <v>2545</v>
      </c>
      <c r="E92" s="946"/>
      <c r="F92" s="941">
        <f t="shared" si="0"/>
        <v>1.0209999999999999</v>
      </c>
      <c r="G92" s="947">
        <f t="shared" si="7"/>
        <v>1.0269999999999999</v>
      </c>
      <c r="H92" s="946">
        <f>+$H$3</f>
        <v>1.0029999999999999</v>
      </c>
      <c r="I92" s="948">
        <f>+$I$3</f>
        <v>1.0289999999999999</v>
      </c>
      <c r="J92" s="948">
        <f>+$J$3</f>
        <v>1.0049999999999999</v>
      </c>
      <c r="K92" s="948"/>
      <c r="L92" s="948"/>
      <c r="M92" s="948">
        <f>+$M$3</f>
        <v>1.0029999999999999</v>
      </c>
      <c r="N92" s="947">
        <f>+$N$3</f>
        <v>1.0029999999999999</v>
      </c>
      <c r="O92" s="949">
        <f>+$O$3</f>
        <v>1.0209999999999999</v>
      </c>
      <c r="P92" s="946">
        <f t="shared" si="14"/>
        <v>1.032</v>
      </c>
      <c r="Q92" s="947">
        <f t="shared" si="15"/>
        <v>1.0349999999999999</v>
      </c>
      <c r="R92" s="950">
        <f t="shared" si="1"/>
        <v>1.1932356231980656</v>
      </c>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6"/>
      <c r="AV92" s="926"/>
      <c r="AW92" s="926"/>
      <c r="AX92" s="926"/>
      <c r="AY92" s="926"/>
      <c r="AZ92" s="926"/>
      <c r="BA92" s="926"/>
      <c r="BB92" s="926"/>
      <c r="BC92" s="926"/>
      <c r="BD92" s="926"/>
      <c r="BE92" s="926"/>
      <c r="BF92" s="926"/>
      <c r="BG92" s="926"/>
      <c r="BH92" s="926"/>
      <c r="BI92" s="926"/>
      <c r="BJ92" s="926"/>
      <c r="BK92" s="926"/>
      <c r="BL92" s="926"/>
      <c r="BM92" s="926"/>
      <c r="BN92" s="926"/>
      <c r="BO92" s="926"/>
      <c r="BP92" s="926"/>
      <c r="BQ92" s="926"/>
      <c r="BR92" s="926"/>
      <c r="BS92" s="926"/>
      <c r="BT92" s="926"/>
      <c r="BU92" s="926"/>
      <c r="BV92" s="926"/>
      <c r="BW92" s="926"/>
      <c r="BX92" s="926"/>
      <c r="BY92" s="926"/>
      <c r="BZ92" s="926"/>
      <c r="CA92" s="926"/>
      <c r="CB92" s="926"/>
      <c r="CC92" s="926"/>
      <c r="CD92" s="926"/>
      <c r="CE92" s="926"/>
      <c r="CF92" s="926"/>
      <c r="CG92" s="926"/>
      <c r="CH92" s="926"/>
      <c r="CI92" s="926"/>
      <c r="CJ92" s="926"/>
      <c r="CK92" s="926"/>
      <c r="CL92" s="926"/>
      <c r="CM92" s="926"/>
      <c r="CN92" s="926"/>
      <c r="CO92" s="926"/>
      <c r="CP92" s="926"/>
      <c r="CQ92" s="926"/>
      <c r="CR92" s="926"/>
      <c r="CS92" s="926"/>
      <c r="CT92" s="926"/>
      <c r="CU92" s="926"/>
      <c r="CV92" s="926"/>
      <c r="CW92" s="926"/>
      <c r="CX92" s="926"/>
      <c r="CY92" s="926"/>
      <c r="CZ92" s="926"/>
      <c r="DA92" s="926"/>
      <c r="DB92" s="926"/>
      <c r="DC92" s="926"/>
      <c r="DD92" s="926"/>
      <c r="DE92" s="926"/>
      <c r="DF92" s="926"/>
      <c r="DG92" s="926"/>
      <c r="DH92" s="926"/>
      <c r="DI92" s="926"/>
      <c r="DJ92" s="926"/>
      <c r="DK92" s="926"/>
      <c r="DL92" s="926"/>
      <c r="DM92" s="926"/>
      <c r="DN92" s="926"/>
      <c r="DO92" s="926"/>
      <c r="DP92" s="926"/>
      <c r="DQ92" s="926"/>
      <c r="DR92" s="926"/>
      <c r="DS92" s="926"/>
      <c r="DT92" s="926"/>
      <c r="DU92" s="926"/>
      <c r="DV92" s="926"/>
      <c r="DW92" s="926"/>
      <c r="DX92" s="926"/>
      <c r="DY92" s="926"/>
      <c r="DZ92" s="926"/>
      <c r="EA92" s="926"/>
      <c r="EB92" s="926"/>
      <c r="EC92" s="926"/>
      <c r="ED92" s="926"/>
      <c r="EE92" s="926"/>
      <c r="EF92" s="926"/>
      <c r="EG92" s="926"/>
      <c r="EH92" s="926"/>
      <c r="EI92" s="926"/>
      <c r="EJ92" s="926"/>
      <c r="EK92" s="926"/>
      <c r="EL92" s="926"/>
      <c r="EM92" s="926"/>
      <c r="EN92" s="926"/>
      <c r="EO92" s="926"/>
      <c r="EP92" s="926"/>
      <c r="EQ92" s="926"/>
      <c r="ER92" s="926"/>
      <c r="ES92" s="926"/>
      <c r="ET92" s="926"/>
      <c r="EU92" s="926"/>
      <c r="EV92" s="926"/>
      <c r="EW92" s="926"/>
      <c r="EX92" s="926"/>
      <c r="EY92" s="926"/>
      <c r="EZ92" s="926"/>
      <c r="FA92" s="926"/>
      <c r="FB92" s="926"/>
      <c r="FC92" s="926"/>
      <c r="FD92" s="926"/>
      <c r="FE92" s="926"/>
      <c r="FF92" s="926"/>
      <c r="FG92" s="926"/>
      <c r="FH92" s="926"/>
      <c r="FI92" s="926"/>
      <c r="FJ92" s="926"/>
      <c r="FK92" s="926"/>
      <c r="FL92" s="926"/>
      <c r="FM92" s="926"/>
      <c r="FN92" s="926"/>
      <c r="FO92" s="926"/>
      <c r="FP92" s="926"/>
      <c r="FQ92" s="926"/>
      <c r="FR92" s="926"/>
      <c r="FS92" s="926"/>
      <c r="FT92" s="926"/>
      <c r="FU92" s="926"/>
      <c r="FV92" s="926"/>
      <c r="FW92" s="926"/>
      <c r="FX92" s="926"/>
      <c r="FY92" s="926"/>
      <c r="FZ92" s="926"/>
      <c r="GA92" s="926"/>
      <c r="GB92" s="926"/>
      <c r="GC92" s="926"/>
      <c r="GD92" s="926"/>
      <c r="GE92" s="926"/>
      <c r="GF92" s="926"/>
      <c r="GG92" s="926"/>
      <c r="GH92" s="926"/>
      <c r="GI92" s="926"/>
      <c r="GJ92" s="926"/>
      <c r="GK92" s="926"/>
      <c r="GL92" s="926"/>
      <c r="GM92" s="926"/>
      <c r="GN92" s="926"/>
      <c r="GO92" s="926"/>
      <c r="GP92" s="926"/>
      <c r="GQ92" s="926"/>
      <c r="GR92" s="926"/>
      <c r="GS92" s="926"/>
      <c r="GT92" s="926"/>
      <c r="GU92" s="926"/>
      <c r="GV92" s="926"/>
      <c r="GW92" s="926"/>
      <c r="GX92" s="926"/>
      <c r="GY92" s="926"/>
      <c r="GZ92" s="926"/>
      <c r="HA92" s="926"/>
      <c r="HB92" s="926"/>
      <c r="HC92" s="926"/>
      <c r="HD92" s="926"/>
      <c r="HE92" s="926"/>
      <c r="HF92" s="926"/>
      <c r="HG92" s="926"/>
      <c r="HH92" s="926"/>
      <c r="HI92" s="926"/>
      <c r="HJ92" s="926"/>
      <c r="HK92" s="926"/>
      <c r="HL92" s="926"/>
      <c r="HM92" s="926"/>
      <c r="HN92" s="926"/>
      <c r="HO92" s="926"/>
      <c r="HP92" s="926"/>
      <c r="HQ92" s="926"/>
      <c r="HR92" s="926"/>
      <c r="HS92" s="926"/>
      <c r="HT92" s="926"/>
      <c r="HU92" s="926"/>
      <c r="HV92" s="926"/>
      <c r="HW92" s="926"/>
      <c r="HX92" s="926"/>
      <c r="HY92" s="926"/>
      <c r="HZ92" s="926"/>
      <c r="IA92" s="926"/>
      <c r="IB92" s="926"/>
      <c r="IC92" s="926"/>
      <c r="ID92" s="926"/>
      <c r="IE92" s="926"/>
      <c r="IF92" s="926"/>
      <c r="IG92" s="926"/>
      <c r="IH92" s="926"/>
      <c r="II92" s="926"/>
      <c r="IJ92" s="926"/>
      <c r="IK92" s="926"/>
      <c r="IL92" s="926"/>
      <c r="IM92" s="926"/>
    </row>
    <row r="93" spans="1:247" x14ac:dyDescent="0.45">
      <c r="A93" s="441">
        <v>2262</v>
      </c>
      <c r="B93" s="939" t="s">
        <v>2628</v>
      </c>
      <c r="C93" s="47" t="s">
        <v>35</v>
      </c>
      <c r="D93" s="449" t="s">
        <v>2537</v>
      </c>
      <c r="E93" s="946"/>
      <c r="F93" s="941">
        <f t="shared" si="0"/>
        <v>1.0209999999999999</v>
      </c>
      <c r="G93" s="947"/>
      <c r="H93" s="946"/>
      <c r="I93" s="948"/>
      <c r="J93" s="948"/>
      <c r="K93" s="948"/>
      <c r="L93" s="948"/>
      <c r="M93" s="948"/>
      <c r="N93" s="947"/>
      <c r="O93" s="949"/>
      <c r="P93" s="946">
        <f t="shared" si="14"/>
        <v>1.032</v>
      </c>
      <c r="Q93" s="947">
        <f t="shared" si="15"/>
        <v>1.0349999999999999</v>
      </c>
      <c r="R93" s="950">
        <f t="shared" si="1"/>
        <v>1.0905505199999999</v>
      </c>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6"/>
      <c r="AV93" s="926"/>
      <c r="AW93" s="926"/>
      <c r="AX93" s="926"/>
      <c r="AY93" s="926"/>
      <c r="AZ93" s="926"/>
      <c r="BA93" s="926"/>
      <c r="BB93" s="926"/>
      <c r="BC93" s="926"/>
      <c r="BD93" s="926"/>
      <c r="BE93" s="926"/>
      <c r="BF93" s="926"/>
      <c r="BG93" s="926"/>
      <c r="BH93" s="926"/>
      <c r="BI93" s="926"/>
      <c r="BJ93" s="926"/>
      <c r="BK93" s="926"/>
      <c r="BL93" s="926"/>
      <c r="BM93" s="926"/>
      <c r="BN93" s="926"/>
      <c r="BO93" s="926"/>
      <c r="BP93" s="926"/>
      <c r="BQ93" s="926"/>
      <c r="BR93" s="926"/>
      <c r="BS93" s="926"/>
      <c r="BT93" s="926"/>
      <c r="BU93" s="926"/>
      <c r="BV93" s="926"/>
      <c r="BW93" s="926"/>
      <c r="BX93" s="926"/>
      <c r="BY93" s="926"/>
      <c r="BZ93" s="926"/>
      <c r="CA93" s="926"/>
      <c r="CB93" s="926"/>
      <c r="CC93" s="926"/>
      <c r="CD93" s="926"/>
      <c r="CE93" s="926"/>
      <c r="CF93" s="926"/>
      <c r="CG93" s="926"/>
      <c r="CH93" s="926"/>
      <c r="CI93" s="926"/>
      <c r="CJ93" s="926"/>
      <c r="CK93" s="926"/>
      <c r="CL93" s="926"/>
      <c r="CM93" s="926"/>
      <c r="CN93" s="926"/>
      <c r="CO93" s="926"/>
      <c r="CP93" s="926"/>
      <c r="CQ93" s="926"/>
      <c r="CR93" s="926"/>
      <c r="CS93" s="926"/>
      <c r="CT93" s="926"/>
      <c r="CU93" s="926"/>
      <c r="CV93" s="926"/>
      <c r="CW93" s="926"/>
      <c r="CX93" s="926"/>
      <c r="CY93" s="926"/>
      <c r="CZ93" s="926"/>
      <c r="DA93" s="926"/>
      <c r="DB93" s="926"/>
      <c r="DC93" s="926"/>
      <c r="DD93" s="926"/>
      <c r="DE93" s="926"/>
      <c r="DF93" s="926"/>
      <c r="DG93" s="926"/>
      <c r="DH93" s="926"/>
      <c r="DI93" s="926"/>
      <c r="DJ93" s="926"/>
      <c r="DK93" s="926"/>
      <c r="DL93" s="926"/>
      <c r="DM93" s="926"/>
      <c r="DN93" s="926"/>
      <c r="DO93" s="926"/>
      <c r="DP93" s="926"/>
      <c r="DQ93" s="926"/>
      <c r="DR93" s="926"/>
      <c r="DS93" s="926"/>
      <c r="DT93" s="926"/>
      <c r="DU93" s="926"/>
      <c r="DV93" s="926"/>
      <c r="DW93" s="926"/>
      <c r="DX93" s="926"/>
      <c r="DY93" s="926"/>
      <c r="DZ93" s="926"/>
      <c r="EA93" s="926"/>
      <c r="EB93" s="926"/>
      <c r="EC93" s="926"/>
      <c r="ED93" s="926"/>
      <c r="EE93" s="926"/>
      <c r="EF93" s="926"/>
      <c r="EG93" s="926"/>
      <c r="EH93" s="926"/>
      <c r="EI93" s="926"/>
      <c r="EJ93" s="926"/>
      <c r="EK93" s="926"/>
      <c r="EL93" s="926"/>
      <c r="EM93" s="926"/>
      <c r="EN93" s="926"/>
      <c r="EO93" s="926"/>
      <c r="EP93" s="926"/>
      <c r="EQ93" s="926"/>
      <c r="ER93" s="926"/>
      <c r="ES93" s="926"/>
      <c r="ET93" s="926"/>
      <c r="EU93" s="926"/>
      <c r="EV93" s="926"/>
      <c r="EW93" s="926"/>
      <c r="EX93" s="926"/>
      <c r="EY93" s="926"/>
      <c r="EZ93" s="926"/>
      <c r="FA93" s="926"/>
      <c r="FB93" s="926"/>
      <c r="FC93" s="926"/>
      <c r="FD93" s="926"/>
      <c r="FE93" s="926"/>
      <c r="FF93" s="926"/>
      <c r="FG93" s="926"/>
      <c r="FH93" s="926"/>
      <c r="FI93" s="926"/>
      <c r="FJ93" s="926"/>
      <c r="FK93" s="926"/>
      <c r="FL93" s="926"/>
      <c r="FM93" s="926"/>
      <c r="FN93" s="926"/>
      <c r="FO93" s="926"/>
      <c r="FP93" s="926"/>
      <c r="FQ93" s="926"/>
      <c r="FR93" s="926"/>
      <c r="FS93" s="926"/>
      <c r="FT93" s="926"/>
      <c r="FU93" s="926"/>
      <c r="FV93" s="926"/>
      <c r="FW93" s="926"/>
      <c r="FX93" s="926"/>
      <c r="FY93" s="926"/>
      <c r="FZ93" s="926"/>
      <c r="GA93" s="926"/>
      <c r="GB93" s="926"/>
      <c r="GC93" s="926"/>
      <c r="GD93" s="926"/>
      <c r="GE93" s="926"/>
      <c r="GF93" s="926"/>
      <c r="GG93" s="926"/>
      <c r="GH93" s="926"/>
      <c r="GI93" s="926"/>
      <c r="GJ93" s="926"/>
      <c r="GK93" s="926"/>
      <c r="GL93" s="926"/>
      <c r="GM93" s="926"/>
      <c r="GN93" s="926"/>
      <c r="GO93" s="926"/>
      <c r="GP93" s="926"/>
      <c r="GQ93" s="926"/>
      <c r="GR93" s="926"/>
      <c r="GS93" s="926"/>
      <c r="GT93" s="926"/>
      <c r="GU93" s="926"/>
      <c r="GV93" s="926"/>
      <c r="GW93" s="926"/>
      <c r="GX93" s="926"/>
      <c r="GY93" s="926"/>
      <c r="GZ93" s="926"/>
      <c r="HA93" s="926"/>
      <c r="HB93" s="926"/>
      <c r="HC93" s="926"/>
      <c r="HD93" s="926"/>
      <c r="HE93" s="926"/>
      <c r="HF93" s="926"/>
      <c r="HG93" s="926"/>
      <c r="HH93" s="926"/>
      <c r="HI93" s="926"/>
      <c r="HJ93" s="926"/>
      <c r="HK93" s="926"/>
      <c r="HL93" s="926"/>
      <c r="HM93" s="926"/>
      <c r="HN93" s="926"/>
      <c r="HO93" s="926"/>
      <c r="HP93" s="926"/>
      <c r="HQ93" s="926"/>
      <c r="HR93" s="926"/>
      <c r="HS93" s="926"/>
      <c r="HT93" s="926"/>
      <c r="HU93" s="926"/>
      <c r="HV93" s="926"/>
      <c r="HW93" s="926"/>
      <c r="HX93" s="926"/>
      <c r="HY93" s="926"/>
      <c r="HZ93" s="926"/>
      <c r="IA93" s="926"/>
      <c r="IB93" s="926"/>
      <c r="IC93" s="926"/>
      <c r="ID93" s="926"/>
      <c r="IE93" s="926"/>
      <c r="IF93" s="926"/>
      <c r="IG93" s="926"/>
      <c r="IH93" s="926"/>
      <c r="II93" s="926"/>
      <c r="IJ93" s="926"/>
      <c r="IK93" s="926"/>
      <c r="IL93" s="926"/>
      <c r="IM93" s="926"/>
    </row>
    <row r="94" spans="1:247" x14ac:dyDescent="0.45">
      <c r="A94" s="441">
        <v>2271</v>
      </c>
      <c r="B94" s="939" t="s">
        <v>2629</v>
      </c>
      <c r="C94" s="47" t="s">
        <v>35</v>
      </c>
      <c r="D94" s="449" t="s">
        <v>2545</v>
      </c>
      <c r="E94" s="946"/>
      <c r="F94" s="941">
        <f t="shared" si="0"/>
        <v>1.0209999999999999</v>
      </c>
      <c r="G94" s="947">
        <f t="shared" ref="G94:G108" si="16">+$G$3</f>
        <v>1.0269999999999999</v>
      </c>
      <c r="H94" s="946">
        <f>+$H$3</f>
        <v>1.0029999999999999</v>
      </c>
      <c r="I94" s="948">
        <f>+$I$3</f>
        <v>1.0289999999999999</v>
      </c>
      <c r="J94" s="948">
        <f>+$J$3</f>
        <v>1.0049999999999999</v>
      </c>
      <c r="K94" s="948"/>
      <c r="L94" s="948"/>
      <c r="M94" s="948">
        <f>+$M$3</f>
        <v>1.0029999999999999</v>
      </c>
      <c r="N94" s="947">
        <f t="shared" ref="N94:N108" si="17">+$N$3</f>
        <v>1.0029999999999999</v>
      </c>
      <c r="O94" s="949">
        <f>+$O$3</f>
        <v>1.0209999999999999</v>
      </c>
      <c r="P94" s="946">
        <f t="shared" si="14"/>
        <v>1.032</v>
      </c>
      <c r="Q94" s="947">
        <f t="shared" si="15"/>
        <v>1.0349999999999999</v>
      </c>
      <c r="R94" s="950">
        <f t="shared" si="1"/>
        <v>1.1932356231980656</v>
      </c>
      <c r="S94" s="926"/>
      <c r="T94" s="926"/>
      <c r="U94" s="926"/>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6"/>
      <c r="AV94" s="926"/>
      <c r="AW94" s="926"/>
      <c r="AX94" s="926"/>
      <c r="AY94" s="926"/>
      <c r="AZ94" s="926"/>
      <c r="BA94" s="926"/>
      <c r="BB94" s="926"/>
      <c r="BC94" s="926"/>
      <c r="BD94" s="926"/>
      <c r="BE94" s="926"/>
      <c r="BF94" s="926"/>
      <c r="BG94" s="926"/>
      <c r="BH94" s="926"/>
      <c r="BI94" s="926"/>
      <c r="BJ94" s="926"/>
      <c r="BK94" s="926"/>
      <c r="BL94" s="926"/>
      <c r="BM94" s="926"/>
      <c r="BN94" s="926"/>
      <c r="BO94" s="926"/>
      <c r="BP94" s="926"/>
      <c r="BQ94" s="926"/>
      <c r="BR94" s="926"/>
      <c r="BS94" s="926"/>
      <c r="BT94" s="926"/>
      <c r="BU94" s="926"/>
      <c r="BV94" s="926"/>
      <c r="BW94" s="926"/>
      <c r="BX94" s="926"/>
      <c r="BY94" s="926"/>
      <c r="BZ94" s="926"/>
      <c r="CA94" s="926"/>
      <c r="CB94" s="926"/>
      <c r="CC94" s="926"/>
      <c r="CD94" s="926"/>
      <c r="CE94" s="926"/>
      <c r="CF94" s="926"/>
      <c r="CG94" s="926"/>
      <c r="CH94" s="926"/>
      <c r="CI94" s="926"/>
      <c r="CJ94" s="926"/>
      <c r="CK94" s="926"/>
      <c r="CL94" s="926"/>
      <c r="CM94" s="926"/>
      <c r="CN94" s="926"/>
      <c r="CO94" s="926"/>
      <c r="CP94" s="926"/>
      <c r="CQ94" s="926"/>
      <c r="CR94" s="926"/>
      <c r="CS94" s="926"/>
      <c r="CT94" s="926"/>
      <c r="CU94" s="926"/>
      <c r="CV94" s="926"/>
      <c r="CW94" s="926"/>
      <c r="CX94" s="926"/>
      <c r="CY94" s="926"/>
      <c r="CZ94" s="926"/>
      <c r="DA94" s="926"/>
      <c r="DB94" s="926"/>
      <c r="DC94" s="926"/>
      <c r="DD94" s="926"/>
      <c r="DE94" s="926"/>
      <c r="DF94" s="926"/>
      <c r="DG94" s="926"/>
      <c r="DH94" s="926"/>
      <c r="DI94" s="926"/>
      <c r="DJ94" s="926"/>
      <c r="DK94" s="926"/>
      <c r="DL94" s="926"/>
      <c r="DM94" s="926"/>
      <c r="DN94" s="926"/>
      <c r="DO94" s="926"/>
      <c r="DP94" s="926"/>
      <c r="DQ94" s="926"/>
      <c r="DR94" s="926"/>
      <c r="DS94" s="926"/>
      <c r="DT94" s="926"/>
      <c r="DU94" s="926"/>
      <c r="DV94" s="926"/>
      <c r="DW94" s="926"/>
      <c r="DX94" s="926"/>
      <c r="DY94" s="926"/>
      <c r="DZ94" s="926"/>
      <c r="EA94" s="926"/>
      <c r="EB94" s="926"/>
      <c r="EC94" s="926"/>
      <c r="ED94" s="926"/>
      <c r="EE94" s="926"/>
      <c r="EF94" s="926"/>
      <c r="EG94" s="926"/>
      <c r="EH94" s="926"/>
      <c r="EI94" s="926"/>
      <c r="EJ94" s="926"/>
      <c r="EK94" s="926"/>
      <c r="EL94" s="926"/>
      <c r="EM94" s="926"/>
      <c r="EN94" s="926"/>
      <c r="EO94" s="926"/>
      <c r="EP94" s="926"/>
      <c r="EQ94" s="926"/>
      <c r="ER94" s="926"/>
      <c r="ES94" s="926"/>
      <c r="ET94" s="926"/>
      <c r="EU94" s="926"/>
      <c r="EV94" s="926"/>
      <c r="EW94" s="926"/>
      <c r="EX94" s="926"/>
      <c r="EY94" s="926"/>
      <c r="EZ94" s="926"/>
      <c r="FA94" s="926"/>
      <c r="FB94" s="926"/>
      <c r="FC94" s="926"/>
      <c r="FD94" s="926"/>
      <c r="FE94" s="926"/>
      <c r="FF94" s="926"/>
      <c r="FG94" s="926"/>
      <c r="FH94" s="926"/>
      <c r="FI94" s="926"/>
      <c r="FJ94" s="926"/>
      <c r="FK94" s="926"/>
      <c r="FL94" s="926"/>
      <c r="FM94" s="926"/>
      <c r="FN94" s="926"/>
      <c r="FO94" s="926"/>
      <c r="FP94" s="926"/>
      <c r="FQ94" s="926"/>
      <c r="FR94" s="926"/>
      <c r="FS94" s="926"/>
      <c r="FT94" s="926"/>
      <c r="FU94" s="926"/>
      <c r="FV94" s="926"/>
      <c r="FW94" s="926"/>
      <c r="FX94" s="926"/>
      <c r="FY94" s="926"/>
      <c r="FZ94" s="926"/>
      <c r="GA94" s="926"/>
      <c r="GB94" s="926"/>
      <c r="GC94" s="926"/>
      <c r="GD94" s="926"/>
      <c r="GE94" s="926"/>
      <c r="GF94" s="926"/>
      <c r="GG94" s="926"/>
      <c r="GH94" s="926"/>
      <c r="GI94" s="926"/>
      <c r="GJ94" s="926"/>
      <c r="GK94" s="926"/>
      <c r="GL94" s="926"/>
      <c r="GM94" s="926"/>
      <c r="GN94" s="926"/>
      <c r="GO94" s="926"/>
      <c r="GP94" s="926"/>
      <c r="GQ94" s="926"/>
      <c r="GR94" s="926"/>
      <c r="GS94" s="926"/>
      <c r="GT94" s="926"/>
      <c r="GU94" s="926"/>
      <c r="GV94" s="926"/>
      <c r="GW94" s="926"/>
      <c r="GX94" s="926"/>
      <c r="GY94" s="926"/>
      <c r="GZ94" s="926"/>
      <c r="HA94" s="926"/>
      <c r="HB94" s="926"/>
      <c r="HC94" s="926"/>
      <c r="HD94" s="926"/>
      <c r="HE94" s="926"/>
      <c r="HF94" s="926"/>
      <c r="HG94" s="926"/>
      <c r="HH94" s="926"/>
      <c r="HI94" s="926"/>
      <c r="HJ94" s="926"/>
      <c r="HK94" s="926"/>
      <c r="HL94" s="926"/>
      <c r="HM94" s="926"/>
      <c r="HN94" s="926"/>
      <c r="HO94" s="926"/>
      <c r="HP94" s="926"/>
      <c r="HQ94" s="926"/>
      <c r="HR94" s="926"/>
      <c r="HS94" s="926"/>
      <c r="HT94" s="926"/>
      <c r="HU94" s="926"/>
      <c r="HV94" s="926"/>
      <c r="HW94" s="926"/>
      <c r="HX94" s="926"/>
      <c r="HY94" s="926"/>
      <c r="HZ94" s="926"/>
      <c r="IA94" s="926"/>
      <c r="IB94" s="926"/>
      <c r="IC94" s="926"/>
      <c r="ID94" s="926"/>
      <c r="IE94" s="926"/>
      <c r="IF94" s="926"/>
      <c r="IG94" s="926"/>
      <c r="IH94" s="926"/>
      <c r="II94" s="926"/>
      <c r="IJ94" s="926"/>
      <c r="IK94" s="926"/>
      <c r="IL94" s="926"/>
      <c r="IM94" s="926"/>
    </row>
    <row r="95" spans="1:247" x14ac:dyDescent="0.45">
      <c r="A95" s="441">
        <v>2281</v>
      </c>
      <c r="B95" s="939" t="s">
        <v>2630</v>
      </c>
      <c r="C95" s="47" t="s">
        <v>35</v>
      </c>
      <c r="D95" s="449" t="s">
        <v>2545</v>
      </c>
      <c r="E95" s="946"/>
      <c r="F95" s="941">
        <f t="shared" si="0"/>
        <v>1.0209999999999999</v>
      </c>
      <c r="G95" s="947">
        <f t="shared" si="16"/>
        <v>1.0269999999999999</v>
      </c>
      <c r="H95" s="946">
        <f>+$H$3</f>
        <v>1.0029999999999999</v>
      </c>
      <c r="I95" s="948">
        <f>+$I$3</f>
        <v>1.0289999999999999</v>
      </c>
      <c r="J95" s="948">
        <f>+$J$3</f>
        <v>1.0049999999999999</v>
      </c>
      <c r="K95" s="948"/>
      <c r="L95" s="948"/>
      <c r="M95" s="948">
        <f>+$M$3</f>
        <v>1.0029999999999999</v>
      </c>
      <c r="N95" s="947">
        <f t="shared" si="17"/>
        <v>1.0029999999999999</v>
      </c>
      <c r="O95" s="949">
        <f>+$O$3</f>
        <v>1.0209999999999999</v>
      </c>
      <c r="P95" s="946">
        <f t="shared" si="14"/>
        <v>1.032</v>
      </c>
      <c r="Q95" s="947">
        <f t="shared" si="15"/>
        <v>1.0349999999999999</v>
      </c>
      <c r="R95" s="950">
        <f>PRODUCT(E95:Q95)</f>
        <v>1.1932356231980656</v>
      </c>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c r="BA95" s="926"/>
      <c r="BB95" s="926"/>
      <c r="BC95" s="926"/>
      <c r="BD95" s="926"/>
      <c r="BE95" s="926"/>
      <c r="BF95" s="926"/>
      <c r="BG95" s="926"/>
      <c r="BH95" s="926"/>
      <c r="BI95" s="926"/>
      <c r="BJ95" s="926"/>
      <c r="BK95" s="926"/>
      <c r="BL95" s="926"/>
      <c r="BM95" s="926"/>
      <c r="BN95" s="926"/>
      <c r="BO95" s="926"/>
      <c r="BP95" s="926"/>
      <c r="BQ95" s="926"/>
      <c r="BR95" s="926"/>
      <c r="BS95" s="926"/>
      <c r="BT95" s="926"/>
      <c r="BU95" s="926"/>
      <c r="BV95" s="926"/>
      <c r="BW95" s="926"/>
      <c r="BX95" s="926"/>
      <c r="BY95" s="926"/>
      <c r="BZ95" s="926"/>
      <c r="CA95" s="926"/>
      <c r="CB95" s="926"/>
      <c r="CC95" s="926"/>
      <c r="CD95" s="926"/>
      <c r="CE95" s="926"/>
      <c r="CF95" s="926"/>
      <c r="CG95" s="926"/>
      <c r="CH95" s="926"/>
      <c r="CI95" s="926"/>
      <c r="CJ95" s="926"/>
      <c r="CK95" s="926"/>
      <c r="CL95" s="926"/>
      <c r="CM95" s="926"/>
      <c r="CN95" s="926"/>
      <c r="CO95" s="926"/>
      <c r="CP95" s="926"/>
      <c r="CQ95" s="926"/>
      <c r="CR95" s="926"/>
      <c r="CS95" s="926"/>
      <c r="CT95" s="926"/>
      <c r="CU95" s="926"/>
      <c r="CV95" s="926"/>
      <c r="CW95" s="926"/>
      <c r="CX95" s="926"/>
      <c r="CY95" s="926"/>
      <c r="CZ95" s="926"/>
      <c r="DA95" s="926"/>
      <c r="DB95" s="926"/>
      <c r="DC95" s="926"/>
      <c r="DD95" s="926"/>
      <c r="DE95" s="926"/>
      <c r="DF95" s="926"/>
      <c r="DG95" s="926"/>
      <c r="DH95" s="926"/>
      <c r="DI95" s="926"/>
      <c r="DJ95" s="926"/>
      <c r="DK95" s="926"/>
      <c r="DL95" s="926"/>
      <c r="DM95" s="926"/>
      <c r="DN95" s="926"/>
      <c r="DO95" s="926"/>
      <c r="DP95" s="926"/>
      <c r="DQ95" s="926"/>
      <c r="DR95" s="926"/>
      <c r="DS95" s="926"/>
      <c r="DT95" s="926"/>
      <c r="DU95" s="926"/>
      <c r="DV95" s="926"/>
      <c r="DW95" s="926"/>
      <c r="DX95" s="926"/>
      <c r="DY95" s="926"/>
      <c r="DZ95" s="926"/>
      <c r="EA95" s="926"/>
      <c r="EB95" s="926"/>
      <c r="EC95" s="926"/>
      <c r="ED95" s="926"/>
      <c r="EE95" s="926"/>
      <c r="EF95" s="926"/>
      <c r="EG95" s="926"/>
      <c r="EH95" s="926"/>
      <c r="EI95" s="926"/>
      <c r="EJ95" s="926"/>
      <c r="EK95" s="926"/>
      <c r="EL95" s="926"/>
      <c r="EM95" s="926"/>
      <c r="EN95" s="926"/>
      <c r="EO95" s="926"/>
      <c r="EP95" s="926"/>
      <c r="EQ95" s="926"/>
      <c r="ER95" s="926"/>
      <c r="ES95" s="926"/>
      <c r="ET95" s="926"/>
      <c r="EU95" s="926"/>
      <c r="EV95" s="926"/>
      <c r="EW95" s="926"/>
      <c r="EX95" s="926"/>
      <c r="EY95" s="926"/>
      <c r="EZ95" s="926"/>
      <c r="FA95" s="926"/>
      <c r="FB95" s="926"/>
      <c r="FC95" s="926"/>
      <c r="FD95" s="926"/>
      <c r="FE95" s="926"/>
      <c r="FF95" s="926"/>
      <c r="FG95" s="926"/>
      <c r="FH95" s="926"/>
      <c r="FI95" s="926"/>
      <c r="FJ95" s="926"/>
      <c r="FK95" s="926"/>
      <c r="FL95" s="926"/>
      <c r="FM95" s="926"/>
      <c r="FN95" s="926"/>
      <c r="FO95" s="926"/>
      <c r="FP95" s="926"/>
      <c r="FQ95" s="926"/>
      <c r="FR95" s="926"/>
      <c r="FS95" s="926"/>
      <c r="FT95" s="926"/>
      <c r="FU95" s="926"/>
      <c r="FV95" s="926"/>
      <c r="FW95" s="926"/>
      <c r="FX95" s="926"/>
      <c r="FY95" s="926"/>
      <c r="FZ95" s="926"/>
      <c r="GA95" s="926"/>
      <c r="GB95" s="926"/>
      <c r="GC95" s="926"/>
      <c r="GD95" s="926"/>
      <c r="GE95" s="926"/>
      <c r="GF95" s="926"/>
      <c r="GG95" s="926"/>
      <c r="GH95" s="926"/>
      <c r="GI95" s="926"/>
      <c r="GJ95" s="926"/>
      <c r="GK95" s="926"/>
      <c r="GL95" s="926"/>
      <c r="GM95" s="926"/>
      <c r="GN95" s="926"/>
      <c r="GO95" s="926"/>
      <c r="GP95" s="926"/>
      <c r="GQ95" s="926"/>
      <c r="GR95" s="926"/>
      <c r="GS95" s="926"/>
      <c r="GT95" s="926"/>
      <c r="GU95" s="926"/>
      <c r="GV95" s="926"/>
      <c r="GW95" s="926"/>
      <c r="GX95" s="926"/>
      <c r="GY95" s="926"/>
      <c r="GZ95" s="926"/>
      <c r="HA95" s="926"/>
      <c r="HB95" s="926"/>
      <c r="HC95" s="926"/>
      <c r="HD95" s="926"/>
      <c r="HE95" s="926"/>
      <c r="HF95" s="926"/>
      <c r="HG95" s="926"/>
      <c r="HH95" s="926"/>
      <c r="HI95" s="926"/>
      <c r="HJ95" s="926"/>
      <c r="HK95" s="926"/>
      <c r="HL95" s="926"/>
      <c r="HM95" s="926"/>
      <c r="HN95" s="926"/>
      <c r="HO95" s="926"/>
      <c r="HP95" s="926"/>
      <c r="HQ95" s="926"/>
      <c r="HR95" s="926"/>
      <c r="HS95" s="926"/>
      <c r="HT95" s="926"/>
      <c r="HU95" s="926"/>
      <c r="HV95" s="926"/>
      <c r="HW95" s="926"/>
      <c r="HX95" s="926"/>
      <c r="HY95" s="926"/>
      <c r="HZ95" s="926"/>
      <c r="IA95" s="926"/>
      <c r="IB95" s="926"/>
      <c r="IC95" s="926"/>
      <c r="ID95" s="926"/>
      <c r="IE95" s="926"/>
      <c r="IF95" s="926"/>
      <c r="IG95" s="926"/>
      <c r="IH95" s="926"/>
      <c r="II95" s="926"/>
      <c r="IJ95" s="926"/>
      <c r="IK95" s="926"/>
      <c r="IL95" s="926"/>
      <c r="IM95" s="926"/>
    </row>
    <row r="96" spans="1:247" x14ac:dyDescent="0.45">
      <c r="A96" s="441">
        <v>2291</v>
      </c>
      <c r="B96" s="939" t="s">
        <v>2631</v>
      </c>
      <c r="C96" s="47" t="s">
        <v>88</v>
      </c>
      <c r="D96" s="449" t="s">
        <v>2537</v>
      </c>
      <c r="E96" s="946"/>
      <c r="F96" s="941">
        <f t="shared" si="0"/>
        <v>1.0209999999999999</v>
      </c>
      <c r="G96" s="947">
        <f t="shared" si="16"/>
        <v>1.0269999999999999</v>
      </c>
      <c r="H96" s="946"/>
      <c r="I96" s="948"/>
      <c r="J96" s="948"/>
      <c r="K96" s="948"/>
      <c r="L96" s="948"/>
      <c r="M96" s="948"/>
      <c r="N96" s="947">
        <f t="shared" si="17"/>
        <v>1.0029999999999999</v>
      </c>
      <c r="O96" s="949"/>
      <c r="P96" s="946">
        <f t="shared" si="14"/>
        <v>1.032</v>
      </c>
      <c r="Q96" s="947">
        <f t="shared" si="15"/>
        <v>1.0349999999999999</v>
      </c>
      <c r="R96" s="950">
        <f t="shared" si="1"/>
        <v>1.1233553701921195</v>
      </c>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26"/>
      <c r="AQ96" s="926"/>
      <c r="AR96" s="926"/>
      <c r="AS96" s="926"/>
      <c r="AT96" s="926"/>
      <c r="AU96" s="926"/>
      <c r="AV96" s="926"/>
      <c r="AW96" s="926"/>
      <c r="AX96" s="926"/>
      <c r="AY96" s="926"/>
      <c r="AZ96" s="926"/>
      <c r="BA96" s="926"/>
      <c r="BB96" s="926"/>
      <c r="BC96" s="926"/>
      <c r="BD96" s="926"/>
      <c r="BE96" s="926"/>
      <c r="BF96" s="926"/>
      <c r="BG96" s="926"/>
      <c r="BH96" s="926"/>
      <c r="BI96" s="926"/>
      <c r="BJ96" s="926"/>
      <c r="BK96" s="926"/>
      <c r="BL96" s="926"/>
      <c r="BM96" s="926"/>
      <c r="BN96" s="926"/>
      <c r="BO96" s="926"/>
      <c r="BP96" s="926"/>
      <c r="BQ96" s="926"/>
      <c r="BR96" s="926"/>
      <c r="BS96" s="926"/>
      <c r="BT96" s="926"/>
      <c r="BU96" s="926"/>
      <c r="BV96" s="926"/>
      <c r="BW96" s="926"/>
      <c r="BX96" s="926"/>
      <c r="BY96" s="926"/>
      <c r="BZ96" s="926"/>
      <c r="CA96" s="926"/>
      <c r="CB96" s="926"/>
      <c r="CC96" s="926"/>
      <c r="CD96" s="926"/>
      <c r="CE96" s="926"/>
      <c r="CF96" s="926"/>
      <c r="CG96" s="926"/>
      <c r="CH96" s="926"/>
      <c r="CI96" s="926"/>
      <c r="CJ96" s="926"/>
      <c r="CK96" s="926"/>
      <c r="CL96" s="926"/>
      <c r="CM96" s="926"/>
      <c r="CN96" s="926"/>
      <c r="CO96" s="926"/>
      <c r="CP96" s="926"/>
      <c r="CQ96" s="926"/>
      <c r="CR96" s="926"/>
      <c r="CS96" s="926"/>
      <c r="CT96" s="926"/>
      <c r="CU96" s="926"/>
      <c r="CV96" s="926"/>
      <c r="CW96" s="926"/>
      <c r="CX96" s="926"/>
      <c r="CY96" s="926"/>
      <c r="CZ96" s="926"/>
      <c r="DA96" s="926"/>
      <c r="DB96" s="926"/>
      <c r="DC96" s="926"/>
      <c r="DD96" s="926"/>
      <c r="DE96" s="926"/>
      <c r="DF96" s="926"/>
      <c r="DG96" s="926"/>
      <c r="DH96" s="926"/>
      <c r="DI96" s="926"/>
      <c r="DJ96" s="926"/>
      <c r="DK96" s="926"/>
      <c r="DL96" s="926"/>
      <c r="DM96" s="926"/>
      <c r="DN96" s="926"/>
      <c r="DO96" s="926"/>
      <c r="DP96" s="926"/>
      <c r="DQ96" s="926"/>
      <c r="DR96" s="926"/>
      <c r="DS96" s="926"/>
      <c r="DT96" s="926"/>
      <c r="DU96" s="926"/>
      <c r="DV96" s="926"/>
      <c r="DW96" s="926"/>
      <c r="DX96" s="926"/>
      <c r="DY96" s="926"/>
      <c r="DZ96" s="926"/>
      <c r="EA96" s="926"/>
      <c r="EB96" s="926"/>
      <c r="EC96" s="926"/>
      <c r="ED96" s="926"/>
      <c r="EE96" s="926"/>
      <c r="EF96" s="926"/>
      <c r="EG96" s="926"/>
      <c r="EH96" s="926"/>
      <c r="EI96" s="926"/>
      <c r="EJ96" s="926"/>
      <c r="EK96" s="926"/>
      <c r="EL96" s="926"/>
      <c r="EM96" s="926"/>
      <c r="EN96" s="926"/>
      <c r="EO96" s="926"/>
      <c r="EP96" s="926"/>
      <c r="EQ96" s="926"/>
      <c r="ER96" s="926"/>
      <c r="ES96" s="926"/>
      <c r="ET96" s="926"/>
      <c r="EU96" s="926"/>
      <c r="EV96" s="926"/>
      <c r="EW96" s="926"/>
      <c r="EX96" s="926"/>
      <c r="EY96" s="926"/>
      <c r="EZ96" s="926"/>
      <c r="FA96" s="926"/>
      <c r="FB96" s="926"/>
      <c r="FC96" s="926"/>
      <c r="FD96" s="926"/>
      <c r="FE96" s="926"/>
      <c r="FF96" s="926"/>
      <c r="FG96" s="926"/>
      <c r="FH96" s="926"/>
      <c r="FI96" s="926"/>
      <c r="FJ96" s="926"/>
      <c r="FK96" s="926"/>
      <c r="FL96" s="926"/>
      <c r="FM96" s="926"/>
      <c r="FN96" s="926"/>
      <c r="FO96" s="926"/>
      <c r="FP96" s="926"/>
      <c r="FQ96" s="926"/>
      <c r="FR96" s="926"/>
      <c r="FS96" s="926"/>
      <c r="FT96" s="926"/>
      <c r="FU96" s="926"/>
      <c r="FV96" s="926"/>
      <c r="FW96" s="926"/>
      <c r="FX96" s="926"/>
      <c r="FY96" s="926"/>
      <c r="FZ96" s="926"/>
      <c r="GA96" s="926"/>
      <c r="GB96" s="926"/>
      <c r="GC96" s="926"/>
      <c r="GD96" s="926"/>
      <c r="GE96" s="926"/>
      <c r="GF96" s="926"/>
      <c r="GG96" s="926"/>
      <c r="GH96" s="926"/>
      <c r="GI96" s="926"/>
      <c r="GJ96" s="926"/>
      <c r="GK96" s="926"/>
      <c r="GL96" s="926"/>
      <c r="GM96" s="926"/>
      <c r="GN96" s="926"/>
      <c r="GO96" s="926"/>
      <c r="GP96" s="926"/>
      <c r="GQ96" s="926"/>
      <c r="GR96" s="926"/>
      <c r="GS96" s="926"/>
      <c r="GT96" s="926"/>
      <c r="GU96" s="926"/>
      <c r="GV96" s="926"/>
      <c r="GW96" s="926"/>
      <c r="GX96" s="926"/>
      <c r="GY96" s="926"/>
      <c r="GZ96" s="926"/>
      <c r="HA96" s="926"/>
      <c r="HB96" s="926"/>
      <c r="HC96" s="926"/>
      <c r="HD96" s="926"/>
      <c r="HE96" s="926"/>
      <c r="HF96" s="926"/>
      <c r="HG96" s="926"/>
      <c r="HH96" s="926"/>
      <c r="HI96" s="926"/>
      <c r="HJ96" s="926"/>
      <c r="HK96" s="926"/>
      <c r="HL96" s="926"/>
      <c r="HM96" s="926"/>
      <c r="HN96" s="926"/>
      <c r="HO96" s="926"/>
      <c r="HP96" s="926"/>
      <c r="HQ96" s="926"/>
      <c r="HR96" s="926"/>
      <c r="HS96" s="926"/>
      <c r="HT96" s="926"/>
      <c r="HU96" s="926"/>
      <c r="HV96" s="926"/>
      <c r="HW96" s="926"/>
      <c r="HX96" s="926"/>
      <c r="HY96" s="926"/>
      <c r="HZ96" s="926"/>
      <c r="IA96" s="926"/>
      <c r="IB96" s="926"/>
      <c r="IC96" s="926"/>
      <c r="ID96" s="926"/>
      <c r="IE96" s="926"/>
      <c r="IF96" s="926"/>
      <c r="IG96" s="926"/>
      <c r="IH96" s="926"/>
      <c r="II96" s="926"/>
      <c r="IJ96" s="926"/>
      <c r="IK96" s="926"/>
      <c r="IL96" s="926"/>
      <c r="IM96" s="926"/>
    </row>
    <row r="97" spans="1:247" x14ac:dyDescent="0.45">
      <c r="A97" s="441">
        <v>3101</v>
      </c>
      <c r="B97" s="939" t="s">
        <v>2632</v>
      </c>
      <c r="C97" s="47" t="s">
        <v>35</v>
      </c>
      <c r="D97" s="449" t="s">
        <v>2545</v>
      </c>
      <c r="E97" s="946">
        <f t="shared" ref="E97:E108" si="18">+$E$3</f>
        <v>1.0740000000000001</v>
      </c>
      <c r="F97" s="941">
        <f t="shared" si="0"/>
        <v>1.0209999999999999</v>
      </c>
      <c r="G97" s="947">
        <f t="shared" si="16"/>
        <v>1.0269999999999999</v>
      </c>
      <c r="H97" s="946">
        <f t="shared" ref="H97:H108" si="19">+$H$3</f>
        <v>1.0029999999999999</v>
      </c>
      <c r="I97" s="948">
        <f t="shared" ref="I97:I108" si="20">+$I$3</f>
        <v>1.0289999999999999</v>
      </c>
      <c r="J97" s="948">
        <f t="shared" ref="J97:J108" si="21">+$J$3</f>
        <v>1.0049999999999999</v>
      </c>
      <c r="K97" s="948">
        <f t="shared" ref="K97:K108" si="22">+$K$3</f>
        <v>1.026</v>
      </c>
      <c r="L97" s="948">
        <f t="shared" ref="L97:L108" si="23">+$L$3</f>
        <v>1.0129999999999999</v>
      </c>
      <c r="M97" s="948">
        <f t="shared" ref="M97:M108" si="24">+$M$3</f>
        <v>1.0029999999999999</v>
      </c>
      <c r="N97" s="947">
        <f t="shared" si="17"/>
        <v>1.0029999999999999</v>
      </c>
      <c r="O97" s="949">
        <f t="shared" ref="O97:O108" si="25">+$O$3</f>
        <v>1.0209999999999999</v>
      </c>
      <c r="P97" s="946">
        <f t="shared" si="14"/>
        <v>1.032</v>
      </c>
      <c r="Q97" s="947">
        <f t="shared" si="15"/>
        <v>1.0349999999999999</v>
      </c>
      <c r="R97" s="950">
        <f t="shared" si="1"/>
        <v>1.3319480854780448</v>
      </c>
      <c r="S97" s="926"/>
      <c r="T97" s="926"/>
      <c r="U97" s="926"/>
      <c r="V97" s="926"/>
      <c r="W97" s="926"/>
      <c r="X97" s="926"/>
      <c r="Y97" s="926"/>
      <c r="Z97" s="926"/>
      <c r="AA97" s="926"/>
      <c r="AB97" s="926"/>
      <c r="AC97" s="926"/>
      <c r="AD97" s="926"/>
      <c r="AE97" s="926"/>
      <c r="AF97" s="926"/>
      <c r="AG97" s="926"/>
      <c r="AH97" s="926"/>
      <c r="AI97" s="926"/>
      <c r="AJ97" s="926"/>
      <c r="AK97" s="926"/>
      <c r="AL97" s="926"/>
      <c r="AM97" s="926"/>
      <c r="AN97" s="926"/>
      <c r="AO97" s="926"/>
      <c r="AP97" s="926"/>
      <c r="AQ97" s="926"/>
      <c r="AR97" s="926"/>
      <c r="AS97" s="926"/>
      <c r="AT97" s="926"/>
      <c r="AU97" s="926"/>
      <c r="AV97" s="926"/>
      <c r="AW97" s="926"/>
      <c r="AX97" s="926"/>
      <c r="AY97" s="926"/>
      <c r="AZ97" s="926"/>
      <c r="BA97" s="926"/>
      <c r="BB97" s="926"/>
      <c r="BC97" s="926"/>
      <c r="BD97" s="926"/>
      <c r="BE97" s="926"/>
      <c r="BF97" s="926"/>
      <c r="BG97" s="926"/>
      <c r="BH97" s="926"/>
      <c r="BI97" s="926"/>
      <c r="BJ97" s="926"/>
      <c r="BK97" s="926"/>
      <c r="BL97" s="926"/>
      <c r="BM97" s="926"/>
      <c r="BN97" s="926"/>
      <c r="BO97" s="926"/>
      <c r="BP97" s="926"/>
      <c r="BQ97" s="926"/>
      <c r="BR97" s="926"/>
      <c r="BS97" s="926"/>
      <c r="BT97" s="926"/>
      <c r="BU97" s="926"/>
      <c r="BV97" s="926"/>
      <c r="BW97" s="926"/>
      <c r="BX97" s="926"/>
      <c r="BY97" s="926"/>
      <c r="BZ97" s="926"/>
      <c r="CA97" s="926"/>
      <c r="CB97" s="926"/>
      <c r="CC97" s="926"/>
      <c r="CD97" s="926"/>
      <c r="CE97" s="926"/>
      <c r="CF97" s="926"/>
      <c r="CG97" s="926"/>
      <c r="CH97" s="926"/>
      <c r="CI97" s="926"/>
      <c r="CJ97" s="926"/>
      <c r="CK97" s="926"/>
      <c r="CL97" s="926"/>
      <c r="CM97" s="926"/>
      <c r="CN97" s="926"/>
      <c r="CO97" s="926"/>
      <c r="CP97" s="926"/>
      <c r="CQ97" s="926"/>
      <c r="CR97" s="926"/>
      <c r="CS97" s="926"/>
      <c r="CT97" s="926"/>
      <c r="CU97" s="926"/>
      <c r="CV97" s="926"/>
      <c r="CW97" s="926"/>
      <c r="CX97" s="926"/>
      <c r="CY97" s="926"/>
      <c r="CZ97" s="926"/>
      <c r="DA97" s="926"/>
      <c r="DB97" s="926"/>
      <c r="DC97" s="926"/>
      <c r="DD97" s="926"/>
      <c r="DE97" s="926"/>
      <c r="DF97" s="926"/>
      <c r="DG97" s="926"/>
      <c r="DH97" s="926"/>
      <c r="DI97" s="926"/>
      <c r="DJ97" s="926"/>
      <c r="DK97" s="926"/>
      <c r="DL97" s="926"/>
      <c r="DM97" s="926"/>
      <c r="DN97" s="926"/>
      <c r="DO97" s="926"/>
      <c r="DP97" s="926"/>
      <c r="DQ97" s="926"/>
      <c r="DR97" s="926"/>
      <c r="DS97" s="926"/>
      <c r="DT97" s="926"/>
      <c r="DU97" s="926"/>
      <c r="DV97" s="926"/>
      <c r="DW97" s="926"/>
      <c r="DX97" s="926"/>
      <c r="DY97" s="926"/>
      <c r="DZ97" s="926"/>
      <c r="EA97" s="926"/>
      <c r="EB97" s="926"/>
      <c r="EC97" s="926"/>
      <c r="ED97" s="926"/>
      <c r="EE97" s="926"/>
      <c r="EF97" s="926"/>
      <c r="EG97" s="926"/>
      <c r="EH97" s="926"/>
      <c r="EI97" s="926"/>
      <c r="EJ97" s="926"/>
      <c r="EK97" s="926"/>
      <c r="EL97" s="926"/>
      <c r="EM97" s="926"/>
      <c r="EN97" s="926"/>
      <c r="EO97" s="926"/>
      <c r="EP97" s="926"/>
      <c r="EQ97" s="926"/>
      <c r="ER97" s="926"/>
      <c r="ES97" s="926"/>
      <c r="ET97" s="926"/>
      <c r="EU97" s="926"/>
      <c r="EV97" s="926"/>
      <c r="EW97" s="926"/>
      <c r="EX97" s="926"/>
      <c r="EY97" s="926"/>
      <c r="EZ97" s="926"/>
      <c r="FA97" s="926"/>
      <c r="FB97" s="926"/>
      <c r="FC97" s="926"/>
      <c r="FD97" s="926"/>
      <c r="FE97" s="926"/>
      <c r="FF97" s="926"/>
      <c r="FG97" s="926"/>
      <c r="FH97" s="926"/>
      <c r="FI97" s="926"/>
      <c r="FJ97" s="926"/>
      <c r="FK97" s="926"/>
      <c r="FL97" s="926"/>
      <c r="FM97" s="926"/>
      <c r="FN97" s="926"/>
      <c r="FO97" s="926"/>
      <c r="FP97" s="926"/>
      <c r="FQ97" s="926"/>
      <c r="FR97" s="926"/>
      <c r="FS97" s="926"/>
      <c r="FT97" s="926"/>
      <c r="FU97" s="926"/>
      <c r="FV97" s="926"/>
      <c r="FW97" s="926"/>
      <c r="FX97" s="926"/>
      <c r="FY97" s="926"/>
      <c r="FZ97" s="926"/>
      <c r="GA97" s="926"/>
      <c r="GB97" s="926"/>
      <c r="GC97" s="926"/>
      <c r="GD97" s="926"/>
      <c r="GE97" s="926"/>
      <c r="GF97" s="926"/>
      <c r="GG97" s="926"/>
      <c r="GH97" s="926"/>
      <c r="GI97" s="926"/>
      <c r="GJ97" s="926"/>
      <c r="GK97" s="926"/>
      <c r="GL97" s="926"/>
      <c r="GM97" s="926"/>
      <c r="GN97" s="926"/>
      <c r="GO97" s="926"/>
      <c r="GP97" s="926"/>
      <c r="GQ97" s="926"/>
      <c r="GR97" s="926"/>
      <c r="GS97" s="926"/>
      <c r="GT97" s="926"/>
      <c r="GU97" s="926"/>
      <c r="GV97" s="926"/>
      <c r="GW97" s="926"/>
      <c r="GX97" s="926"/>
      <c r="GY97" s="926"/>
      <c r="GZ97" s="926"/>
      <c r="HA97" s="926"/>
      <c r="HB97" s="926"/>
      <c r="HC97" s="926"/>
      <c r="HD97" s="926"/>
      <c r="HE97" s="926"/>
      <c r="HF97" s="926"/>
      <c r="HG97" s="926"/>
      <c r="HH97" s="926"/>
      <c r="HI97" s="926"/>
      <c r="HJ97" s="926"/>
      <c r="HK97" s="926"/>
      <c r="HL97" s="926"/>
      <c r="HM97" s="926"/>
      <c r="HN97" s="926"/>
      <c r="HO97" s="926"/>
      <c r="HP97" s="926"/>
      <c r="HQ97" s="926"/>
      <c r="HR97" s="926"/>
      <c r="HS97" s="926"/>
      <c r="HT97" s="926"/>
      <c r="HU97" s="926"/>
      <c r="HV97" s="926"/>
      <c r="HW97" s="926"/>
      <c r="HX97" s="926"/>
      <c r="HY97" s="926"/>
      <c r="HZ97" s="926"/>
      <c r="IA97" s="926"/>
      <c r="IB97" s="926"/>
      <c r="IC97" s="926"/>
      <c r="ID97" s="926"/>
      <c r="IE97" s="926"/>
      <c r="IF97" s="926"/>
      <c r="IG97" s="926"/>
      <c r="IH97" s="926"/>
      <c r="II97" s="926"/>
      <c r="IJ97" s="926"/>
      <c r="IK97" s="926"/>
      <c r="IL97" s="926"/>
      <c r="IM97" s="926"/>
    </row>
    <row r="98" spans="1:247" x14ac:dyDescent="0.45">
      <c r="A98" s="441">
        <v>3102</v>
      </c>
      <c r="B98" s="939" t="s">
        <v>2633</v>
      </c>
      <c r="C98" s="47" t="s">
        <v>35</v>
      </c>
      <c r="D98" s="449" t="s">
        <v>2545</v>
      </c>
      <c r="E98" s="946">
        <f t="shared" si="18"/>
        <v>1.0740000000000001</v>
      </c>
      <c r="F98" s="941">
        <f t="shared" si="0"/>
        <v>1.0209999999999999</v>
      </c>
      <c r="G98" s="947">
        <f t="shared" si="16"/>
        <v>1.0269999999999999</v>
      </c>
      <c r="H98" s="946">
        <f t="shared" si="19"/>
        <v>1.0029999999999999</v>
      </c>
      <c r="I98" s="948">
        <f t="shared" si="20"/>
        <v>1.0289999999999999</v>
      </c>
      <c r="J98" s="948">
        <f t="shared" si="21"/>
        <v>1.0049999999999999</v>
      </c>
      <c r="K98" s="948">
        <f t="shared" si="22"/>
        <v>1.026</v>
      </c>
      <c r="L98" s="948">
        <f t="shared" si="23"/>
        <v>1.0129999999999999</v>
      </c>
      <c r="M98" s="948">
        <f t="shared" si="24"/>
        <v>1.0029999999999999</v>
      </c>
      <c r="N98" s="947">
        <f t="shared" si="17"/>
        <v>1.0029999999999999</v>
      </c>
      <c r="O98" s="949">
        <f t="shared" si="25"/>
        <v>1.0209999999999999</v>
      </c>
      <c r="P98" s="946">
        <f t="shared" si="14"/>
        <v>1.032</v>
      </c>
      <c r="Q98" s="947">
        <f t="shared" si="15"/>
        <v>1.0349999999999999</v>
      </c>
      <c r="R98" s="950">
        <f t="shared" si="1"/>
        <v>1.3319480854780448</v>
      </c>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26"/>
      <c r="AQ98" s="926"/>
      <c r="AR98" s="926"/>
      <c r="AS98" s="926"/>
      <c r="AT98" s="926"/>
      <c r="AU98" s="926"/>
      <c r="AV98" s="926"/>
      <c r="AW98" s="926"/>
      <c r="AX98" s="926"/>
      <c r="AY98" s="926"/>
      <c r="AZ98" s="926"/>
      <c r="BA98" s="926"/>
      <c r="BB98" s="926"/>
      <c r="BC98" s="926"/>
      <c r="BD98" s="926"/>
      <c r="BE98" s="926"/>
      <c r="BF98" s="926"/>
      <c r="BG98" s="926"/>
      <c r="BH98" s="926"/>
      <c r="BI98" s="926"/>
      <c r="BJ98" s="926"/>
      <c r="BK98" s="926"/>
      <c r="BL98" s="926"/>
      <c r="BM98" s="926"/>
      <c r="BN98" s="926"/>
      <c r="BO98" s="926"/>
      <c r="BP98" s="926"/>
      <c r="BQ98" s="926"/>
      <c r="BR98" s="926"/>
      <c r="BS98" s="926"/>
      <c r="BT98" s="926"/>
      <c r="BU98" s="926"/>
      <c r="BV98" s="926"/>
      <c r="BW98" s="926"/>
      <c r="BX98" s="926"/>
      <c r="BY98" s="926"/>
      <c r="BZ98" s="926"/>
      <c r="CA98" s="926"/>
      <c r="CB98" s="926"/>
      <c r="CC98" s="926"/>
      <c r="CD98" s="926"/>
      <c r="CE98" s="926"/>
      <c r="CF98" s="926"/>
      <c r="CG98" s="926"/>
      <c r="CH98" s="926"/>
      <c r="CI98" s="926"/>
      <c r="CJ98" s="926"/>
      <c r="CK98" s="926"/>
      <c r="CL98" s="926"/>
      <c r="CM98" s="926"/>
      <c r="CN98" s="926"/>
      <c r="CO98" s="926"/>
      <c r="CP98" s="926"/>
      <c r="CQ98" s="926"/>
      <c r="CR98" s="926"/>
      <c r="CS98" s="926"/>
      <c r="CT98" s="926"/>
      <c r="CU98" s="926"/>
      <c r="CV98" s="926"/>
      <c r="CW98" s="926"/>
      <c r="CX98" s="926"/>
      <c r="CY98" s="926"/>
      <c r="CZ98" s="926"/>
      <c r="DA98" s="926"/>
      <c r="DB98" s="926"/>
      <c r="DC98" s="926"/>
      <c r="DD98" s="926"/>
      <c r="DE98" s="926"/>
      <c r="DF98" s="926"/>
      <c r="DG98" s="926"/>
      <c r="DH98" s="926"/>
      <c r="DI98" s="926"/>
      <c r="DJ98" s="926"/>
      <c r="DK98" s="926"/>
      <c r="DL98" s="926"/>
      <c r="DM98" s="926"/>
      <c r="DN98" s="926"/>
      <c r="DO98" s="926"/>
      <c r="DP98" s="926"/>
      <c r="DQ98" s="926"/>
      <c r="DR98" s="926"/>
      <c r="DS98" s="926"/>
      <c r="DT98" s="926"/>
      <c r="DU98" s="926"/>
      <c r="DV98" s="926"/>
      <c r="DW98" s="926"/>
      <c r="DX98" s="926"/>
      <c r="DY98" s="926"/>
      <c r="DZ98" s="926"/>
      <c r="EA98" s="926"/>
      <c r="EB98" s="926"/>
      <c r="EC98" s="926"/>
      <c r="ED98" s="926"/>
      <c r="EE98" s="926"/>
      <c r="EF98" s="926"/>
      <c r="EG98" s="926"/>
      <c r="EH98" s="926"/>
      <c r="EI98" s="926"/>
      <c r="EJ98" s="926"/>
      <c r="EK98" s="926"/>
      <c r="EL98" s="926"/>
      <c r="EM98" s="926"/>
      <c r="EN98" s="926"/>
      <c r="EO98" s="926"/>
      <c r="EP98" s="926"/>
      <c r="EQ98" s="926"/>
      <c r="ER98" s="926"/>
      <c r="ES98" s="926"/>
      <c r="ET98" s="926"/>
      <c r="EU98" s="926"/>
      <c r="EV98" s="926"/>
      <c r="EW98" s="926"/>
      <c r="EX98" s="926"/>
      <c r="EY98" s="926"/>
      <c r="EZ98" s="926"/>
      <c r="FA98" s="926"/>
      <c r="FB98" s="926"/>
      <c r="FC98" s="926"/>
      <c r="FD98" s="926"/>
      <c r="FE98" s="926"/>
      <c r="FF98" s="926"/>
      <c r="FG98" s="926"/>
      <c r="FH98" s="926"/>
      <c r="FI98" s="926"/>
      <c r="FJ98" s="926"/>
      <c r="FK98" s="926"/>
      <c r="FL98" s="926"/>
      <c r="FM98" s="926"/>
      <c r="FN98" s="926"/>
      <c r="FO98" s="926"/>
      <c r="FP98" s="926"/>
      <c r="FQ98" s="926"/>
      <c r="FR98" s="926"/>
      <c r="FS98" s="926"/>
      <c r="FT98" s="926"/>
      <c r="FU98" s="926"/>
      <c r="FV98" s="926"/>
      <c r="FW98" s="926"/>
      <c r="FX98" s="926"/>
      <c r="FY98" s="926"/>
      <c r="FZ98" s="926"/>
      <c r="GA98" s="926"/>
      <c r="GB98" s="926"/>
      <c r="GC98" s="926"/>
      <c r="GD98" s="926"/>
      <c r="GE98" s="926"/>
      <c r="GF98" s="926"/>
      <c r="GG98" s="926"/>
      <c r="GH98" s="926"/>
      <c r="GI98" s="926"/>
      <c r="GJ98" s="926"/>
      <c r="GK98" s="926"/>
      <c r="GL98" s="926"/>
      <c r="GM98" s="926"/>
      <c r="GN98" s="926"/>
      <c r="GO98" s="926"/>
      <c r="GP98" s="926"/>
      <c r="GQ98" s="926"/>
      <c r="GR98" s="926"/>
      <c r="GS98" s="926"/>
      <c r="GT98" s="926"/>
      <c r="GU98" s="926"/>
      <c r="GV98" s="926"/>
      <c r="GW98" s="926"/>
      <c r="GX98" s="926"/>
      <c r="GY98" s="926"/>
      <c r="GZ98" s="926"/>
      <c r="HA98" s="926"/>
      <c r="HB98" s="926"/>
      <c r="HC98" s="926"/>
      <c r="HD98" s="926"/>
      <c r="HE98" s="926"/>
      <c r="HF98" s="926"/>
      <c r="HG98" s="926"/>
      <c r="HH98" s="926"/>
      <c r="HI98" s="926"/>
      <c r="HJ98" s="926"/>
      <c r="HK98" s="926"/>
      <c r="HL98" s="926"/>
      <c r="HM98" s="926"/>
      <c r="HN98" s="926"/>
      <c r="HO98" s="926"/>
      <c r="HP98" s="926"/>
      <c r="HQ98" s="926"/>
      <c r="HR98" s="926"/>
      <c r="HS98" s="926"/>
      <c r="HT98" s="926"/>
      <c r="HU98" s="926"/>
      <c r="HV98" s="926"/>
      <c r="HW98" s="926"/>
      <c r="HX98" s="926"/>
      <c r="HY98" s="926"/>
      <c r="HZ98" s="926"/>
      <c r="IA98" s="926"/>
      <c r="IB98" s="926"/>
      <c r="IC98" s="926"/>
      <c r="ID98" s="926"/>
      <c r="IE98" s="926"/>
      <c r="IF98" s="926"/>
      <c r="IG98" s="926"/>
      <c r="IH98" s="926"/>
      <c r="II98" s="926"/>
      <c r="IJ98" s="926"/>
      <c r="IK98" s="926"/>
      <c r="IL98" s="926"/>
      <c r="IM98" s="926"/>
    </row>
    <row r="99" spans="1:247" x14ac:dyDescent="0.45">
      <c r="A99" s="441">
        <v>3103</v>
      </c>
      <c r="B99" s="939" t="s">
        <v>2634</v>
      </c>
      <c r="C99" s="47" t="s">
        <v>35</v>
      </c>
      <c r="D99" s="449" t="s">
        <v>2545</v>
      </c>
      <c r="E99" s="946">
        <f t="shared" si="18"/>
        <v>1.0740000000000001</v>
      </c>
      <c r="F99" s="941">
        <f t="shared" si="0"/>
        <v>1.0209999999999999</v>
      </c>
      <c r="G99" s="947">
        <f t="shared" si="16"/>
        <v>1.0269999999999999</v>
      </c>
      <c r="H99" s="946">
        <f t="shared" si="19"/>
        <v>1.0029999999999999</v>
      </c>
      <c r="I99" s="948">
        <f t="shared" si="20"/>
        <v>1.0289999999999999</v>
      </c>
      <c r="J99" s="948">
        <f t="shared" si="21"/>
        <v>1.0049999999999999</v>
      </c>
      <c r="K99" s="948">
        <f t="shared" si="22"/>
        <v>1.026</v>
      </c>
      <c r="L99" s="948">
        <f t="shared" si="23"/>
        <v>1.0129999999999999</v>
      </c>
      <c r="M99" s="948">
        <f t="shared" si="24"/>
        <v>1.0029999999999999</v>
      </c>
      <c r="N99" s="947">
        <f t="shared" si="17"/>
        <v>1.0029999999999999</v>
      </c>
      <c r="O99" s="949">
        <f t="shared" si="25"/>
        <v>1.0209999999999999</v>
      </c>
      <c r="P99" s="946">
        <f t="shared" si="14"/>
        <v>1.032</v>
      </c>
      <c r="Q99" s="947">
        <f t="shared" si="15"/>
        <v>1.0349999999999999</v>
      </c>
      <c r="R99" s="950">
        <f t="shared" si="1"/>
        <v>1.3319480854780448</v>
      </c>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6"/>
      <c r="AV99" s="926"/>
      <c r="AW99" s="926"/>
      <c r="AX99" s="926"/>
      <c r="AY99" s="926"/>
      <c r="AZ99" s="926"/>
      <c r="BA99" s="926"/>
      <c r="BB99" s="926"/>
      <c r="BC99" s="926"/>
      <c r="BD99" s="926"/>
      <c r="BE99" s="926"/>
      <c r="BF99" s="926"/>
      <c r="BG99" s="926"/>
      <c r="BH99" s="926"/>
      <c r="BI99" s="926"/>
      <c r="BJ99" s="926"/>
      <c r="BK99" s="926"/>
      <c r="BL99" s="926"/>
      <c r="BM99" s="926"/>
      <c r="BN99" s="926"/>
      <c r="BO99" s="926"/>
      <c r="BP99" s="926"/>
      <c r="BQ99" s="926"/>
      <c r="BR99" s="926"/>
      <c r="BS99" s="926"/>
      <c r="BT99" s="926"/>
      <c r="BU99" s="926"/>
      <c r="BV99" s="926"/>
      <c r="BW99" s="926"/>
      <c r="BX99" s="926"/>
      <c r="BY99" s="926"/>
      <c r="BZ99" s="926"/>
      <c r="CA99" s="926"/>
      <c r="CB99" s="926"/>
      <c r="CC99" s="926"/>
      <c r="CD99" s="926"/>
      <c r="CE99" s="926"/>
      <c r="CF99" s="926"/>
      <c r="CG99" s="926"/>
      <c r="CH99" s="926"/>
      <c r="CI99" s="926"/>
      <c r="CJ99" s="926"/>
      <c r="CK99" s="926"/>
      <c r="CL99" s="926"/>
      <c r="CM99" s="926"/>
      <c r="CN99" s="926"/>
      <c r="CO99" s="926"/>
      <c r="CP99" s="926"/>
      <c r="CQ99" s="926"/>
      <c r="CR99" s="926"/>
      <c r="CS99" s="926"/>
      <c r="CT99" s="926"/>
      <c r="CU99" s="926"/>
      <c r="CV99" s="926"/>
      <c r="CW99" s="926"/>
      <c r="CX99" s="926"/>
      <c r="CY99" s="926"/>
      <c r="CZ99" s="926"/>
      <c r="DA99" s="926"/>
      <c r="DB99" s="926"/>
      <c r="DC99" s="926"/>
      <c r="DD99" s="926"/>
      <c r="DE99" s="926"/>
      <c r="DF99" s="926"/>
      <c r="DG99" s="926"/>
      <c r="DH99" s="926"/>
      <c r="DI99" s="926"/>
      <c r="DJ99" s="926"/>
      <c r="DK99" s="926"/>
      <c r="DL99" s="926"/>
      <c r="DM99" s="926"/>
      <c r="DN99" s="926"/>
      <c r="DO99" s="926"/>
      <c r="DP99" s="926"/>
      <c r="DQ99" s="926"/>
      <c r="DR99" s="926"/>
      <c r="DS99" s="926"/>
      <c r="DT99" s="926"/>
      <c r="DU99" s="926"/>
      <c r="DV99" s="926"/>
      <c r="DW99" s="926"/>
      <c r="DX99" s="926"/>
      <c r="DY99" s="926"/>
      <c r="DZ99" s="926"/>
      <c r="EA99" s="926"/>
      <c r="EB99" s="926"/>
      <c r="EC99" s="926"/>
      <c r="ED99" s="926"/>
      <c r="EE99" s="926"/>
      <c r="EF99" s="926"/>
      <c r="EG99" s="926"/>
      <c r="EH99" s="926"/>
      <c r="EI99" s="926"/>
      <c r="EJ99" s="926"/>
      <c r="EK99" s="926"/>
      <c r="EL99" s="926"/>
      <c r="EM99" s="926"/>
      <c r="EN99" s="926"/>
      <c r="EO99" s="926"/>
      <c r="EP99" s="926"/>
      <c r="EQ99" s="926"/>
      <c r="ER99" s="926"/>
      <c r="ES99" s="926"/>
      <c r="ET99" s="926"/>
      <c r="EU99" s="926"/>
      <c r="EV99" s="926"/>
      <c r="EW99" s="926"/>
      <c r="EX99" s="926"/>
      <c r="EY99" s="926"/>
      <c r="EZ99" s="926"/>
      <c r="FA99" s="926"/>
      <c r="FB99" s="926"/>
      <c r="FC99" s="926"/>
      <c r="FD99" s="926"/>
      <c r="FE99" s="926"/>
      <c r="FF99" s="926"/>
      <c r="FG99" s="926"/>
      <c r="FH99" s="926"/>
      <c r="FI99" s="926"/>
      <c r="FJ99" s="926"/>
      <c r="FK99" s="926"/>
      <c r="FL99" s="926"/>
      <c r="FM99" s="926"/>
      <c r="FN99" s="926"/>
      <c r="FO99" s="926"/>
      <c r="FP99" s="926"/>
      <c r="FQ99" s="926"/>
      <c r="FR99" s="926"/>
      <c r="FS99" s="926"/>
      <c r="FT99" s="926"/>
      <c r="FU99" s="926"/>
      <c r="FV99" s="926"/>
      <c r="FW99" s="926"/>
      <c r="FX99" s="926"/>
      <c r="FY99" s="926"/>
      <c r="FZ99" s="926"/>
      <c r="GA99" s="926"/>
      <c r="GB99" s="926"/>
      <c r="GC99" s="926"/>
      <c r="GD99" s="926"/>
      <c r="GE99" s="926"/>
      <c r="GF99" s="926"/>
      <c r="GG99" s="926"/>
      <c r="GH99" s="926"/>
      <c r="GI99" s="926"/>
      <c r="GJ99" s="926"/>
      <c r="GK99" s="926"/>
      <c r="GL99" s="926"/>
      <c r="GM99" s="926"/>
      <c r="GN99" s="926"/>
      <c r="GO99" s="926"/>
      <c r="GP99" s="926"/>
      <c r="GQ99" s="926"/>
      <c r="GR99" s="926"/>
      <c r="GS99" s="926"/>
      <c r="GT99" s="926"/>
      <c r="GU99" s="926"/>
      <c r="GV99" s="926"/>
      <c r="GW99" s="926"/>
      <c r="GX99" s="926"/>
      <c r="GY99" s="926"/>
      <c r="GZ99" s="926"/>
      <c r="HA99" s="926"/>
      <c r="HB99" s="926"/>
      <c r="HC99" s="926"/>
      <c r="HD99" s="926"/>
      <c r="HE99" s="926"/>
      <c r="HF99" s="926"/>
      <c r="HG99" s="926"/>
      <c r="HH99" s="926"/>
      <c r="HI99" s="926"/>
      <c r="HJ99" s="926"/>
      <c r="HK99" s="926"/>
      <c r="HL99" s="926"/>
      <c r="HM99" s="926"/>
      <c r="HN99" s="926"/>
      <c r="HO99" s="926"/>
      <c r="HP99" s="926"/>
      <c r="HQ99" s="926"/>
      <c r="HR99" s="926"/>
      <c r="HS99" s="926"/>
      <c r="HT99" s="926"/>
      <c r="HU99" s="926"/>
      <c r="HV99" s="926"/>
      <c r="HW99" s="926"/>
      <c r="HX99" s="926"/>
      <c r="HY99" s="926"/>
      <c r="HZ99" s="926"/>
      <c r="IA99" s="926"/>
      <c r="IB99" s="926"/>
      <c r="IC99" s="926"/>
      <c r="ID99" s="926"/>
      <c r="IE99" s="926"/>
      <c r="IF99" s="926"/>
      <c r="IG99" s="926"/>
      <c r="IH99" s="926"/>
      <c r="II99" s="926"/>
      <c r="IJ99" s="926"/>
      <c r="IK99" s="926"/>
      <c r="IL99" s="926"/>
      <c r="IM99" s="926"/>
    </row>
    <row r="100" spans="1:247" x14ac:dyDescent="0.45">
      <c r="A100" s="441">
        <v>3104</v>
      </c>
      <c r="B100" s="939" t="s">
        <v>2635</v>
      </c>
      <c r="C100" s="47" t="s">
        <v>35</v>
      </c>
      <c r="D100" s="449" t="s">
        <v>2545</v>
      </c>
      <c r="E100" s="946">
        <f t="shared" si="18"/>
        <v>1.0740000000000001</v>
      </c>
      <c r="F100" s="941">
        <f t="shared" si="0"/>
        <v>1.0209999999999999</v>
      </c>
      <c r="G100" s="947">
        <f t="shared" si="16"/>
        <v>1.0269999999999999</v>
      </c>
      <c r="H100" s="946">
        <f t="shared" si="19"/>
        <v>1.0029999999999999</v>
      </c>
      <c r="I100" s="948">
        <f t="shared" si="20"/>
        <v>1.0289999999999999</v>
      </c>
      <c r="J100" s="948">
        <f t="shared" si="21"/>
        <v>1.0049999999999999</v>
      </c>
      <c r="K100" s="948">
        <f t="shared" si="22"/>
        <v>1.026</v>
      </c>
      <c r="L100" s="948">
        <f t="shared" si="23"/>
        <v>1.0129999999999999</v>
      </c>
      <c r="M100" s="948">
        <f t="shared" si="24"/>
        <v>1.0029999999999999</v>
      </c>
      <c r="N100" s="947">
        <f t="shared" si="17"/>
        <v>1.0029999999999999</v>
      </c>
      <c r="O100" s="949">
        <f t="shared" si="25"/>
        <v>1.0209999999999999</v>
      </c>
      <c r="P100" s="946">
        <f t="shared" si="14"/>
        <v>1.032</v>
      </c>
      <c r="Q100" s="947">
        <f t="shared" si="15"/>
        <v>1.0349999999999999</v>
      </c>
      <c r="R100" s="950">
        <f t="shared" si="1"/>
        <v>1.3319480854780448</v>
      </c>
      <c r="S100" s="926"/>
      <c r="T100" s="926"/>
      <c r="U100" s="926"/>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6"/>
      <c r="AV100" s="926"/>
      <c r="AW100" s="926"/>
      <c r="AX100" s="926"/>
      <c r="AY100" s="926"/>
      <c r="AZ100" s="926"/>
      <c r="BA100" s="926"/>
      <c r="BB100" s="926"/>
      <c r="BC100" s="926"/>
      <c r="BD100" s="926"/>
      <c r="BE100" s="926"/>
      <c r="BF100" s="926"/>
      <c r="BG100" s="926"/>
      <c r="BH100" s="926"/>
      <c r="BI100" s="926"/>
      <c r="BJ100" s="926"/>
      <c r="BK100" s="926"/>
      <c r="BL100" s="926"/>
      <c r="BM100" s="926"/>
      <c r="BN100" s="926"/>
      <c r="BO100" s="926"/>
      <c r="BP100" s="926"/>
      <c r="BQ100" s="926"/>
      <c r="BR100" s="926"/>
      <c r="BS100" s="926"/>
      <c r="BT100" s="926"/>
      <c r="BU100" s="926"/>
      <c r="BV100" s="926"/>
      <c r="BW100" s="926"/>
      <c r="BX100" s="926"/>
      <c r="BY100" s="926"/>
      <c r="BZ100" s="926"/>
      <c r="CA100" s="926"/>
      <c r="CB100" s="926"/>
      <c r="CC100" s="926"/>
      <c r="CD100" s="926"/>
      <c r="CE100" s="926"/>
      <c r="CF100" s="926"/>
      <c r="CG100" s="926"/>
      <c r="CH100" s="926"/>
      <c r="CI100" s="926"/>
      <c r="CJ100" s="926"/>
      <c r="CK100" s="926"/>
      <c r="CL100" s="926"/>
      <c r="CM100" s="926"/>
      <c r="CN100" s="926"/>
      <c r="CO100" s="926"/>
      <c r="CP100" s="926"/>
      <c r="CQ100" s="926"/>
      <c r="CR100" s="926"/>
      <c r="CS100" s="926"/>
      <c r="CT100" s="926"/>
      <c r="CU100" s="926"/>
      <c r="CV100" s="926"/>
      <c r="CW100" s="926"/>
      <c r="CX100" s="926"/>
      <c r="CY100" s="926"/>
      <c r="CZ100" s="926"/>
      <c r="DA100" s="926"/>
      <c r="DB100" s="926"/>
      <c r="DC100" s="926"/>
      <c r="DD100" s="926"/>
      <c r="DE100" s="926"/>
      <c r="DF100" s="926"/>
      <c r="DG100" s="926"/>
      <c r="DH100" s="926"/>
      <c r="DI100" s="926"/>
      <c r="DJ100" s="926"/>
      <c r="DK100" s="926"/>
      <c r="DL100" s="926"/>
      <c r="DM100" s="926"/>
      <c r="DN100" s="926"/>
      <c r="DO100" s="926"/>
      <c r="DP100" s="926"/>
      <c r="DQ100" s="926"/>
      <c r="DR100" s="926"/>
      <c r="DS100" s="926"/>
      <c r="DT100" s="926"/>
      <c r="DU100" s="926"/>
      <c r="DV100" s="926"/>
      <c r="DW100" s="926"/>
      <c r="DX100" s="926"/>
      <c r="DY100" s="926"/>
      <c r="DZ100" s="926"/>
      <c r="EA100" s="926"/>
      <c r="EB100" s="926"/>
      <c r="EC100" s="926"/>
      <c r="ED100" s="926"/>
      <c r="EE100" s="926"/>
      <c r="EF100" s="926"/>
      <c r="EG100" s="926"/>
      <c r="EH100" s="926"/>
      <c r="EI100" s="926"/>
      <c r="EJ100" s="926"/>
      <c r="EK100" s="926"/>
      <c r="EL100" s="926"/>
      <c r="EM100" s="926"/>
      <c r="EN100" s="926"/>
      <c r="EO100" s="926"/>
      <c r="EP100" s="926"/>
      <c r="EQ100" s="926"/>
      <c r="ER100" s="926"/>
      <c r="ES100" s="926"/>
      <c r="ET100" s="926"/>
      <c r="EU100" s="926"/>
      <c r="EV100" s="926"/>
      <c r="EW100" s="926"/>
      <c r="EX100" s="926"/>
      <c r="EY100" s="926"/>
      <c r="EZ100" s="926"/>
      <c r="FA100" s="926"/>
      <c r="FB100" s="926"/>
      <c r="FC100" s="926"/>
      <c r="FD100" s="926"/>
      <c r="FE100" s="926"/>
      <c r="FF100" s="926"/>
      <c r="FG100" s="926"/>
      <c r="FH100" s="926"/>
      <c r="FI100" s="926"/>
      <c r="FJ100" s="926"/>
      <c r="FK100" s="926"/>
      <c r="FL100" s="926"/>
      <c r="FM100" s="926"/>
      <c r="FN100" s="926"/>
      <c r="FO100" s="926"/>
      <c r="FP100" s="926"/>
      <c r="FQ100" s="926"/>
      <c r="FR100" s="926"/>
      <c r="FS100" s="926"/>
      <c r="FT100" s="926"/>
      <c r="FU100" s="926"/>
      <c r="FV100" s="926"/>
      <c r="FW100" s="926"/>
      <c r="FX100" s="926"/>
      <c r="FY100" s="926"/>
      <c r="FZ100" s="926"/>
      <c r="GA100" s="926"/>
      <c r="GB100" s="926"/>
      <c r="GC100" s="926"/>
      <c r="GD100" s="926"/>
      <c r="GE100" s="926"/>
      <c r="GF100" s="926"/>
      <c r="GG100" s="926"/>
      <c r="GH100" s="926"/>
      <c r="GI100" s="926"/>
      <c r="GJ100" s="926"/>
      <c r="GK100" s="926"/>
      <c r="GL100" s="926"/>
      <c r="GM100" s="926"/>
      <c r="GN100" s="926"/>
      <c r="GO100" s="926"/>
      <c r="GP100" s="926"/>
      <c r="GQ100" s="926"/>
      <c r="GR100" s="926"/>
      <c r="GS100" s="926"/>
      <c r="GT100" s="926"/>
      <c r="GU100" s="926"/>
      <c r="GV100" s="926"/>
      <c r="GW100" s="926"/>
      <c r="GX100" s="926"/>
      <c r="GY100" s="926"/>
      <c r="GZ100" s="926"/>
      <c r="HA100" s="926"/>
      <c r="HB100" s="926"/>
      <c r="HC100" s="926"/>
      <c r="HD100" s="926"/>
      <c r="HE100" s="926"/>
      <c r="HF100" s="926"/>
      <c r="HG100" s="926"/>
      <c r="HH100" s="926"/>
      <c r="HI100" s="926"/>
      <c r="HJ100" s="926"/>
      <c r="HK100" s="926"/>
      <c r="HL100" s="926"/>
      <c r="HM100" s="926"/>
      <c r="HN100" s="926"/>
      <c r="HO100" s="926"/>
      <c r="HP100" s="926"/>
      <c r="HQ100" s="926"/>
      <c r="HR100" s="926"/>
      <c r="HS100" s="926"/>
      <c r="HT100" s="926"/>
      <c r="HU100" s="926"/>
      <c r="HV100" s="926"/>
      <c r="HW100" s="926"/>
      <c r="HX100" s="926"/>
      <c r="HY100" s="926"/>
      <c r="HZ100" s="926"/>
      <c r="IA100" s="926"/>
      <c r="IB100" s="926"/>
      <c r="IC100" s="926"/>
      <c r="ID100" s="926"/>
      <c r="IE100" s="926"/>
      <c r="IF100" s="926"/>
      <c r="IG100" s="926"/>
      <c r="IH100" s="926"/>
      <c r="II100" s="926"/>
      <c r="IJ100" s="926"/>
      <c r="IK100" s="926"/>
      <c r="IL100" s="926"/>
      <c r="IM100" s="926"/>
    </row>
    <row r="101" spans="1:247" x14ac:dyDescent="0.45">
      <c r="A101" s="441">
        <v>3131</v>
      </c>
      <c r="B101" s="939" t="s">
        <v>2636</v>
      </c>
      <c r="C101" s="47" t="s">
        <v>35</v>
      </c>
      <c r="D101" s="449" t="s">
        <v>2545</v>
      </c>
      <c r="E101" s="946">
        <f t="shared" si="18"/>
        <v>1.0740000000000001</v>
      </c>
      <c r="F101" s="941">
        <f t="shared" si="0"/>
        <v>1.0209999999999999</v>
      </c>
      <c r="G101" s="947">
        <f t="shared" si="16"/>
        <v>1.0269999999999999</v>
      </c>
      <c r="H101" s="946">
        <f t="shared" si="19"/>
        <v>1.0029999999999999</v>
      </c>
      <c r="I101" s="948">
        <f t="shared" si="20"/>
        <v>1.0289999999999999</v>
      </c>
      <c r="J101" s="948">
        <f t="shared" si="21"/>
        <v>1.0049999999999999</v>
      </c>
      <c r="K101" s="948">
        <f t="shared" si="22"/>
        <v>1.026</v>
      </c>
      <c r="L101" s="948">
        <f t="shared" si="23"/>
        <v>1.0129999999999999</v>
      </c>
      <c r="M101" s="948">
        <f t="shared" si="24"/>
        <v>1.0029999999999999</v>
      </c>
      <c r="N101" s="947">
        <f t="shared" si="17"/>
        <v>1.0029999999999999</v>
      </c>
      <c r="O101" s="949">
        <f t="shared" si="25"/>
        <v>1.0209999999999999</v>
      </c>
      <c r="P101" s="946">
        <f t="shared" si="14"/>
        <v>1.032</v>
      </c>
      <c r="Q101" s="947">
        <f t="shared" si="15"/>
        <v>1.0349999999999999</v>
      </c>
      <c r="R101" s="950">
        <f t="shared" si="1"/>
        <v>1.3319480854780448</v>
      </c>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6"/>
      <c r="AV101" s="926"/>
      <c r="AW101" s="926"/>
      <c r="AX101" s="926"/>
      <c r="AY101" s="926"/>
      <c r="AZ101" s="926"/>
      <c r="BA101" s="926"/>
      <c r="BB101" s="926"/>
      <c r="BC101" s="926"/>
      <c r="BD101" s="926"/>
      <c r="BE101" s="926"/>
      <c r="BF101" s="926"/>
      <c r="BG101" s="926"/>
      <c r="BH101" s="926"/>
      <c r="BI101" s="926"/>
      <c r="BJ101" s="926"/>
      <c r="BK101" s="926"/>
      <c r="BL101" s="926"/>
      <c r="BM101" s="926"/>
      <c r="BN101" s="926"/>
      <c r="BO101" s="926"/>
      <c r="BP101" s="926"/>
      <c r="BQ101" s="926"/>
      <c r="BR101" s="926"/>
      <c r="BS101" s="926"/>
      <c r="BT101" s="926"/>
      <c r="BU101" s="926"/>
      <c r="BV101" s="926"/>
      <c r="BW101" s="926"/>
      <c r="BX101" s="926"/>
      <c r="BY101" s="926"/>
      <c r="BZ101" s="926"/>
      <c r="CA101" s="926"/>
      <c r="CB101" s="926"/>
      <c r="CC101" s="926"/>
      <c r="CD101" s="926"/>
      <c r="CE101" s="926"/>
      <c r="CF101" s="926"/>
      <c r="CG101" s="926"/>
      <c r="CH101" s="926"/>
      <c r="CI101" s="926"/>
      <c r="CJ101" s="926"/>
      <c r="CK101" s="926"/>
      <c r="CL101" s="926"/>
      <c r="CM101" s="926"/>
      <c r="CN101" s="926"/>
      <c r="CO101" s="926"/>
      <c r="CP101" s="926"/>
      <c r="CQ101" s="926"/>
      <c r="CR101" s="926"/>
      <c r="CS101" s="926"/>
      <c r="CT101" s="926"/>
      <c r="CU101" s="926"/>
      <c r="CV101" s="926"/>
      <c r="CW101" s="926"/>
      <c r="CX101" s="926"/>
      <c r="CY101" s="926"/>
      <c r="CZ101" s="926"/>
      <c r="DA101" s="926"/>
      <c r="DB101" s="926"/>
      <c r="DC101" s="926"/>
      <c r="DD101" s="926"/>
      <c r="DE101" s="926"/>
      <c r="DF101" s="926"/>
      <c r="DG101" s="926"/>
      <c r="DH101" s="926"/>
      <c r="DI101" s="926"/>
      <c r="DJ101" s="926"/>
      <c r="DK101" s="926"/>
      <c r="DL101" s="926"/>
      <c r="DM101" s="926"/>
      <c r="DN101" s="926"/>
      <c r="DO101" s="926"/>
      <c r="DP101" s="926"/>
      <c r="DQ101" s="926"/>
      <c r="DR101" s="926"/>
      <c r="DS101" s="926"/>
      <c r="DT101" s="926"/>
      <c r="DU101" s="926"/>
      <c r="DV101" s="926"/>
      <c r="DW101" s="926"/>
      <c r="DX101" s="926"/>
      <c r="DY101" s="926"/>
      <c r="DZ101" s="926"/>
      <c r="EA101" s="926"/>
      <c r="EB101" s="926"/>
      <c r="EC101" s="926"/>
      <c r="ED101" s="926"/>
      <c r="EE101" s="926"/>
      <c r="EF101" s="926"/>
      <c r="EG101" s="926"/>
      <c r="EH101" s="926"/>
      <c r="EI101" s="926"/>
      <c r="EJ101" s="926"/>
      <c r="EK101" s="926"/>
      <c r="EL101" s="926"/>
      <c r="EM101" s="926"/>
      <c r="EN101" s="926"/>
      <c r="EO101" s="926"/>
      <c r="EP101" s="926"/>
      <c r="EQ101" s="926"/>
      <c r="ER101" s="926"/>
      <c r="ES101" s="926"/>
      <c r="ET101" s="926"/>
      <c r="EU101" s="926"/>
      <c r="EV101" s="926"/>
      <c r="EW101" s="926"/>
      <c r="EX101" s="926"/>
      <c r="EY101" s="926"/>
      <c r="EZ101" s="926"/>
      <c r="FA101" s="926"/>
      <c r="FB101" s="926"/>
      <c r="FC101" s="926"/>
      <c r="FD101" s="926"/>
      <c r="FE101" s="926"/>
      <c r="FF101" s="926"/>
      <c r="FG101" s="926"/>
      <c r="FH101" s="926"/>
      <c r="FI101" s="926"/>
      <c r="FJ101" s="926"/>
      <c r="FK101" s="926"/>
      <c r="FL101" s="926"/>
      <c r="FM101" s="926"/>
      <c r="FN101" s="926"/>
      <c r="FO101" s="926"/>
      <c r="FP101" s="926"/>
      <c r="FQ101" s="926"/>
      <c r="FR101" s="926"/>
      <c r="FS101" s="926"/>
      <c r="FT101" s="926"/>
      <c r="FU101" s="926"/>
      <c r="FV101" s="926"/>
      <c r="FW101" s="926"/>
      <c r="FX101" s="926"/>
      <c r="FY101" s="926"/>
      <c r="FZ101" s="926"/>
      <c r="GA101" s="926"/>
      <c r="GB101" s="926"/>
      <c r="GC101" s="926"/>
      <c r="GD101" s="926"/>
      <c r="GE101" s="926"/>
      <c r="GF101" s="926"/>
      <c r="GG101" s="926"/>
      <c r="GH101" s="926"/>
      <c r="GI101" s="926"/>
      <c r="GJ101" s="926"/>
      <c r="GK101" s="926"/>
      <c r="GL101" s="926"/>
      <c r="GM101" s="926"/>
      <c r="GN101" s="926"/>
      <c r="GO101" s="926"/>
      <c r="GP101" s="926"/>
      <c r="GQ101" s="926"/>
      <c r="GR101" s="926"/>
      <c r="GS101" s="926"/>
      <c r="GT101" s="926"/>
      <c r="GU101" s="926"/>
      <c r="GV101" s="926"/>
      <c r="GW101" s="926"/>
      <c r="GX101" s="926"/>
      <c r="GY101" s="926"/>
      <c r="GZ101" s="926"/>
      <c r="HA101" s="926"/>
      <c r="HB101" s="926"/>
      <c r="HC101" s="926"/>
      <c r="HD101" s="926"/>
      <c r="HE101" s="926"/>
      <c r="HF101" s="926"/>
      <c r="HG101" s="926"/>
      <c r="HH101" s="926"/>
      <c r="HI101" s="926"/>
      <c r="HJ101" s="926"/>
      <c r="HK101" s="926"/>
      <c r="HL101" s="926"/>
      <c r="HM101" s="926"/>
      <c r="HN101" s="926"/>
      <c r="HO101" s="926"/>
      <c r="HP101" s="926"/>
      <c r="HQ101" s="926"/>
      <c r="HR101" s="926"/>
      <c r="HS101" s="926"/>
      <c r="HT101" s="926"/>
      <c r="HU101" s="926"/>
      <c r="HV101" s="926"/>
      <c r="HW101" s="926"/>
      <c r="HX101" s="926"/>
      <c r="HY101" s="926"/>
      <c r="HZ101" s="926"/>
      <c r="IA101" s="926"/>
      <c r="IB101" s="926"/>
      <c r="IC101" s="926"/>
      <c r="ID101" s="926"/>
      <c r="IE101" s="926"/>
      <c r="IF101" s="926"/>
      <c r="IG101" s="926"/>
      <c r="IH101" s="926"/>
      <c r="II101" s="926"/>
      <c r="IJ101" s="926"/>
      <c r="IK101" s="926"/>
      <c r="IL101" s="926"/>
      <c r="IM101" s="926"/>
    </row>
    <row r="102" spans="1:247" x14ac:dyDescent="0.45">
      <c r="A102" s="441">
        <v>3141</v>
      </c>
      <c r="B102" s="939" t="s">
        <v>2637</v>
      </c>
      <c r="C102" s="47" t="s">
        <v>35</v>
      </c>
      <c r="D102" s="449" t="s">
        <v>2545</v>
      </c>
      <c r="E102" s="946">
        <f t="shared" si="18"/>
        <v>1.0740000000000001</v>
      </c>
      <c r="F102" s="941">
        <f t="shared" si="0"/>
        <v>1.0209999999999999</v>
      </c>
      <c r="G102" s="947">
        <f t="shared" si="16"/>
        <v>1.0269999999999999</v>
      </c>
      <c r="H102" s="946">
        <f t="shared" si="19"/>
        <v>1.0029999999999999</v>
      </c>
      <c r="I102" s="948">
        <f t="shared" si="20"/>
        <v>1.0289999999999999</v>
      </c>
      <c r="J102" s="948">
        <f t="shared" si="21"/>
        <v>1.0049999999999999</v>
      </c>
      <c r="K102" s="948">
        <f t="shared" si="22"/>
        <v>1.026</v>
      </c>
      <c r="L102" s="948">
        <f t="shared" si="23"/>
        <v>1.0129999999999999</v>
      </c>
      <c r="M102" s="948">
        <f t="shared" si="24"/>
        <v>1.0029999999999999</v>
      </c>
      <c r="N102" s="947">
        <f t="shared" si="17"/>
        <v>1.0029999999999999</v>
      </c>
      <c r="O102" s="949">
        <f t="shared" si="25"/>
        <v>1.0209999999999999</v>
      </c>
      <c r="P102" s="946">
        <f t="shared" si="14"/>
        <v>1.032</v>
      </c>
      <c r="Q102" s="947">
        <f t="shared" si="15"/>
        <v>1.0349999999999999</v>
      </c>
      <c r="R102" s="950">
        <f>PRODUCT(E102:Q102)</f>
        <v>1.3319480854780448</v>
      </c>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c r="AU102" s="926"/>
      <c r="AV102" s="926"/>
      <c r="AW102" s="926"/>
      <c r="AX102" s="926"/>
      <c r="AY102" s="926"/>
      <c r="AZ102" s="926"/>
      <c r="BA102" s="926"/>
      <c r="BB102" s="926"/>
      <c r="BC102" s="926"/>
      <c r="BD102" s="926"/>
      <c r="BE102" s="926"/>
      <c r="BF102" s="926"/>
      <c r="BG102" s="926"/>
      <c r="BH102" s="926"/>
      <c r="BI102" s="926"/>
      <c r="BJ102" s="926"/>
      <c r="BK102" s="926"/>
      <c r="BL102" s="926"/>
      <c r="BM102" s="926"/>
      <c r="BN102" s="926"/>
      <c r="BO102" s="926"/>
      <c r="BP102" s="926"/>
      <c r="BQ102" s="926"/>
      <c r="BR102" s="926"/>
      <c r="BS102" s="926"/>
      <c r="BT102" s="926"/>
      <c r="BU102" s="926"/>
      <c r="BV102" s="926"/>
      <c r="BW102" s="926"/>
      <c r="BX102" s="926"/>
      <c r="BY102" s="926"/>
      <c r="BZ102" s="926"/>
      <c r="CA102" s="926"/>
      <c r="CB102" s="926"/>
      <c r="CC102" s="926"/>
      <c r="CD102" s="926"/>
      <c r="CE102" s="926"/>
      <c r="CF102" s="926"/>
      <c r="CG102" s="926"/>
      <c r="CH102" s="926"/>
      <c r="CI102" s="926"/>
      <c r="CJ102" s="926"/>
      <c r="CK102" s="926"/>
      <c r="CL102" s="926"/>
      <c r="CM102" s="926"/>
      <c r="CN102" s="926"/>
      <c r="CO102" s="926"/>
      <c r="CP102" s="926"/>
      <c r="CQ102" s="926"/>
      <c r="CR102" s="926"/>
      <c r="CS102" s="926"/>
      <c r="CT102" s="926"/>
      <c r="CU102" s="926"/>
      <c r="CV102" s="926"/>
      <c r="CW102" s="926"/>
      <c r="CX102" s="926"/>
      <c r="CY102" s="926"/>
      <c r="CZ102" s="926"/>
      <c r="DA102" s="926"/>
      <c r="DB102" s="926"/>
      <c r="DC102" s="926"/>
      <c r="DD102" s="926"/>
      <c r="DE102" s="926"/>
      <c r="DF102" s="926"/>
      <c r="DG102" s="926"/>
      <c r="DH102" s="926"/>
      <c r="DI102" s="926"/>
      <c r="DJ102" s="926"/>
      <c r="DK102" s="926"/>
      <c r="DL102" s="926"/>
      <c r="DM102" s="926"/>
      <c r="DN102" s="926"/>
      <c r="DO102" s="926"/>
      <c r="DP102" s="926"/>
      <c r="DQ102" s="926"/>
      <c r="DR102" s="926"/>
      <c r="DS102" s="926"/>
      <c r="DT102" s="926"/>
      <c r="DU102" s="926"/>
      <c r="DV102" s="926"/>
      <c r="DW102" s="926"/>
      <c r="DX102" s="926"/>
      <c r="DY102" s="926"/>
      <c r="DZ102" s="926"/>
      <c r="EA102" s="926"/>
      <c r="EB102" s="926"/>
      <c r="EC102" s="926"/>
      <c r="ED102" s="926"/>
      <c r="EE102" s="926"/>
      <c r="EF102" s="926"/>
      <c r="EG102" s="926"/>
      <c r="EH102" s="926"/>
      <c r="EI102" s="926"/>
      <c r="EJ102" s="926"/>
      <c r="EK102" s="926"/>
      <c r="EL102" s="926"/>
      <c r="EM102" s="926"/>
      <c r="EN102" s="926"/>
      <c r="EO102" s="926"/>
      <c r="EP102" s="926"/>
      <c r="EQ102" s="926"/>
      <c r="ER102" s="926"/>
      <c r="ES102" s="926"/>
      <c r="ET102" s="926"/>
      <c r="EU102" s="926"/>
      <c r="EV102" s="926"/>
      <c r="EW102" s="926"/>
      <c r="EX102" s="926"/>
      <c r="EY102" s="926"/>
      <c r="EZ102" s="926"/>
      <c r="FA102" s="926"/>
      <c r="FB102" s="926"/>
      <c r="FC102" s="926"/>
      <c r="FD102" s="926"/>
      <c r="FE102" s="926"/>
      <c r="FF102" s="926"/>
      <c r="FG102" s="926"/>
      <c r="FH102" s="926"/>
      <c r="FI102" s="926"/>
      <c r="FJ102" s="926"/>
      <c r="FK102" s="926"/>
      <c r="FL102" s="926"/>
      <c r="FM102" s="926"/>
      <c r="FN102" s="926"/>
      <c r="FO102" s="926"/>
      <c r="FP102" s="926"/>
      <c r="FQ102" s="926"/>
      <c r="FR102" s="926"/>
      <c r="FS102" s="926"/>
      <c r="FT102" s="926"/>
      <c r="FU102" s="926"/>
      <c r="FV102" s="926"/>
      <c r="FW102" s="926"/>
      <c r="FX102" s="926"/>
      <c r="FY102" s="926"/>
      <c r="FZ102" s="926"/>
      <c r="GA102" s="926"/>
      <c r="GB102" s="926"/>
      <c r="GC102" s="926"/>
      <c r="GD102" s="926"/>
      <c r="GE102" s="926"/>
      <c r="GF102" s="926"/>
      <c r="GG102" s="926"/>
      <c r="GH102" s="926"/>
      <c r="GI102" s="926"/>
      <c r="GJ102" s="926"/>
      <c r="GK102" s="926"/>
      <c r="GL102" s="926"/>
      <c r="GM102" s="926"/>
      <c r="GN102" s="926"/>
      <c r="GO102" s="926"/>
      <c r="GP102" s="926"/>
      <c r="GQ102" s="926"/>
      <c r="GR102" s="926"/>
      <c r="GS102" s="926"/>
      <c r="GT102" s="926"/>
      <c r="GU102" s="926"/>
      <c r="GV102" s="926"/>
      <c r="GW102" s="926"/>
      <c r="GX102" s="926"/>
      <c r="GY102" s="926"/>
      <c r="GZ102" s="926"/>
      <c r="HA102" s="926"/>
      <c r="HB102" s="926"/>
      <c r="HC102" s="926"/>
      <c r="HD102" s="926"/>
      <c r="HE102" s="926"/>
      <c r="HF102" s="926"/>
      <c r="HG102" s="926"/>
      <c r="HH102" s="926"/>
      <c r="HI102" s="926"/>
      <c r="HJ102" s="926"/>
      <c r="HK102" s="926"/>
      <c r="HL102" s="926"/>
      <c r="HM102" s="926"/>
      <c r="HN102" s="926"/>
      <c r="HO102" s="926"/>
      <c r="HP102" s="926"/>
      <c r="HQ102" s="926"/>
      <c r="HR102" s="926"/>
      <c r="HS102" s="926"/>
      <c r="HT102" s="926"/>
      <c r="HU102" s="926"/>
      <c r="HV102" s="926"/>
      <c r="HW102" s="926"/>
      <c r="HX102" s="926"/>
      <c r="HY102" s="926"/>
      <c r="HZ102" s="926"/>
      <c r="IA102" s="926"/>
      <c r="IB102" s="926"/>
      <c r="IC102" s="926"/>
      <c r="ID102" s="926"/>
      <c r="IE102" s="926"/>
      <c r="IF102" s="926"/>
      <c r="IG102" s="926"/>
      <c r="IH102" s="926"/>
      <c r="II102" s="926"/>
      <c r="IJ102" s="926"/>
      <c r="IK102" s="926"/>
      <c r="IL102" s="926"/>
      <c r="IM102" s="926"/>
    </row>
    <row r="103" spans="1:247" x14ac:dyDescent="0.45">
      <c r="A103" s="441">
        <v>3151</v>
      </c>
      <c r="B103" s="939" t="s">
        <v>2638</v>
      </c>
      <c r="C103" s="47" t="s">
        <v>35</v>
      </c>
      <c r="D103" s="449" t="s">
        <v>2545</v>
      </c>
      <c r="E103" s="946">
        <f t="shared" si="18"/>
        <v>1.0740000000000001</v>
      </c>
      <c r="F103" s="941">
        <f t="shared" si="0"/>
        <v>1.0209999999999999</v>
      </c>
      <c r="G103" s="947">
        <f t="shared" si="16"/>
        <v>1.0269999999999999</v>
      </c>
      <c r="H103" s="946">
        <f t="shared" si="19"/>
        <v>1.0029999999999999</v>
      </c>
      <c r="I103" s="948">
        <f t="shared" si="20"/>
        <v>1.0289999999999999</v>
      </c>
      <c r="J103" s="948">
        <f t="shared" si="21"/>
        <v>1.0049999999999999</v>
      </c>
      <c r="K103" s="948">
        <f t="shared" si="22"/>
        <v>1.026</v>
      </c>
      <c r="L103" s="948">
        <f t="shared" si="23"/>
        <v>1.0129999999999999</v>
      </c>
      <c r="M103" s="948">
        <f t="shared" si="24"/>
        <v>1.0029999999999999</v>
      </c>
      <c r="N103" s="947">
        <f t="shared" si="17"/>
        <v>1.0029999999999999</v>
      </c>
      <c r="O103" s="949">
        <f t="shared" si="25"/>
        <v>1.0209999999999999</v>
      </c>
      <c r="P103" s="946">
        <f t="shared" si="14"/>
        <v>1.032</v>
      </c>
      <c r="Q103" s="947">
        <f t="shared" si="15"/>
        <v>1.0349999999999999</v>
      </c>
      <c r="R103" s="950">
        <f>PRODUCT(E103:Q103)</f>
        <v>1.3319480854780448</v>
      </c>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6"/>
      <c r="AV103" s="926"/>
      <c r="AW103" s="926"/>
      <c r="AX103" s="926"/>
      <c r="AY103" s="926"/>
      <c r="AZ103" s="926"/>
      <c r="BA103" s="926"/>
      <c r="BB103" s="926"/>
      <c r="BC103" s="926"/>
      <c r="BD103" s="926"/>
      <c r="BE103" s="926"/>
      <c r="BF103" s="926"/>
      <c r="BG103" s="926"/>
      <c r="BH103" s="926"/>
      <c r="BI103" s="926"/>
      <c r="BJ103" s="926"/>
      <c r="BK103" s="926"/>
      <c r="BL103" s="926"/>
      <c r="BM103" s="926"/>
      <c r="BN103" s="926"/>
      <c r="BO103" s="926"/>
      <c r="BP103" s="926"/>
      <c r="BQ103" s="926"/>
      <c r="BR103" s="926"/>
      <c r="BS103" s="926"/>
      <c r="BT103" s="926"/>
      <c r="BU103" s="926"/>
      <c r="BV103" s="926"/>
      <c r="BW103" s="926"/>
      <c r="BX103" s="926"/>
      <c r="BY103" s="926"/>
      <c r="BZ103" s="926"/>
      <c r="CA103" s="926"/>
      <c r="CB103" s="926"/>
      <c r="CC103" s="926"/>
      <c r="CD103" s="926"/>
      <c r="CE103" s="926"/>
      <c r="CF103" s="926"/>
      <c r="CG103" s="926"/>
      <c r="CH103" s="926"/>
      <c r="CI103" s="926"/>
      <c r="CJ103" s="926"/>
      <c r="CK103" s="926"/>
      <c r="CL103" s="926"/>
      <c r="CM103" s="926"/>
      <c r="CN103" s="926"/>
      <c r="CO103" s="926"/>
      <c r="CP103" s="926"/>
      <c r="CQ103" s="926"/>
      <c r="CR103" s="926"/>
      <c r="CS103" s="926"/>
      <c r="CT103" s="926"/>
      <c r="CU103" s="926"/>
      <c r="CV103" s="926"/>
      <c r="CW103" s="926"/>
      <c r="CX103" s="926"/>
      <c r="CY103" s="926"/>
      <c r="CZ103" s="926"/>
      <c r="DA103" s="926"/>
      <c r="DB103" s="926"/>
      <c r="DC103" s="926"/>
      <c r="DD103" s="926"/>
      <c r="DE103" s="926"/>
      <c r="DF103" s="926"/>
      <c r="DG103" s="926"/>
      <c r="DH103" s="926"/>
      <c r="DI103" s="926"/>
      <c r="DJ103" s="926"/>
      <c r="DK103" s="926"/>
      <c r="DL103" s="926"/>
      <c r="DM103" s="926"/>
      <c r="DN103" s="926"/>
      <c r="DO103" s="926"/>
      <c r="DP103" s="926"/>
      <c r="DQ103" s="926"/>
      <c r="DR103" s="926"/>
      <c r="DS103" s="926"/>
      <c r="DT103" s="926"/>
      <c r="DU103" s="926"/>
      <c r="DV103" s="926"/>
      <c r="DW103" s="926"/>
      <c r="DX103" s="926"/>
      <c r="DY103" s="926"/>
      <c r="DZ103" s="926"/>
      <c r="EA103" s="926"/>
      <c r="EB103" s="926"/>
      <c r="EC103" s="926"/>
      <c r="ED103" s="926"/>
      <c r="EE103" s="926"/>
      <c r="EF103" s="926"/>
      <c r="EG103" s="926"/>
      <c r="EH103" s="926"/>
      <c r="EI103" s="926"/>
      <c r="EJ103" s="926"/>
      <c r="EK103" s="926"/>
      <c r="EL103" s="926"/>
      <c r="EM103" s="926"/>
      <c r="EN103" s="926"/>
      <c r="EO103" s="926"/>
      <c r="EP103" s="926"/>
      <c r="EQ103" s="926"/>
      <c r="ER103" s="926"/>
      <c r="ES103" s="926"/>
      <c r="ET103" s="926"/>
      <c r="EU103" s="926"/>
      <c r="EV103" s="926"/>
      <c r="EW103" s="926"/>
      <c r="EX103" s="926"/>
      <c r="EY103" s="926"/>
      <c r="EZ103" s="926"/>
      <c r="FA103" s="926"/>
      <c r="FB103" s="926"/>
      <c r="FC103" s="926"/>
      <c r="FD103" s="926"/>
      <c r="FE103" s="926"/>
      <c r="FF103" s="926"/>
      <c r="FG103" s="926"/>
      <c r="FH103" s="926"/>
      <c r="FI103" s="926"/>
      <c r="FJ103" s="926"/>
      <c r="FK103" s="926"/>
      <c r="FL103" s="926"/>
      <c r="FM103" s="926"/>
      <c r="FN103" s="926"/>
      <c r="FO103" s="926"/>
      <c r="FP103" s="926"/>
      <c r="FQ103" s="926"/>
      <c r="FR103" s="926"/>
      <c r="FS103" s="926"/>
      <c r="FT103" s="926"/>
      <c r="FU103" s="926"/>
      <c r="FV103" s="926"/>
      <c r="FW103" s="926"/>
      <c r="FX103" s="926"/>
      <c r="FY103" s="926"/>
      <c r="FZ103" s="926"/>
      <c r="GA103" s="926"/>
      <c r="GB103" s="926"/>
      <c r="GC103" s="926"/>
      <c r="GD103" s="926"/>
      <c r="GE103" s="926"/>
      <c r="GF103" s="926"/>
      <c r="GG103" s="926"/>
      <c r="GH103" s="926"/>
      <c r="GI103" s="926"/>
      <c r="GJ103" s="926"/>
      <c r="GK103" s="926"/>
      <c r="GL103" s="926"/>
      <c r="GM103" s="926"/>
      <c r="GN103" s="926"/>
      <c r="GO103" s="926"/>
      <c r="GP103" s="926"/>
      <c r="GQ103" s="926"/>
      <c r="GR103" s="926"/>
      <c r="GS103" s="926"/>
      <c r="GT103" s="926"/>
      <c r="GU103" s="926"/>
      <c r="GV103" s="926"/>
      <c r="GW103" s="926"/>
      <c r="GX103" s="926"/>
      <c r="GY103" s="926"/>
      <c r="GZ103" s="926"/>
      <c r="HA103" s="926"/>
      <c r="HB103" s="926"/>
      <c r="HC103" s="926"/>
      <c r="HD103" s="926"/>
      <c r="HE103" s="926"/>
      <c r="HF103" s="926"/>
      <c r="HG103" s="926"/>
      <c r="HH103" s="926"/>
      <c r="HI103" s="926"/>
      <c r="HJ103" s="926"/>
      <c r="HK103" s="926"/>
      <c r="HL103" s="926"/>
      <c r="HM103" s="926"/>
      <c r="HN103" s="926"/>
      <c r="HO103" s="926"/>
      <c r="HP103" s="926"/>
      <c r="HQ103" s="926"/>
      <c r="HR103" s="926"/>
      <c r="HS103" s="926"/>
      <c r="HT103" s="926"/>
      <c r="HU103" s="926"/>
      <c r="HV103" s="926"/>
      <c r="HW103" s="926"/>
      <c r="HX103" s="926"/>
      <c r="HY103" s="926"/>
      <c r="HZ103" s="926"/>
      <c r="IA103" s="926"/>
      <c r="IB103" s="926"/>
      <c r="IC103" s="926"/>
      <c r="ID103" s="926"/>
      <c r="IE103" s="926"/>
      <c r="IF103" s="926"/>
      <c r="IG103" s="926"/>
      <c r="IH103" s="926"/>
      <c r="II103" s="926"/>
      <c r="IJ103" s="926"/>
      <c r="IK103" s="926"/>
      <c r="IL103" s="926"/>
      <c r="IM103" s="926"/>
    </row>
    <row r="104" spans="1:247" x14ac:dyDescent="0.45">
      <c r="A104" s="441">
        <v>3161</v>
      </c>
      <c r="B104" s="939" t="s">
        <v>2639</v>
      </c>
      <c r="C104" s="47" t="s">
        <v>35</v>
      </c>
      <c r="D104" s="449" t="s">
        <v>2545</v>
      </c>
      <c r="E104" s="946">
        <f t="shared" si="18"/>
        <v>1.0740000000000001</v>
      </c>
      <c r="F104" s="941">
        <f t="shared" si="0"/>
        <v>1.0209999999999999</v>
      </c>
      <c r="G104" s="947">
        <f t="shared" si="16"/>
        <v>1.0269999999999999</v>
      </c>
      <c r="H104" s="946">
        <f t="shared" si="19"/>
        <v>1.0029999999999999</v>
      </c>
      <c r="I104" s="948">
        <f t="shared" si="20"/>
        <v>1.0289999999999999</v>
      </c>
      <c r="J104" s="948">
        <f t="shared" si="21"/>
        <v>1.0049999999999999</v>
      </c>
      <c r="K104" s="948">
        <f t="shared" si="22"/>
        <v>1.026</v>
      </c>
      <c r="L104" s="948">
        <f t="shared" si="23"/>
        <v>1.0129999999999999</v>
      </c>
      <c r="M104" s="948">
        <f t="shared" si="24"/>
        <v>1.0029999999999999</v>
      </c>
      <c r="N104" s="947">
        <f t="shared" si="17"/>
        <v>1.0029999999999999</v>
      </c>
      <c r="O104" s="949">
        <f t="shared" si="25"/>
        <v>1.0209999999999999</v>
      </c>
      <c r="P104" s="946">
        <f t="shared" si="14"/>
        <v>1.032</v>
      </c>
      <c r="Q104" s="947">
        <f t="shared" si="15"/>
        <v>1.0349999999999999</v>
      </c>
      <c r="R104" s="950">
        <f>PRODUCT(E104:Q104)</f>
        <v>1.3319480854780448</v>
      </c>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6"/>
      <c r="AV104" s="926"/>
      <c r="AW104" s="926"/>
      <c r="AX104" s="926"/>
      <c r="AY104" s="926"/>
      <c r="AZ104" s="926"/>
      <c r="BA104" s="926"/>
      <c r="BB104" s="926"/>
      <c r="BC104" s="926"/>
      <c r="BD104" s="926"/>
      <c r="BE104" s="926"/>
      <c r="BF104" s="926"/>
      <c r="BG104" s="926"/>
      <c r="BH104" s="926"/>
      <c r="BI104" s="926"/>
      <c r="BJ104" s="926"/>
      <c r="BK104" s="926"/>
      <c r="BL104" s="926"/>
      <c r="BM104" s="926"/>
      <c r="BN104" s="926"/>
      <c r="BO104" s="926"/>
      <c r="BP104" s="926"/>
      <c r="BQ104" s="926"/>
      <c r="BR104" s="926"/>
      <c r="BS104" s="926"/>
      <c r="BT104" s="926"/>
      <c r="BU104" s="926"/>
      <c r="BV104" s="926"/>
      <c r="BW104" s="926"/>
      <c r="BX104" s="926"/>
      <c r="BY104" s="926"/>
      <c r="BZ104" s="926"/>
      <c r="CA104" s="926"/>
      <c r="CB104" s="926"/>
      <c r="CC104" s="926"/>
      <c r="CD104" s="926"/>
      <c r="CE104" s="926"/>
      <c r="CF104" s="926"/>
      <c r="CG104" s="926"/>
      <c r="CH104" s="926"/>
      <c r="CI104" s="926"/>
      <c r="CJ104" s="926"/>
      <c r="CK104" s="926"/>
      <c r="CL104" s="926"/>
      <c r="CM104" s="926"/>
      <c r="CN104" s="926"/>
      <c r="CO104" s="926"/>
      <c r="CP104" s="926"/>
      <c r="CQ104" s="926"/>
      <c r="CR104" s="926"/>
      <c r="CS104" s="926"/>
      <c r="CT104" s="926"/>
      <c r="CU104" s="926"/>
      <c r="CV104" s="926"/>
      <c r="CW104" s="926"/>
      <c r="CX104" s="926"/>
      <c r="CY104" s="926"/>
      <c r="CZ104" s="926"/>
      <c r="DA104" s="926"/>
      <c r="DB104" s="926"/>
      <c r="DC104" s="926"/>
      <c r="DD104" s="926"/>
      <c r="DE104" s="926"/>
      <c r="DF104" s="926"/>
      <c r="DG104" s="926"/>
      <c r="DH104" s="926"/>
      <c r="DI104" s="926"/>
      <c r="DJ104" s="926"/>
      <c r="DK104" s="926"/>
      <c r="DL104" s="926"/>
      <c r="DM104" s="926"/>
      <c r="DN104" s="926"/>
      <c r="DO104" s="926"/>
      <c r="DP104" s="926"/>
      <c r="DQ104" s="926"/>
      <c r="DR104" s="926"/>
      <c r="DS104" s="926"/>
      <c r="DT104" s="926"/>
      <c r="DU104" s="926"/>
      <c r="DV104" s="926"/>
      <c r="DW104" s="926"/>
      <c r="DX104" s="926"/>
      <c r="DY104" s="926"/>
      <c r="DZ104" s="926"/>
      <c r="EA104" s="926"/>
      <c r="EB104" s="926"/>
      <c r="EC104" s="926"/>
      <c r="ED104" s="926"/>
      <c r="EE104" s="926"/>
      <c r="EF104" s="926"/>
      <c r="EG104" s="926"/>
      <c r="EH104" s="926"/>
      <c r="EI104" s="926"/>
      <c r="EJ104" s="926"/>
      <c r="EK104" s="926"/>
      <c r="EL104" s="926"/>
      <c r="EM104" s="926"/>
      <c r="EN104" s="926"/>
      <c r="EO104" s="926"/>
      <c r="EP104" s="926"/>
      <c r="EQ104" s="926"/>
      <c r="ER104" s="926"/>
      <c r="ES104" s="926"/>
      <c r="ET104" s="926"/>
      <c r="EU104" s="926"/>
      <c r="EV104" s="926"/>
      <c r="EW104" s="926"/>
      <c r="EX104" s="926"/>
      <c r="EY104" s="926"/>
      <c r="EZ104" s="926"/>
      <c r="FA104" s="926"/>
      <c r="FB104" s="926"/>
      <c r="FC104" s="926"/>
      <c r="FD104" s="926"/>
      <c r="FE104" s="926"/>
      <c r="FF104" s="926"/>
      <c r="FG104" s="926"/>
      <c r="FH104" s="926"/>
      <c r="FI104" s="926"/>
      <c r="FJ104" s="926"/>
      <c r="FK104" s="926"/>
      <c r="FL104" s="926"/>
      <c r="FM104" s="926"/>
      <c r="FN104" s="926"/>
      <c r="FO104" s="926"/>
      <c r="FP104" s="926"/>
      <c r="FQ104" s="926"/>
      <c r="FR104" s="926"/>
      <c r="FS104" s="926"/>
      <c r="FT104" s="926"/>
      <c r="FU104" s="926"/>
      <c r="FV104" s="926"/>
      <c r="FW104" s="926"/>
      <c r="FX104" s="926"/>
      <c r="FY104" s="926"/>
      <c r="FZ104" s="926"/>
      <c r="GA104" s="926"/>
      <c r="GB104" s="926"/>
      <c r="GC104" s="926"/>
      <c r="GD104" s="926"/>
      <c r="GE104" s="926"/>
      <c r="GF104" s="926"/>
      <c r="GG104" s="926"/>
      <c r="GH104" s="926"/>
      <c r="GI104" s="926"/>
      <c r="GJ104" s="926"/>
      <c r="GK104" s="926"/>
      <c r="GL104" s="926"/>
      <c r="GM104" s="926"/>
      <c r="GN104" s="926"/>
      <c r="GO104" s="926"/>
      <c r="GP104" s="926"/>
      <c r="GQ104" s="926"/>
      <c r="GR104" s="926"/>
      <c r="GS104" s="926"/>
      <c r="GT104" s="926"/>
      <c r="GU104" s="926"/>
      <c r="GV104" s="926"/>
      <c r="GW104" s="926"/>
      <c r="GX104" s="926"/>
      <c r="GY104" s="926"/>
      <c r="GZ104" s="926"/>
      <c r="HA104" s="926"/>
      <c r="HB104" s="926"/>
      <c r="HC104" s="926"/>
      <c r="HD104" s="926"/>
      <c r="HE104" s="926"/>
      <c r="HF104" s="926"/>
      <c r="HG104" s="926"/>
      <c r="HH104" s="926"/>
      <c r="HI104" s="926"/>
      <c r="HJ104" s="926"/>
      <c r="HK104" s="926"/>
      <c r="HL104" s="926"/>
      <c r="HM104" s="926"/>
      <c r="HN104" s="926"/>
      <c r="HO104" s="926"/>
      <c r="HP104" s="926"/>
      <c r="HQ104" s="926"/>
      <c r="HR104" s="926"/>
      <c r="HS104" s="926"/>
      <c r="HT104" s="926"/>
      <c r="HU104" s="926"/>
      <c r="HV104" s="926"/>
      <c r="HW104" s="926"/>
      <c r="HX104" s="926"/>
      <c r="HY104" s="926"/>
      <c r="HZ104" s="926"/>
      <c r="IA104" s="926"/>
      <c r="IB104" s="926"/>
      <c r="IC104" s="926"/>
      <c r="ID104" s="926"/>
      <c r="IE104" s="926"/>
      <c r="IF104" s="926"/>
      <c r="IG104" s="926"/>
      <c r="IH104" s="926"/>
      <c r="II104" s="926"/>
      <c r="IJ104" s="926"/>
      <c r="IK104" s="926"/>
      <c r="IL104" s="926"/>
      <c r="IM104" s="926"/>
    </row>
    <row r="105" spans="1:247" x14ac:dyDescent="0.45">
      <c r="A105" s="441">
        <v>3171</v>
      </c>
      <c r="B105" s="939" t="s">
        <v>2640</v>
      </c>
      <c r="C105" s="47" t="s">
        <v>35</v>
      </c>
      <c r="D105" s="449" t="s">
        <v>2545</v>
      </c>
      <c r="E105" s="946">
        <f t="shared" si="18"/>
        <v>1.0740000000000001</v>
      </c>
      <c r="F105" s="941">
        <f t="shared" si="0"/>
        <v>1.0209999999999999</v>
      </c>
      <c r="G105" s="947">
        <f t="shared" si="16"/>
        <v>1.0269999999999999</v>
      </c>
      <c r="H105" s="946">
        <f t="shared" si="19"/>
        <v>1.0029999999999999</v>
      </c>
      <c r="I105" s="948">
        <f t="shared" si="20"/>
        <v>1.0289999999999999</v>
      </c>
      <c r="J105" s="948">
        <f t="shared" si="21"/>
        <v>1.0049999999999999</v>
      </c>
      <c r="K105" s="948">
        <f t="shared" si="22"/>
        <v>1.026</v>
      </c>
      <c r="L105" s="948">
        <f t="shared" si="23"/>
        <v>1.0129999999999999</v>
      </c>
      <c r="M105" s="948">
        <f t="shared" si="24"/>
        <v>1.0029999999999999</v>
      </c>
      <c r="N105" s="947">
        <f t="shared" si="17"/>
        <v>1.0029999999999999</v>
      </c>
      <c r="O105" s="949">
        <f t="shared" si="25"/>
        <v>1.0209999999999999</v>
      </c>
      <c r="P105" s="946">
        <f t="shared" si="14"/>
        <v>1.032</v>
      </c>
      <c r="Q105" s="947">
        <f t="shared" si="15"/>
        <v>1.0349999999999999</v>
      </c>
      <c r="R105" s="950">
        <f>PRODUCT(E105:Q105)</f>
        <v>1.3319480854780448</v>
      </c>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6"/>
      <c r="AV105" s="926"/>
      <c r="AW105" s="926"/>
      <c r="AX105" s="926"/>
      <c r="AY105" s="926"/>
      <c r="AZ105" s="926"/>
      <c r="BA105" s="926"/>
      <c r="BB105" s="926"/>
      <c r="BC105" s="926"/>
      <c r="BD105" s="926"/>
      <c r="BE105" s="926"/>
      <c r="BF105" s="926"/>
      <c r="BG105" s="926"/>
      <c r="BH105" s="926"/>
      <c r="BI105" s="926"/>
      <c r="BJ105" s="926"/>
      <c r="BK105" s="926"/>
      <c r="BL105" s="926"/>
      <c r="BM105" s="926"/>
      <c r="BN105" s="926"/>
      <c r="BO105" s="926"/>
      <c r="BP105" s="926"/>
      <c r="BQ105" s="926"/>
      <c r="BR105" s="926"/>
      <c r="BS105" s="926"/>
      <c r="BT105" s="926"/>
      <c r="BU105" s="926"/>
      <c r="BV105" s="926"/>
      <c r="BW105" s="926"/>
      <c r="BX105" s="926"/>
      <c r="BY105" s="926"/>
      <c r="BZ105" s="926"/>
      <c r="CA105" s="926"/>
      <c r="CB105" s="926"/>
      <c r="CC105" s="926"/>
      <c r="CD105" s="926"/>
      <c r="CE105" s="926"/>
      <c r="CF105" s="926"/>
      <c r="CG105" s="926"/>
      <c r="CH105" s="926"/>
      <c r="CI105" s="926"/>
      <c r="CJ105" s="926"/>
      <c r="CK105" s="926"/>
      <c r="CL105" s="926"/>
      <c r="CM105" s="926"/>
      <c r="CN105" s="926"/>
      <c r="CO105" s="926"/>
      <c r="CP105" s="926"/>
      <c r="CQ105" s="926"/>
      <c r="CR105" s="926"/>
      <c r="CS105" s="926"/>
      <c r="CT105" s="926"/>
      <c r="CU105" s="926"/>
      <c r="CV105" s="926"/>
      <c r="CW105" s="926"/>
      <c r="CX105" s="926"/>
      <c r="CY105" s="926"/>
      <c r="CZ105" s="926"/>
      <c r="DA105" s="926"/>
      <c r="DB105" s="926"/>
      <c r="DC105" s="926"/>
      <c r="DD105" s="926"/>
      <c r="DE105" s="926"/>
      <c r="DF105" s="926"/>
      <c r="DG105" s="926"/>
      <c r="DH105" s="926"/>
      <c r="DI105" s="926"/>
      <c r="DJ105" s="926"/>
      <c r="DK105" s="926"/>
      <c r="DL105" s="926"/>
      <c r="DM105" s="926"/>
      <c r="DN105" s="926"/>
      <c r="DO105" s="926"/>
      <c r="DP105" s="926"/>
      <c r="DQ105" s="926"/>
      <c r="DR105" s="926"/>
      <c r="DS105" s="926"/>
      <c r="DT105" s="926"/>
      <c r="DU105" s="926"/>
      <c r="DV105" s="926"/>
      <c r="DW105" s="926"/>
      <c r="DX105" s="926"/>
      <c r="DY105" s="926"/>
      <c r="DZ105" s="926"/>
      <c r="EA105" s="926"/>
      <c r="EB105" s="926"/>
      <c r="EC105" s="926"/>
      <c r="ED105" s="926"/>
      <c r="EE105" s="926"/>
      <c r="EF105" s="926"/>
      <c r="EG105" s="926"/>
      <c r="EH105" s="926"/>
      <c r="EI105" s="926"/>
      <c r="EJ105" s="926"/>
      <c r="EK105" s="926"/>
      <c r="EL105" s="926"/>
      <c r="EM105" s="926"/>
      <c r="EN105" s="926"/>
      <c r="EO105" s="926"/>
      <c r="EP105" s="926"/>
      <c r="EQ105" s="926"/>
      <c r="ER105" s="926"/>
      <c r="ES105" s="926"/>
      <c r="ET105" s="926"/>
      <c r="EU105" s="926"/>
      <c r="EV105" s="926"/>
      <c r="EW105" s="926"/>
      <c r="EX105" s="926"/>
      <c r="EY105" s="926"/>
      <c r="EZ105" s="926"/>
      <c r="FA105" s="926"/>
      <c r="FB105" s="926"/>
      <c r="FC105" s="926"/>
      <c r="FD105" s="926"/>
      <c r="FE105" s="926"/>
      <c r="FF105" s="926"/>
      <c r="FG105" s="926"/>
      <c r="FH105" s="926"/>
      <c r="FI105" s="926"/>
      <c r="FJ105" s="926"/>
      <c r="FK105" s="926"/>
      <c r="FL105" s="926"/>
      <c r="FM105" s="926"/>
      <c r="FN105" s="926"/>
      <c r="FO105" s="926"/>
      <c r="FP105" s="926"/>
      <c r="FQ105" s="926"/>
      <c r="FR105" s="926"/>
      <c r="FS105" s="926"/>
      <c r="FT105" s="926"/>
      <c r="FU105" s="926"/>
      <c r="FV105" s="926"/>
      <c r="FW105" s="926"/>
      <c r="FX105" s="926"/>
      <c r="FY105" s="926"/>
      <c r="FZ105" s="926"/>
      <c r="GA105" s="926"/>
      <c r="GB105" s="926"/>
      <c r="GC105" s="926"/>
      <c r="GD105" s="926"/>
      <c r="GE105" s="926"/>
      <c r="GF105" s="926"/>
      <c r="GG105" s="926"/>
      <c r="GH105" s="926"/>
      <c r="GI105" s="926"/>
      <c r="GJ105" s="926"/>
      <c r="GK105" s="926"/>
      <c r="GL105" s="926"/>
      <c r="GM105" s="926"/>
      <c r="GN105" s="926"/>
      <c r="GO105" s="926"/>
      <c r="GP105" s="926"/>
      <c r="GQ105" s="926"/>
      <c r="GR105" s="926"/>
      <c r="GS105" s="926"/>
      <c r="GT105" s="926"/>
      <c r="GU105" s="926"/>
      <c r="GV105" s="926"/>
      <c r="GW105" s="926"/>
      <c r="GX105" s="926"/>
      <c r="GY105" s="926"/>
      <c r="GZ105" s="926"/>
      <c r="HA105" s="926"/>
      <c r="HB105" s="926"/>
      <c r="HC105" s="926"/>
      <c r="HD105" s="926"/>
      <c r="HE105" s="926"/>
      <c r="HF105" s="926"/>
      <c r="HG105" s="926"/>
      <c r="HH105" s="926"/>
      <c r="HI105" s="926"/>
      <c r="HJ105" s="926"/>
      <c r="HK105" s="926"/>
      <c r="HL105" s="926"/>
      <c r="HM105" s="926"/>
      <c r="HN105" s="926"/>
      <c r="HO105" s="926"/>
      <c r="HP105" s="926"/>
      <c r="HQ105" s="926"/>
      <c r="HR105" s="926"/>
      <c r="HS105" s="926"/>
      <c r="HT105" s="926"/>
      <c r="HU105" s="926"/>
      <c r="HV105" s="926"/>
      <c r="HW105" s="926"/>
      <c r="HX105" s="926"/>
      <c r="HY105" s="926"/>
      <c r="HZ105" s="926"/>
      <c r="IA105" s="926"/>
      <c r="IB105" s="926"/>
      <c r="IC105" s="926"/>
      <c r="ID105" s="926"/>
      <c r="IE105" s="926"/>
      <c r="IF105" s="926"/>
      <c r="IG105" s="926"/>
      <c r="IH105" s="926"/>
      <c r="II105" s="926"/>
      <c r="IJ105" s="926"/>
      <c r="IK105" s="926"/>
      <c r="IL105" s="926"/>
      <c r="IM105" s="926"/>
    </row>
    <row r="106" spans="1:247" x14ac:dyDescent="0.45">
      <c r="A106" s="441">
        <v>3181</v>
      </c>
      <c r="B106" s="939" t="s">
        <v>2641</v>
      </c>
      <c r="C106" s="47" t="s">
        <v>35</v>
      </c>
      <c r="D106" s="449" t="s">
        <v>2545</v>
      </c>
      <c r="E106" s="946">
        <f t="shared" si="18"/>
        <v>1.0740000000000001</v>
      </c>
      <c r="F106" s="941">
        <f t="shared" si="0"/>
        <v>1.0209999999999999</v>
      </c>
      <c r="G106" s="947"/>
      <c r="H106" s="946">
        <f t="shared" si="19"/>
        <v>1.0029999999999999</v>
      </c>
      <c r="I106" s="948">
        <f t="shared" si="20"/>
        <v>1.0289999999999999</v>
      </c>
      <c r="J106" s="948">
        <f t="shared" si="21"/>
        <v>1.0049999999999999</v>
      </c>
      <c r="K106" s="948">
        <f t="shared" si="22"/>
        <v>1.026</v>
      </c>
      <c r="L106" s="948">
        <f t="shared" si="23"/>
        <v>1.0129999999999999</v>
      </c>
      <c r="M106" s="948">
        <f t="shared" si="24"/>
        <v>1.0029999999999999</v>
      </c>
      <c r="N106" s="947">
        <f t="shared" si="17"/>
        <v>1.0029999999999999</v>
      </c>
      <c r="O106" s="949">
        <f t="shared" si="25"/>
        <v>1.0209999999999999</v>
      </c>
      <c r="P106" s="946">
        <f t="shared" si="14"/>
        <v>1.032</v>
      </c>
      <c r="Q106" s="947">
        <f t="shared" si="15"/>
        <v>1.0349999999999999</v>
      </c>
      <c r="R106" s="950">
        <f t="shared" si="1"/>
        <v>1.2969309498325658</v>
      </c>
      <c r="S106" s="926"/>
      <c r="T106" s="926"/>
      <c r="U106" s="926"/>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6"/>
      <c r="AV106" s="926"/>
      <c r="AW106" s="926"/>
      <c r="AX106" s="926"/>
      <c r="AY106" s="926"/>
      <c r="AZ106" s="926"/>
      <c r="BA106" s="926"/>
      <c r="BB106" s="926"/>
      <c r="BC106" s="926"/>
      <c r="BD106" s="926"/>
      <c r="BE106" s="926"/>
      <c r="BF106" s="926"/>
      <c r="BG106" s="926"/>
      <c r="BH106" s="926"/>
      <c r="BI106" s="926"/>
      <c r="BJ106" s="926"/>
      <c r="BK106" s="926"/>
      <c r="BL106" s="926"/>
      <c r="BM106" s="926"/>
      <c r="BN106" s="926"/>
      <c r="BO106" s="926"/>
      <c r="BP106" s="926"/>
      <c r="BQ106" s="926"/>
      <c r="BR106" s="926"/>
      <c r="BS106" s="926"/>
      <c r="BT106" s="926"/>
      <c r="BU106" s="926"/>
      <c r="BV106" s="926"/>
      <c r="BW106" s="926"/>
      <c r="BX106" s="926"/>
      <c r="BY106" s="926"/>
      <c r="BZ106" s="926"/>
      <c r="CA106" s="926"/>
      <c r="CB106" s="926"/>
      <c r="CC106" s="926"/>
      <c r="CD106" s="926"/>
      <c r="CE106" s="926"/>
      <c r="CF106" s="926"/>
      <c r="CG106" s="926"/>
      <c r="CH106" s="926"/>
      <c r="CI106" s="926"/>
      <c r="CJ106" s="926"/>
      <c r="CK106" s="926"/>
      <c r="CL106" s="926"/>
      <c r="CM106" s="926"/>
      <c r="CN106" s="926"/>
      <c r="CO106" s="926"/>
      <c r="CP106" s="926"/>
      <c r="CQ106" s="926"/>
      <c r="CR106" s="926"/>
      <c r="CS106" s="926"/>
      <c r="CT106" s="926"/>
      <c r="CU106" s="926"/>
      <c r="CV106" s="926"/>
      <c r="CW106" s="926"/>
      <c r="CX106" s="926"/>
      <c r="CY106" s="926"/>
      <c r="CZ106" s="926"/>
      <c r="DA106" s="926"/>
      <c r="DB106" s="926"/>
      <c r="DC106" s="926"/>
      <c r="DD106" s="926"/>
      <c r="DE106" s="926"/>
      <c r="DF106" s="926"/>
      <c r="DG106" s="926"/>
      <c r="DH106" s="926"/>
      <c r="DI106" s="926"/>
      <c r="DJ106" s="926"/>
      <c r="DK106" s="926"/>
      <c r="DL106" s="926"/>
      <c r="DM106" s="926"/>
      <c r="DN106" s="926"/>
      <c r="DO106" s="926"/>
      <c r="DP106" s="926"/>
      <c r="DQ106" s="926"/>
      <c r="DR106" s="926"/>
      <c r="DS106" s="926"/>
      <c r="DT106" s="926"/>
      <c r="DU106" s="926"/>
      <c r="DV106" s="926"/>
      <c r="DW106" s="926"/>
      <c r="DX106" s="926"/>
      <c r="DY106" s="926"/>
      <c r="DZ106" s="926"/>
      <c r="EA106" s="926"/>
      <c r="EB106" s="926"/>
      <c r="EC106" s="926"/>
      <c r="ED106" s="926"/>
      <c r="EE106" s="926"/>
      <c r="EF106" s="926"/>
      <c r="EG106" s="926"/>
      <c r="EH106" s="926"/>
      <c r="EI106" s="926"/>
      <c r="EJ106" s="926"/>
      <c r="EK106" s="926"/>
      <c r="EL106" s="926"/>
      <c r="EM106" s="926"/>
      <c r="EN106" s="926"/>
      <c r="EO106" s="926"/>
      <c r="EP106" s="926"/>
      <c r="EQ106" s="926"/>
      <c r="ER106" s="926"/>
      <c r="ES106" s="926"/>
      <c r="ET106" s="926"/>
      <c r="EU106" s="926"/>
      <c r="EV106" s="926"/>
      <c r="EW106" s="926"/>
      <c r="EX106" s="926"/>
      <c r="EY106" s="926"/>
      <c r="EZ106" s="926"/>
      <c r="FA106" s="926"/>
      <c r="FB106" s="926"/>
      <c r="FC106" s="926"/>
      <c r="FD106" s="926"/>
      <c r="FE106" s="926"/>
      <c r="FF106" s="926"/>
      <c r="FG106" s="926"/>
      <c r="FH106" s="926"/>
      <c r="FI106" s="926"/>
      <c r="FJ106" s="926"/>
      <c r="FK106" s="926"/>
      <c r="FL106" s="926"/>
      <c r="FM106" s="926"/>
      <c r="FN106" s="926"/>
      <c r="FO106" s="926"/>
      <c r="FP106" s="926"/>
      <c r="FQ106" s="926"/>
      <c r="FR106" s="926"/>
      <c r="FS106" s="926"/>
      <c r="FT106" s="926"/>
      <c r="FU106" s="926"/>
      <c r="FV106" s="926"/>
      <c r="FW106" s="926"/>
      <c r="FX106" s="926"/>
      <c r="FY106" s="926"/>
      <c r="FZ106" s="926"/>
      <c r="GA106" s="926"/>
      <c r="GB106" s="926"/>
      <c r="GC106" s="926"/>
      <c r="GD106" s="926"/>
      <c r="GE106" s="926"/>
      <c r="GF106" s="926"/>
      <c r="GG106" s="926"/>
      <c r="GH106" s="926"/>
      <c r="GI106" s="926"/>
      <c r="GJ106" s="926"/>
      <c r="GK106" s="926"/>
      <c r="GL106" s="926"/>
      <c r="GM106" s="926"/>
      <c r="GN106" s="926"/>
      <c r="GO106" s="926"/>
      <c r="GP106" s="926"/>
      <c r="GQ106" s="926"/>
      <c r="GR106" s="926"/>
      <c r="GS106" s="926"/>
      <c r="GT106" s="926"/>
      <c r="GU106" s="926"/>
      <c r="GV106" s="926"/>
      <c r="GW106" s="926"/>
      <c r="GX106" s="926"/>
      <c r="GY106" s="926"/>
      <c r="GZ106" s="926"/>
      <c r="HA106" s="926"/>
      <c r="HB106" s="926"/>
      <c r="HC106" s="926"/>
      <c r="HD106" s="926"/>
      <c r="HE106" s="926"/>
      <c r="HF106" s="926"/>
      <c r="HG106" s="926"/>
      <c r="HH106" s="926"/>
      <c r="HI106" s="926"/>
      <c r="HJ106" s="926"/>
      <c r="HK106" s="926"/>
      <c r="HL106" s="926"/>
      <c r="HM106" s="926"/>
      <c r="HN106" s="926"/>
      <c r="HO106" s="926"/>
      <c r="HP106" s="926"/>
      <c r="HQ106" s="926"/>
      <c r="HR106" s="926"/>
      <c r="HS106" s="926"/>
      <c r="HT106" s="926"/>
      <c r="HU106" s="926"/>
      <c r="HV106" s="926"/>
      <c r="HW106" s="926"/>
      <c r="HX106" s="926"/>
      <c r="HY106" s="926"/>
      <c r="HZ106" s="926"/>
      <c r="IA106" s="926"/>
      <c r="IB106" s="926"/>
      <c r="IC106" s="926"/>
      <c r="ID106" s="926"/>
      <c r="IE106" s="926"/>
      <c r="IF106" s="926"/>
      <c r="IG106" s="926"/>
      <c r="IH106" s="926"/>
      <c r="II106" s="926"/>
      <c r="IJ106" s="926"/>
      <c r="IK106" s="926"/>
      <c r="IL106" s="926"/>
      <c r="IM106" s="926"/>
    </row>
    <row r="107" spans="1:247" x14ac:dyDescent="0.45">
      <c r="A107" s="441">
        <v>3191</v>
      </c>
      <c r="B107" s="939" t="s">
        <v>2642</v>
      </c>
      <c r="C107" s="47" t="s">
        <v>35</v>
      </c>
      <c r="D107" s="449" t="s">
        <v>2545</v>
      </c>
      <c r="E107" s="946">
        <f t="shared" si="18"/>
        <v>1.0740000000000001</v>
      </c>
      <c r="F107" s="941">
        <f t="shared" si="0"/>
        <v>1.0209999999999999</v>
      </c>
      <c r="G107" s="947">
        <f t="shared" si="16"/>
        <v>1.0269999999999999</v>
      </c>
      <c r="H107" s="946">
        <f t="shared" si="19"/>
        <v>1.0029999999999999</v>
      </c>
      <c r="I107" s="948">
        <f t="shared" si="20"/>
        <v>1.0289999999999999</v>
      </c>
      <c r="J107" s="948">
        <f t="shared" si="21"/>
        <v>1.0049999999999999</v>
      </c>
      <c r="K107" s="948">
        <f t="shared" si="22"/>
        <v>1.026</v>
      </c>
      <c r="L107" s="948">
        <f t="shared" si="23"/>
        <v>1.0129999999999999</v>
      </c>
      <c r="M107" s="948">
        <f t="shared" si="24"/>
        <v>1.0029999999999999</v>
      </c>
      <c r="N107" s="947">
        <f t="shared" si="17"/>
        <v>1.0029999999999999</v>
      </c>
      <c r="O107" s="949">
        <f t="shared" si="25"/>
        <v>1.0209999999999999</v>
      </c>
      <c r="P107" s="946">
        <f t="shared" si="14"/>
        <v>1.032</v>
      </c>
      <c r="Q107" s="947">
        <f t="shared" si="15"/>
        <v>1.0349999999999999</v>
      </c>
      <c r="R107" s="950">
        <f>PRODUCT(E107:Q107)</f>
        <v>1.3319480854780448</v>
      </c>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6"/>
      <c r="AV107" s="926"/>
      <c r="AW107" s="926"/>
      <c r="AX107" s="926"/>
      <c r="AY107" s="926"/>
      <c r="AZ107" s="926"/>
      <c r="BA107" s="926"/>
      <c r="BB107" s="926"/>
      <c r="BC107" s="926"/>
      <c r="BD107" s="926"/>
      <c r="BE107" s="926"/>
      <c r="BF107" s="926"/>
      <c r="BG107" s="926"/>
      <c r="BH107" s="926"/>
      <c r="BI107" s="926"/>
      <c r="BJ107" s="926"/>
      <c r="BK107" s="926"/>
      <c r="BL107" s="926"/>
      <c r="BM107" s="926"/>
      <c r="BN107" s="926"/>
      <c r="BO107" s="926"/>
      <c r="BP107" s="926"/>
      <c r="BQ107" s="926"/>
      <c r="BR107" s="926"/>
      <c r="BS107" s="926"/>
      <c r="BT107" s="926"/>
      <c r="BU107" s="926"/>
      <c r="BV107" s="926"/>
      <c r="BW107" s="926"/>
      <c r="BX107" s="926"/>
      <c r="BY107" s="926"/>
      <c r="BZ107" s="926"/>
      <c r="CA107" s="926"/>
      <c r="CB107" s="926"/>
      <c r="CC107" s="926"/>
      <c r="CD107" s="926"/>
      <c r="CE107" s="926"/>
      <c r="CF107" s="926"/>
      <c r="CG107" s="926"/>
      <c r="CH107" s="926"/>
      <c r="CI107" s="926"/>
      <c r="CJ107" s="926"/>
      <c r="CK107" s="926"/>
      <c r="CL107" s="926"/>
      <c r="CM107" s="926"/>
      <c r="CN107" s="926"/>
      <c r="CO107" s="926"/>
      <c r="CP107" s="926"/>
      <c r="CQ107" s="926"/>
      <c r="CR107" s="926"/>
      <c r="CS107" s="926"/>
      <c r="CT107" s="926"/>
      <c r="CU107" s="926"/>
      <c r="CV107" s="926"/>
      <c r="CW107" s="926"/>
      <c r="CX107" s="926"/>
      <c r="CY107" s="926"/>
      <c r="CZ107" s="926"/>
      <c r="DA107" s="926"/>
      <c r="DB107" s="926"/>
      <c r="DC107" s="926"/>
      <c r="DD107" s="926"/>
      <c r="DE107" s="926"/>
      <c r="DF107" s="926"/>
      <c r="DG107" s="926"/>
      <c r="DH107" s="926"/>
      <c r="DI107" s="926"/>
      <c r="DJ107" s="926"/>
      <c r="DK107" s="926"/>
      <c r="DL107" s="926"/>
      <c r="DM107" s="926"/>
      <c r="DN107" s="926"/>
      <c r="DO107" s="926"/>
      <c r="DP107" s="926"/>
      <c r="DQ107" s="926"/>
      <c r="DR107" s="926"/>
      <c r="DS107" s="926"/>
      <c r="DT107" s="926"/>
      <c r="DU107" s="926"/>
      <c r="DV107" s="926"/>
      <c r="DW107" s="926"/>
      <c r="DX107" s="926"/>
      <c r="DY107" s="926"/>
      <c r="DZ107" s="926"/>
      <c r="EA107" s="926"/>
      <c r="EB107" s="926"/>
      <c r="EC107" s="926"/>
      <c r="ED107" s="926"/>
      <c r="EE107" s="926"/>
      <c r="EF107" s="926"/>
      <c r="EG107" s="926"/>
      <c r="EH107" s="926"/>
      <c r="EI107" s="926"/>
      <c r="EJ107" s="926"/>
      <c r="EK107" s="926"/>
      <c r="EL107" s="926"/>
      <c r="EM107" s="926"/>
      <c r="EN107" s="926"/>
      <c r="EO107" s="926"/>
      <c r="EP107" s="926"/>
      <c r="EQ107" s="926"/>
      <c r="ER107" s="926"/>
      <c r="ES107" s="926"/>
      <c r="ET107" s="926"/>
      <c r="EU107" s="926"/>
      <c r="EV107" s="926"/>
      <c r="EW107" s="926"/>
      <c r="EX107" s="926"/>
      <c r="EY107" s="926"/>
      <c r="EZ107" s="926"/>
      <c r="FA107" s="926"/>
      <c r="FB107" s="926"/>
      <c r="FC107" s="926"/>
      <c r="FD107" s="926"/>
      <c r="FE107" s="926"/>
      <c r="FF107" s="926"/>
      <c r="FG107" s="926"/>
      <c r="FH107" s="926"/>
      <c r="FI107" s="926"/>
      <c r="FJ107" s="926"/>
      <c r="FK107" s="926"/>
      <c r="FL107" s="926"/>
      <c r="FM107" s="926"/>
      <c r="FN107" s="926"/>
      <c r="FO107" s="926"/>
      <c r="FP107" s="926"/>
      <c r="FQ107" s="926"/>
      <c r="FR107" s="926"/>
      <c r="FS107" s="926"/>
      <c r="FT107" s="926"/>
      <c r="FU107" s="926"/>
      <c r="FV107" s="926"/>
      <c r="FW107" s="926"/>
      <c r="FX107" s="926"/>
      <c r="FY107" s="926"/>
      <c r="FZ107" s="926"/>
      <c r="GA107" s="926"/>
      <c r="GB107" s="926"/>
      <c r="GC107" s="926"/>
      <c r="GD107" s="926"/>
      <c r="GE107" s="926"/>
      <c r="GF107" s="926"/>
      <c r="GG107" s="926"/>
      <c r="GH107" s="926"/>
      <c r="GI107" s="926"/>
      <c r="GJ107" s="926"/>
      <c r="GK107" s="926"/>
      <c r="GL107" s="926"/>
      <c r="GM107" s="926"/>
      <c r="GN107" s="926"/>
      <c r="GO107" s="926"/>
      <c r="GP107" s="926"/>
      <c r="GQ107" s="926"/>
      <c r="GR107" s="926"/>
      <c r="GS107" s="926"/>
      <c r="GT107" s="926"/>
      <c r="GU107" s="926"/>
      <c r="GV107" s="926"/>
      <c r="GW107" s="926"/>
      <c r="GX107" s="926"/>
      <c r="GY107" s="926"/>
      <c r="GZ107" s="926"/>
      <c r="HA107" s="926"/>
      <c r="HB107" s="926"/>
      <c r="HC107" s="926"/>
      <c r="HD107" s="926"/>
      <c r="HE107" s="926"/>
      <c r="HF107" s="926"/>
      <c r="HG107" s="926"/>
      <c r="HH107" s="926"/>
      <c r="HI107" s="926"/>
      <c r="HJ107" s="926"/>
      <c r="HK107" s="926"/>
      <c r="HL107" s="926"/>
      <c r="HM107" s="926"/>
      <c r="HN107" s="926"/>
      <c r="HO107" s="926"/>
      <c r="HP107" s="926"/>
      <c r="HQ107" s="926"/>
      <c r="HR107" s="926"/>
      <c r="HS107" s="926"/>
      <c r="HT107" s="926"/>
      <c r="HU107" s="926"/>
      <c r="HV107" s="926"/>
      <c r="HW107" s="926"/>
      <c r="HX107" s="926"/>
      <c r="HY107" s="926"/>
      <c r="HZ107" s="926"/>
      <c r="IA107" s="926"/>
      <c r="IB107" s="926"/>
      <c r="IC107" s="926"/>
      <c r="ID107" s="926"/>
      <c r="IE107" s="926"/>
      <c r="IF107" s="926"/>
      <c r="IG107" s="926"/>
      <c r="IH107" s="926"/>
      <c r="II107" s="926"/>
      <c r="IJ107" s="926"/>
      <c r="IK107" s="926"/>
      <c r="IL107" s="926"/>
      <c r="IM107" s="926"/>
    </row>
    <row r="108" spans="1:247" x14ac:dyDescent="0.45">
      <c r="A108" s="441">
        <v>3201</v>
      </c>
      <c r="B108" s="939" t="s">
        <v>2643</v>
      </c>
      <c r="C108" s="47" t="s">
        <v>35</v>
      </c>
      <c r="D108" s="449" t="s">
        <v>2545</v>
      </c>
      <c r="E108" s="946">
        <f t="shared" si="18"/>
        <v>1.0740000000000001</v>
      </c>
      <c r="F108" s="941">
        <f>+$F$3</f>
        <v>1.0209999999999999</v>
      </c>
      <c r="G108" s="947">
        <f t="shared" si="16"/>
        <v>1.0269999999999999</v>
      </c>
      <c r="H108" s="946">
        <f t="shared" si="19"/>
        <v>1.0029999999999999</v>
      </c>
      <c r="I108" s="948">
        <f t="shared" si="20"/>
        <v>1.0289999999999999</v>
      </c>
      <c r="J108" s="948">
        <f t="shared" si="21"/>
        <v>1.0049999999999999</v>
      </c>
      <c r="K108" s="948">
        <f t="shared" si="22"/>
        <v>1.026</v>
      </c>
      <c r="L108" s="948">
        <f t="shared" si="23"/>
        <v>1.0129999999999999</v>
      </c>
      <c r="M108" s="948">
        <f t="shared" si="24"/>
        <v>1.0029999999999999</v>
      </c>
      <c r="N108" s="947">
        <f t="shared" si="17"/>
        <v>1.0029999999999999</v>
      </c>
      <c r="O108" s="949">
        <f t="shared" si="25"/>
        <v>1.0209999999999999</v>
      </c>
      <c r="P108" s="946">
        <f>+$P$3</f>
        <v>1.032</v>
      </c>
      <c r="Q108" s="947">
        <f>+$Q$3</f>
        <v>1.0349999999999999</v>
      </c>
      <c r="R108" s="950">
        <f>PRODUCT(E108:Q108)</f>
        <v>1.3319480854780448</v>
      </c>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6"/>
      <c r="AV108" s="926"/>
      <c r="AW108" s="926"/>
      <c r="AX108" s="926"/>
      <c r="AY108" s="926"/>
      <c r="AZ108" s="926"/>
      <c r="BA108" s="926"/>
      <c r="BB108" s="926"/>
      <c r="BC108" s="926"/>
      <c r="BD108" s="926"/>
      <c r="BE108" s="926"/>
      <c r="BF108" s="926"/>
      <c r="BG108" s="926"/>
      <c r="BH108" s="926"/>
      <c r="BI108" s="926"/>
      <c r="BJ108" s="926"/>
      <c r="BK108" s="926"/>
      <c r="BL108" s="926"/>
      <c r="BM108" s="926"/>
      <c r="BN108" s="926"/>
      <c r="BO108" s="926"/>
      <c r="BP108" s="926"/>
      <c r="BQ108" s="926"/>
      <c r="BR108" s="926"/>
      <c r="BS108" s="926"/>
      <c r="BT108" s="926"/>
      <c r="BU108" s="926"/>
      <c r="BV108" s="926"/>
      <c r="BW108" s="926"/>
      <c r="BX108" s="926"/>
      <c r="BY108" s="926"/>
      <c r="BZ108" s="926"/>
      <c r="CA108" s="926"/>
      <c r="CB108" s="926"/>
      <c r="CC108" s="926"/>
      <c r="CD108" s="926"/>
      <c r="CE108" s="926"/>
      <c r="CF108" s="926"/>
      <c r="CG108" s="926"/>
      <c r="CH108" s="926"/>
      <c r="CI108" s="926"/>
      <c r="CJ108" s="926"/>
      <c r="CK108" s="926"/>
      <c r="CL108" s="926"/>
      <c r="CM108" s="926"/>
      <c r="CN108" s="926"/>
      <c r="CO108" s="926"/>
      <c r="CP108" s="926"/>
      <c r="CQ108" s="926"/>
      <c r="CR108" s="926"/>
      <c r="CS108" s="926"/>
      <c r="CT108" s="926"/>
      <c r="CU108" s="926"/>
      <c r="CV108" s="926"/>
      <c r="CW108" s="926"/>
      <c r="CX108" s="926"/>
      <c r="CY108" s="926"/>
      <c r="CZ108" s="926"/>
      <c r="DA108" s="926"/>
      <c r="DB108" s="926"/>
      <c r="DC108" s="926"/>
      <c r="DD108" s="926"/>
      <c r="DE108" s="926"/>
      <c r="DF108" s="926"/>
      <c r="DG108" s="926"/>
      <c r="DH108" s="926"/>
      <c r="DI108" s="926"/>
      <c r="DJ108" s="926"/>
      <c r="DK108" s="926"/>
      <c r="DL108" s="926"/>
      <c r="DM108" s="926"/>
      <c r="DN108" s="926"/>
      <c r="DO108" s="926"/>
      <c r="DP108" s="926"/>
      <c r="DQ108" s="926"/>
      <c r="DR108" s="926"/>
      <c r="DS108" s="926"/>
      <c r="DT108" s="926"/>
      <c r="DU108" s="926"/>
      <c r="DV108" s="926"/>
      <c r="DW108" s="926"/>
      <c r="DX108" s="926"/>
      <c r="DY108" s="926"/>
      <c r="DZ108" s="926"/>
      <c r="EA108" s="926"/>
      <c r="EB108" s="926"/>
      <c r="EC108" s="926"/>
      <c r="ED108" s="926"/>
      <c r="EE108" s="926"/>
      <c r="EF108" s="926"/>
      <c r="EG108" s="926"/>
      <c r="EH108" s="926"/>
      <c r="EI108" s="926"/>
      <c r="EJ108" s="926"/>
      <c r="EK108" s="926"/>
      <c r="EL108" s="926"/>
      <c r="EM108" s="926"/>
      <c r="EN108" s="926"/>
      <c r="EO108" s="926"/>
      <c r="EP108" s="926"/>
      <c r="EQ108" s="926"/>
      <c r="ER108" s="926"/>
      <c r="ES108" s="926"/>
      <c r="ET108" s="926"/>
      <c r="EU108" s="926"/>
      <c r="EV108" s="926"/>
      <c r="EW108" s="926"/>
      <c r="EX108" s="926"/>
      <c r="EY108" s="926"/>
      <c r="EZ108" s="926"/>
      <c r="FA108" s="926"/>
      <c r="FB108" s="926"/>
      <c r="FC108" s="926"/>
      <c r="FD108" s="926"/>
      <c r="FE108" s="926"/>
      <c r="FF108" s="926"/>
      <c r="FG108" s="926"/>
      <c r="FH108" s="926"/>
      <c r="FI108" s="926"/>
      <c r="FJ108" s="926"/>
      <c r="FK108" s="926"/>
      <c r="FL108" s="926"/>
      <c r="FM108" s="926"/>
      <c r="FN108" s="926"/>
      <c r="FO108" s="926"/>
      <c r="FP108" s="926"/>
      <c r="FQ108" s="926"/>
      <c r="FR108" s="926"/>
      <c r="FS108" s="926"/>
      <c r="FT108" s="926"/>
      <c r="FU108" s="926"/>
      <c r="FV108" s="926"/>
      <c r="FW108" s="926"/>
      <c r="FX108" s="926"/>
      <c r="FY108" s="926"/>
      <c r="FZ108" s="926"/>
      <c r="GA108" s="926"/>
      <c r="GB108" s="926"/>
      <c r="GC108" s="926"/>
      <c r="GD108" s="926"/>
      <c r="GE108" s="926"/>
      <c r="GF108" s="926"/>
      <c r="GG108" s="926"/>
      <c r="GH108" s="926"/>
      <c r="GI108" s="926"/>
      <c r="GJ108" s="926"/>
      <c r="GK108" s="926"/>
      <c r="GL108" s="926"/>
      <c r="GM108" s="926"/>
      <c r="GN108" s="926"/>
      <c r="GO108" s="926"/>
      <c r="GP108" s="926"/>
      <c r="GQ108" s="926"/>
      <c r="GR108" s="926"/>
      <c r="GS108" s="926"/>
      <c r="GT108" s="926"/>
      <c r="GU108" s="926"/>
      <c r="GV108" s="926"/>
      <c r="GW108" s="926"/>
      <c r="GX108" s="926"/>
      <c r="GY108" s="926"/>
      <c r="GZ108" s="926"/>
      <c r="HA108" s="926"/>
      <c r="HB108" s="926"/>
      <c r="HC108" s="926"/>
      <c r="HD108" s="926"/>
      <c r="HE108" s="926"/>
      <c r="HF108" s="926"/>
      <c r="HG108" s="926"/>
      <c r="HH108" s="926"/>
      <c r="HI108" s="926"/>
      <c r="HJ108" s="926"/>
      <c r="HK108" s="926"/>
      <c r="HL108" s="926"/>
      <c r="HM108" s="926"/>
      <c r="HN108" s="926"/>
      <c r="HO108" s="926"/>
      <c r="HP108" s="926"/>
      <c r="HQ108" s="926"/>
      <c r="HR108" s="926"/>
      <c r="HS108" s="926"/>
      <c r="HT108" s="926"/>
      <c r="HU108" s="926"/>
      <c r="HV108" s="926"/>
      <c r="HW108" s="926"/>
      <c r="HX108" s="926"/>
      <c r="HY108" s="926"/>
      <c r="HZ108" s="926"/>
      <c r="IA108" s="926"/>
      <c r="IB108" s="926"/>
      <c r="IC108" s="926"/>
      <c r="ID108" s="926"/>
      <c r="IE108" s="926"/>
      <c r="IF108" s="926"/>
      <c r="IG108" s="926"/>
      <c r="IH108" s="926"/>
      <c r="II108" s="926"/>
      <c r="IJ108" s="926"/>
      <c r="IK108" s="926"/>
      <c r="IL108" s="926"/>
      <c r="IM108" s="926"/>
    </row>
    <row r="109" spans="1:247" x14ac:dyDescent="0.45">
      <c r="A109" s="441">
        <v>3903</v>
      </c>
      <c r="B109" s="939" t="s">
        <v>2644</v>
      </c>
      <c r="C109" s="47" t="s">
        <v>88</v>
      </c>
      <c r="D109" s="449" t="s">
        <v>2537</v>
      </c>
      <c r="E109" s="946">
        <f>+$E$3</f>
        <v>1.0740000000000001</v>
      </c>
      <c r="F109" s="941">
        <f>+$F$3</f>
        <v>1.0209999999999999</v>
      </c>
      <c r="G109" s="947">
        <f>+$G$3</f>
        <v>1.0269999999999999</v>
      </c>
      <c r="H109" s="946"/>
      <c r="I109" s="948"/>
      <c r="J109" s="948"/>
      <c r="K109" s="948"/>
      <c r="L109" s="948">
        <f>+$L$3</f>
        <v>1.0129999999999999</v>
      </c>
      <c r="M109" s="948"/>
      <c r="N109" s="947"/>
      <c r="O109" s="949"/>
      <c r="P109" s="946">
        <f>+$P$3</f>
        <v>1.032</v>
      </c>
      <c r="Q109" s="947">
        <f>+$Q$3</f>
        <v>1.0349999999999999</v>
      </c>
      <c r="R109" s="950">
        <f>PRODUCT(E109:Q109)</f>
        <v>1.2185124180109259</v>
      </c>
      <c r="S109" s="926"/>
      <c r="T109" s="926"/>
      <c r="U109" s="926"/>
      <c r="V109" s="926"/>
      <c r="W109" s="926"/>
      <c r="X109" s="926"/>
      <c r="Y109" s="926"/>
      <c r="Z109" s="926"/>
      <c r="AA109" s="926"/>
      <c r="AB109" s="926"/>
      <c r="AC109" s="926"/>
      <c r="AD109" s="926"/>
      <c r="AE109" s="926"/>
      <c r="AF109" s="926"/>
      <c r="AG109" s="926"/>
      <c r="AH109" s="926"/>
      <c r="AI109" s="926"/>
      <c r="AJ109" s="926"/>
      <c r="AK109" s="926"/>
      <c r="AL109" s="926"/>
      <c r="AM109" s="926"/>
      <c r="AN109" s="926"/>
      <c r="AO109" s="926"/>
      <c r="AP109" s="926"/>
      <c r="AQ109" s="926"/>
      <c r="AR109" s="926"/>
      <c r="AS109" s="926"/>
      <c r="AT109" s="926"/>
      <c r="AU109" s="926"/>
      <c r="AV109" s="926"/>
      <c r="AW109" s="926"/>
      <c r="AX109" s="926"/>
      <c r="AY109" s="926"/>
      <c r="AZ109" s="926"/>
      <c r="BA109" s="926"/>
      <c r="BB109" s="926"/>
      <c r="BC109" s="926"/>
      <c r="BD109" s="926"/>
      <c r="BE109" s="926"/>
      <c r="BF109" s="926"/>
      <c r="BG109" s="926"/>
      <c r="BH109" s="926"/>
      <c r="BI109" s="926"/>
      <c r="BJ109" s="926"/>
      <c r="BK109" s="926"/>
      <c r="BL109" s="926"/>
      <c r="BM109" s="926"/>
      <c r="BN109" s="926"/>
      <c r="BO109" s="926"/>
      <c r="BP109" s="926"/>
      <c r="BQ109" s="926"/>
      <c r="BR109" s="926"/>
      <c r="BS109" s="926"/>
      <c r="BT109" s="926"/>
      <c r="BU109" s="926"/>
      <c r="BV109" s="926"/>
      <c r="BW109" s="926"/>
      <c r="BX109" s="926"/>
      <c r="BY109" s="926"/>
      <c r="BZ109" s="926"/>
      <c r="CA109" s="926"/>
      <c r="CB109" s="926"/>
      <c r="CC109" s="926"/>
      <c r="CD109" s="926"/>
      <c r="CE109" s="926"/>
      <c r="CF109" s="926"/>
      <c r="CG109" s="926"/>
      <c r="CH109" s="926"/>
      <c r="CI109" s="926"/>
      <c r="CJ109" s="926"/>
      <c r="CK109" s="926"/>
      <c r="CL109" s="926"/>
      <c r="CM109" s="926"/>
      <c r="CN109" s="926"/>
      <c r="CO109" s="926"/>
      <c r="CP109" s="926"/>
      <c r="CQ109" s="926"/>
      <c r="CR109" s="926"/>
      <c r="CS109" s="926"/>
      <c r="CT109" s="926"/>
      <c r="CU109" s="926"/>
      <c r="CV109" s="926"/>
      <c r="CW109" s="926"/>
      <c r="CX109" s="926"/>
      <c r="CY109" s="926"/>
      <c r="CZ109" s="926"/>
      <c r="DA109" s="926"/>
      <c r="DB109" s="926"/>
      <c r="DC109" s="926"/>
      <c r="DD109" s="926"/>
      <c r="DE109" s="926"/>
      <c r="DF109" s="926"/>
      <c r="DG109" s="926"/>
      <c r="DH109" s="926"/>
      <c r="DI109" s="926"/>
      <c r="DJ109" s="926"/>
      <c r="DK109" s="926"/>
      <c r="DL109" s="926"/>
      <c r="DM109" s="926"/>
      <c r="DN109" s="926"/>
      <c r="DO109" s="926"/>
      <c r="DP109" s="926"/>
      <c r="DQ109" s="926"/>
      <c r="DR109" s="926"/>
      <c r="DS109" s="926"/>
      <c r="DT109" s="926"/>
      <c r="DU109" s="926"/>
      <c r="DV109" s="926"/>
      <c r="DW109" s="926"/>
      <c r="DX109" s="926"/>
      <c r="DY109" s="926"/>
      <c r="DZ109" s="926"/>
      <c r="EA109" s="926"/>
      <c r="EB109" s="926"/>
      <c r="EC109" s="926"/>
      <c r="ED109" s="926"/>
      <c r="EE109" s="926"/>
      <c r="EF109" s="926"/>
      <c r="EG109" s="926"/>
      <c r="EH109" s="926"/>
      <c r="EI109" s="926"/>
      <c r="EJ109" s="926"/>
      <c r="EK109" s="926"/>
      <c r="EL109" s="926"/>
      <c r="EM109" s="926"/>
      <c r="EN109" s="926"/>
      <c r="EO109" s="926"/>
      <c r="EP109" s="926"/>
      <c r="EQ109" s="926"/>
      <c r="ER109" s="926"/>
      <c r="ES109" s="926"/>
      <c r="ET109" s="926"/>
      <c r="EU109" s="926"/>
      <c r="EV109" s="926"/>
      <c r="EW109" s="926"/>
      <c r="EX109" s="926"/>
      <c r="EY109" s="926"/>
      <c r="EZ109" s="926"/>
      <c r="FA109" s="926"/>
      <c r="FB109" s="926"/>
      <c r="FC109" s="926"/>
      <c r="FD109" s="926"/>
      <c r="FE109" s="926"/>
      <c r="FF109" s="926"/>
      <c r="FG109" s="926"/>
      <c r="FH109" s="926"/>
      <c r="FI109" s="926"/>
      <c r="FJ109" s="926"/>
      <c r="FK109" s="926"/>
      <c r="FL109" s="926"/>
      <c r="FM109" s="926"/>
      <c r="FN109" s="926"/>
      <c r="FO109" s="926"/>
      <c r="FP109" s="926"/>
      <c r="FQ109" s="926"/>
      <c r="FR109" s="926"/>
      <c r="FS109" s="926"/>
      <c r="FT109" s="926"/>
      <c r="FU109" s="926"/>
      <c r="FV109" s="926"/>
      <c r="FW109" s="926"/>
      <c r="FX109" s="926"/>
      <c r="FY109" s="926"/>
      <c r="FZ109" s="926"/>
      <c r="GA109" s="926"/>
      <c r="GB109" s="926"/>
      <c r="GC109" s="926"/>
      <c r="GD109" s="926"/>
      <c r="GE109" s="926"/>
      <c r="GF109" s="926"/>
      <c r="GG109" s="926"/>
      <c r="GH109" s="926"/>
      <c r="GI109" s="926"/>
      <c r="GJ109" s="926"/>
      <c r="GK109" s="926"/>
      <c r="GL109" s="926"/>
      <c r="GM109" s="926"/>
      <c r="GN109" s="926"/>
      <c r="GO109" s="926"/>
      <c r="GP109" s="926"/>
      <c r="GQ109" s="926"/>
      <c r="GR109" s="926"/>
      <c r="GS109" s="926"/>
      <c r="GT109" s="926"/>
      <c r="GU109" s="926"/>
      <c r="GV109" s="926"/>
      <c r="GW109" s="926"/>
      <c r="GX109" s="926"/>
      <c r="GY109" s="926"/>
      <c r="GZ109" s="926"/>
      <c r="HA109" s="926"/>
      <c r="HB109" s="926"/>
      <c r="HC109" s="926"/>
      <c r="HD109" s="926"/>
      <c r="HE109" s="926"/>
      <c r="HF109" s="926"/>
      <c r="HG109" s="926"/>
      <c r="HH109" s="926"/>
      <c r="HI109" s="926"/>
      <c r="HJ109" s="926"/>
      <c r="HK109" s="926"/>
      <c r="HL109" s="926"/>
      <c r="HM109" s="926"/>
      <c r="HN109" s="926"/>
      <c r="HO109" s="926"/>
      <c r="HP109" s="926"/>
      <c r="HQ109" s="926"/>
      <c r="HR109" s="926"/>
      <c r="HS109" s="926"/>
      <c r="HT109" s="926"/>
      <c r="HU109" s="926"/>
      <c r="HV109" s="926"/>
      <c r="HW109" s="926"/>
      <c r="HX109" s="926"/>
      <c r="HY109" s="926"/>
      <c r="HZ109" s="926"/>
      <c r="IA109" s="926"/>
      <c r="IB109" s="926"/>
      <c r="IC109" s="926"/>
      <c r="ID109" s="926"/>
      <c r="IE109" s="926"/>
      <c r="IF109" s="926"/>
      <c r="IG109" s="926"/>
      <c r="IH109" s="926"/>
      <c r="II109" s="926"/>
      <c r="IJ109" s="926"/>
      <c r="IK109" s="926"/>
      <c r="IL109" s="926"/>
      <c r="IM109" s="926"/>
    </row>
    <row r="110" spans="1:247" x14ac:dyDescent="0.45">
      <c r="A110" s="441">
        <v>4114</v>
      </c>
      <c r="B110" s="939" t="s">
        <v>2645</v>
      </c>
      <c r="C110" s="47" t="s">
        <v>163</v>
      </c>
      <c r="D110" s="449" t="s">
        <v>2537</v>
      </c>
      <c r="E110" s="946"/>
      <c r="F110" s="941">
        <f t="shared" si="0"/>
        <v>1.0209999999999999</v>
      </c>
      <c r="G110" s="947"/>
      <c r="H110" s="946"/>
      <c r="I110" s="948"/>
      <c r="J110" s="948"/>
      <c r="K110" s="948"/>
      <c r="L110" s="948"/>
      <c r="M110" s="948"/>
      <c r="N110" s="947"/>
      <c r="O110" s="949"/>
      <c r="P110" s="946"/>
      <c r="Q110" s="947"/>
      <c r="R110" s="950">
        <f t="shared" si="1"/>
        <v>1.0209999999999999</v>
      </c>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6"/>
      <c r="AV110" s="926"/>
      <c r="AW110" s="926"/>
      <c r="AX110" s="926"/>
      <c r="AY110" s="926"/>
      <c r="AZ110" s="926"/>
      <c r="BA110" s="926"/>
      <c r="BB110" s="926"/>
      <c r="BC110" s="926"/>
      <c r="BD110" s="926"/>
      <c r="BE110" s="926"/>
      <c r="BF110" s="926"/>
      <c r="BG110" s="926"/>
      <c r="BH110" s="926"/>
      <c r="BI110" s="926"/>
      <c r="BJ110" s="926"/>
      <c r="BK110" s="926"/>
      <c r="BL110" s="926"/>
      <c r="BM110" s="926"/>
      <c r="BN110" s="926"/>
      <c r="BO110" s="926"/>
      <c r="BP110" s="926"/>
      <c r="BQ110" s="926"/>
      <c r="BR110" s="926"/>
      <c r="BS110" s="926"/>
      <c r="BT110" s="926"/>
      <c r="BU110" s="926"/>
      <c r="BV110" s="926"/>
      <c r="BW110" s="926"/>
      <c r="BX110" s="926"/>
      <c r="BY110" s="926"/>
      <c r="BZ110" s="926"/>
      <c r="CA110" s="926"/>
      <c r="CB110" s="926"/>
      <c r="CC110" s="926"/>
      <c r="CD110" s="926"/>
      <c r="CE110" s="926"/>
      <c r="CF110" s="926"/>
      <c r="CG110" s="926"/>
      <c r="CH110" s="926"/>
      <c r="CI110" s="926"/>
      <c r="CJ110" s="926"/>
      <c r="CK110" s="926"/>
      <c r="CL110" s="926"/>
      <c r="CM110" s="926"/>
      <c r="CN110" s="926"/>
      <c r="CO110" s="926"/>
      <c r="CP110" s="926"/>
      <c r="CQ110" s="926"/>
      <c r="CR110" s="926"/>
      <c r="CS110" s="926"/>
      <c r="CT110" s="926"/>
      <c r="CU110" s="926"/>
      <c r="CV110" s="926"/>
      <c r="CW110" s="926"/>
      <c r="CX110" s="926"/>
      <c r="CY110" s="926"/>
      <c r="CZ110" s="926"/>
      <c r="DA110" s="926"/>
      <c r="DB110" s="926"/>
      <c r="DC110" s="926"/>
      <c r="DD110" s="926"/>
      <c r="DE110" s="926"/>
      <c r="DF110" s="926"/>
      <c r="DG110" s="926"/>
      <c r="DH110" s="926"/>
      <c r="DI110" s="926"/>
      <c r="DJ110" s="926"/>
      <c r="DK110" s="926"/>
      <c r="DL110" s="926"/>
      <c r="DM110" s="926"/>
      <c r="DN110" s="926"/>
      <c r="DO110" s="926"/>
      <c r="DP110" s="926"/>
      <c r="DQ110" s="926"/>
      <c r="DR110" s="926"/>
      <c r="DS110" s="926"/>
      <c r="DT110" s="926"/>
      <c r="DU110" s="926"/>
      <c r="DV110" s="926"/>
      <c r="DW110" s="926"/>
      <c r="DX110" s="926"/>
      <c r="DY110" s="926"/>
      <c r="DZ110" s="926"/>
      <c r="EA110" s="926"/>
      <c r="EB110" s="926"/>
      <c r="EC110" s="926"/>
      <c r="ED110" s="926"/>
      <c r="EE110" s="926"/>
      <c r="EF110" s="926"/>
      <c r="EG110" s="926"/>
      <c r="EH110" s="926"/>
      <c r="EI110" s="926"/>
      <c r="EJ110" s="926"/>
      <c r="EK110" s="926"/>
      <c r="EL110" s="926"/>
      <c r="EM110" s="926"/>
      <c r="EN110" s="926"/>
      <c r="EO110" s="926"/>
      <c r="EP110" s="926"/>
      <c r="EQ110" s="926"/>
      <c r="ER110" s="926"/>
      <c r="ES110" s="926"/>
      <c r="ET110" s="926"/>
      <c r="EU110" s="926"/>
      <c r="EV110" s="926"/>
      <c r="EW110" s="926"/>
      <c r="EX110" s="926"/>
      <c r="EY110" s="926"/>
      <c r="EZ110" s="926"/>
      <c r="FA110" s="926"/>
      <c r="FB110" s="926"/>
      <c r="FC110" s="926"/>
      <c r="FD110" s="926"/>
      <c r="FE110" s="926"/>
      <c r="FF110" s="926"/>
      <c r="FG110" s="926"/>
      <c r="FH110" s="926"/>
      <c r="FI110" s="926"/>
      <c r="FJ110" s="926"/>
      <c r="FK110" s="926"/>
      <c r="FL110" s="926"/>
      <c r="FM110" s="926"/>
      <c r="FN110" s="926"/>
      <c r="FO110" s="926"/>
      <c r="FP110" s="926"/>
      <c r="FQ110" s="926"/>
      <c r="FR110" s="926"/>
      <c r="FS110" s="926"/>
      <c r="FT110" s="926"/>
      <c r="FU110" s="926"/>
      <c r="FV110" s="926"/>
      <c r="FW110" s="926"/>
      <c r="FX110" s="926"/>
      <c r="FY110" s="926"/>
      <c r="FZ110" s="926"/>
      <c r="GA110" s="926"/>
      <c r="GB110" s="926"/>
      <c r="GC110" s="926"/>
      <c r="GD110" s="926"/>
      <c r="GE110" s="926"/>
      <c r="GF110" s="926"/>
      <c r="GG110" s="926"/>
      <c r="GH110" s="926"/>
      <c r="GI110" s="926"/>
      <c r="GJ110" s="926"/>
      <c r="GK110" s="926"/>
      <c r="GL110" s="926"/>
      <c r="GM110" s="926"/>
      <c r="GN110" s="926"/>
      <c r="GO110" s="926"/>
      <c r="GP110" s="926"/>
      <c r="GQ110" s="926"/>
      <c r="GR110" s="926"/>
      <c r="GS110" s="926"/>
      <c r="GT110" s="926"/>
      <c r="GU110" s="926"/>
      <c r="GV110" s="926"/>
      <c r="GW110" s="926"/>
      <c r="GX110" s="926"/>
      <c r="GY110" s="926"/>
      <c r="GZ110" s="926"/>
      <c r="HA110" s="926"/>
      <c r="HB110" s="926"/>
      <c r="HC110" s="926"/>
      <c r="HD110" s="926"/>
      <c r="HE110" s="926"/>
      <c r="HF110" s="926"/>
      <c r="HG110" s="926"/>
      <c r="HH110" s="926"/>
      <c r="HI110" s="926"/>
      <c r="HJ110" s="926"/>
      <c r="HK110" s="926"/>
      <c r="HL110" s="926"/>
      <c r="HM110" s="926"/>
      <c r="HN110" s="926"/>
      <c r="HO110" s="926"/>
      <c r="HP110" s="926"/>
      <c r="HQ110" s="926"/>
      <c r="HR110" s="926"/>
      <c r="HS110" s="926"/>
      <c r="HT110" s="926"/>
      <c r="HU110" s="926"/>
      <c r="HV110" s="926"/>
      <c r="HW110" s="926"/>
      <c r="HX110" s="926"/>
      <c r="HY110" s="926"/>
      <c r="HZ110" s="926"/>
      <c r="IA110" s="926"/>
      <c r="IB110" s="926"/>
      <c r="IC110" s="926"/>
      <c r="ID110" s="926"/>
      <c r="IE110" s="926"/>
      <c r="IF110" s="926"/>
      <c r="IG110" s="926"/>
      <c r="IH110" s="926"/>
      <c r="II110" s="926"/>
      <c r="IJ110" s="926"/>
      <c r="IK110" s="926"/>
      <c r="IL110" s="926"/>
      <c r="IM110" s="926"/>
    </row>
    <row r="111" spans="1:247" x14ac:dyDescent="0.45">
      <c r="A111" s="441">
        <v>4212</v>
      </c>
      <c r="B111" s="939" t="s">
        <v>2646</v>
      </c>
      <c r="C111" s="47" t="s">
        <v>35</v>
      </c>
      <c r="D111" s="449" t="s">
        <v>2545</v>
      </c>
      <c r="E111" s="946"/>
      <c r="F111" s="941">
        <f t="shared" si="0"/>
        <v>1.0209999999999999</v>
      </c>
      <c r="G111" s="947">
        <f>+$G$3</f>
        <v>1.0269999999999999</v>
      </c>
      <c r="H111" s="946">
        <f>+$H$3</f>
        <v>1.0029999999999999</v>
      </c>
      <c r="I111" s="948">
        <f>+$I$3</f>
        <v>1.0289999999999999</v>
      </c>
      <c r="J111" s="948">
        <f>+$J$3</f>
        <v>1.0049999999999999</v>
      </c>
      <c r="K111" s="948"/>
      <c r="L111" s="948"/>
      <c r="M111" s="948">
        <f>+$M$3</f>
        <v>1.0029999999999999</v>
      </c>
      <c r="N111" s="947">
        <f>+$N$3</f>
        <v>1.0029999999999999</v>
      </c>
      <c r="O111" s="949">
        <f>+$O$3</f>
        <v>1.0209999999999999</v>
      </c>
      <c r="P111" s="946">
        <f>+$P$3</f>
        <v>1.032</v>
      </c>
      <c r="Q111" s="947">
        <f>+$Q$3</f>
        <v>1.0349999999999999</v>
      </c>
      <c r="R111" s="950">
        <f t="shared" si="1"/>
        <v>1.1932356231980656</v>
      </c>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926"/>
      <c r="AY111" s="926"/>
      <c r="AZ111" s="926"/>
      <c r="BA111" s="926"/>
      <c r="BB111" s="926"/>
      <c r="BC111" s="926"/>
      <c r="BD111" s="926"/>
      <c r="BE111" s="926"/>
      <c r="BF111" s="926"/>
      <c r="BG111" s="926"/>
      <c r="BH111" s="926"/>
      <c r="BI111" s="926"/>
      <c r="BJ111" s="926"/>
      <c r="BK111" s="926"/>
      <c r="BL111" s="926"/>
      <c r="BM111" s="926"/>
      <c r="BN111" s="926"/>
      <c r="BO111" s="926"/>
      <c r="BP111" s="926"/>
      <c r="BQ111" s="926"/>
      <c r="BR111" s="926"/>
      <c r="BS111" s="926"/>
      <c r="BT111" s="926"/>
      <c r="BU111" s="926"/>
      <c r="BV111" s="926"/>
      <c r="BW111" s="926"/>
      <c r="BX111" s="926"/>
      <c r="BY111" s="926"/>
      <c r="BZ111" s="926"/>
      <c r="CA111" s="926"/>
      <c r="CB111" s="926"/>
      <c r="CC111" s="926"/>
      <c r="CD111" s="926"/>
      <c r="CE111" s="926"/>
      <c r="CF111" s="926"/>
      <c r="CG111" s="926"/>
      <c r="CH111" s="926"/>
      <c r="CI111" s="926"/>
      <c r="CJ111" s="926"/>
      <c r="CK111" s="926"/>
      <c r="CL111" s="926"/>
      <c r="CM111" s="926"/>
      <c r="CN111" s="926"/>
      <c r="CO111" s="926"/>
      <c r="CP111" s="926"/>
      <c r="CQ111" s="926"/>
      <c r="CR111" s="926"/>
      <c r="CS111" s="926"/>
      <c r="CT111" s="926"/>
      <c r="CU111" s="926"/>
      <c r="CV111" s="926"/>
      <c r="CW111" s="926"/>
      <c r="CX111" s="926"/>
      <c r="CY111" s="926"/>
      <c r="CZ111" s="926"/>
      <c r="DA111" s="926"/>
      <c r="DB111" s="926"/>
      <c r="DC111" s="926"/>
      <c r="DD111" s="926"/>
      <c r="DE111" s="926"/>
      <c r="DF111" s="926"/>
      <c r="DG111" s="926"/>
      <c r="DH111" s="926"/>
      <c r="DI111" s="926"/>
      <c r="DJ111" s="926"/>
      <c r="DK111" s="926"/>
      <c r="DL111" s="926"/>
      <c r="DM111" s="926"/>
      <c r="DN111" s="926"/>
      <c r="DO111" s="926"/>
      <c r="DP111" s="926"/>
      <c r="DQ111" s="926"/>
      <c r="DR111" s="926"/>
      <c r="DS111" s="926"/>
      <c r="DT111" s="926"/>
      <c r="DU111" s="926"/>
      <c r="DV111" s="926"/>
      <c r="DW111" s="926"/>
      <c r="DX111" s="926"/>
      <c r="DY111" s="926"/>
      <c r="DZ111" s="926"/>
      <c r="EA111" s="926"/>
      <c r="EB111" s="926"/>
      <c r="EC111" s="926"/>
      <c r="ED111" s="926"/>
      <c r="EE111" s="926"/>
      <c r="EF111" s="926"/>
      <c r="EG111" s="926"/>
      <c r="EH111" s="926"/>
      <c r="EI111" s="926"/>
      <c r="EJ111" s="926"/>
      <c r="EK111" s="926"/>
      <c r="EL111" s="926"/>
      <c r="EM111" s="926"/>
      <c r="EN111" s="926"/>
      <c r="EO111" s="926"/>
      <c r="EP111" s="926"/>
      <c r="EQ111" s="926"/>
      <c r="ER111" s="926"/>
      <c r="ES111" s="926"/>
      <c r="ET111" s="926"/>
      <c r="EU111" s="926"/>
      <c r="EV111" s="926"/>
      <c r="EW111" s="926"/>
      <c r="EX111" s="926"/>
      <c r="EY111" s="926"/>
      <c r="EZ111" s="926"/>
      <c r="FA111" s="926"/>
      <c r="FB111" s="926"/>
      <c r="FC111" s="926"/>
      <c r="FD111" s="926"/>
      <c r="FE111" s="926"/>
      <c r="FF111" s="926"/>
      <c r="FG111" s="926"/>
      <c r="FH111" s="926"/>
      <c r="FI111" s="926"/>
      <c r="FJ111" s="926"/>
      <c r="FK111" s="926"/>
      <c r="FL111" s="926"/>
      <c r="FM111" s="926"/>
      <c r="FN111" s="926"/>
      <c r="FO111" s="926"/>
      <c r="FP111" s="926"/>
      <c r="FQ111" s="926"/>
      <c r="FR111" s="926"/>
      <c r="FS111" s="926"/>
      <c r="FT111" s="926"/>
      <c r="FU111" s="926"/>
      <c r="FV111" s="926"/>
      <c r="FW111" s="926"/>
      <c r="FX111" s="926"/>
      <c r="FY111" s="926"/>
      <c r="FZ111" s="926"/>
      <c r="GA111" s="926"/>
      <c r="GB111" s="926"/>
      <c r="GC111" s="926"/>
      <c r="GD111" s="926"/>
      <c r="GE111" s="926"/>
      <c r="GF111" s="926"/>
      <c r="GG111" s="926"/>
      <c r="GH111" s="926"/>
      <c r="GI111" s="926"/>
      <c r="GJ111" s="926"/>
      <c r="GK111" s="926"/>
      <c r="GL111" s="926"/>
      <c r="GM111" s="926"/>
      <c r="GN111" s="926"/>
      <c r="GO111" s="926"/>
      <c r="GP111" s="926"/>
      <c r="GQ111" s="926"/>
      <c r="GR111" s="926"/>
      <c r="GS111" s="926"/>
      <c r="GT111" s="926"/>
      <c r="GU111" s="926"/>
      <c r="GV111" s="926"/>
      <c r="GW111" s="926"/>
      <c r="GX111" s="926"/>
      <c r="GY111" s="926"/>
      <c r="GZ111" s="926"/>
      <c r="HA111" s="926"/>
      <c r="HB111" s="926"/>
      <c r="HC111" s="926"/>
      <c r="HD111" s="926"/>
      <c r="HE111" s="926"/>
      <c r="HF111" s="926"/>
      <c r="HG111" s="926"/>
      <c r="HH111" s="926"/>
      <c r="HI111" s="926"/>
      <c r="HJ111" s="926"/>
      <c r="HK111" s="926"/>
      <c r="HL111" s="926"/>
      <c r="HM111" s="926"/>
      <c r="HN111" s="926"/>
      <c r="HO111" s="926"/>
      <c r="HP111" s="926"/>
      <c r="HQ111" s="926"/>
      <c r="HR111" s="926"/>
      <c r="HS111" s="926"/>
      <c r="HT111" s="926"/>
      <c r="HU111" s="926"/>
      <c r="HV111" s="926"/>
      <c r="HW111" s="926"/>
      <c r="HX111" s="926"/>
      <c r="HY111" s="926"/>
      <c r="HZ111" s="926"/>
      <c r="IA111" s="926"/>
      <c r="IB111" s="926"/>
      <c r="IC111" s="926"/>
      <c r="ID111" s="926"/>
      <c r="IE111" s="926"/>
      <c r="IF111" s="926"/>
      <c r="IG111" s="926"/>
      <c r="IH111" s="926"/>
      <c r="II111" s="926"/>
      <c r="IJ111" s="926"/>
      <c r="IK111" s="926"/>
      <c r="IL111" s="926"/>
      <c r="IM111" s="926"/>
    </row>
    <row r="112" spans="1:247" x14ac:dyDescent="0.45">
      <c r="A112" s="441">
        <v>4231</v>
      </c>
      <c r="B112" s="939" t="s">
        <v>2647</v>
      </c>
      <c r="C112" s="47" t="s">
        <v>163</v>
      </c>
      <c r="D112" s="449" t="s">
        <v>2537</v>
      </c>
      <c r="E112" s="946"/>
      <c r="F112" s="941">
        <f t="shared" si="0"/>
        <v>1.0209999999999999</v>
      </c>
      <c r="G112" s="947"/>
      <c r="H112" s="946"/>
      <c r="I112" s="948"/>
      <c r="J112" s="948"/>
      <c r="K112" s="948"/>
      <c r="L112" s="948"/>
      <c r="M112" s="948"/>
      <c r="N112" s="947"/>
      <c r="O112" s="949"/>
      <c r="P112" s="946"/>
      <c r="Q112" s="947"/>
      <c r="R112" s="950">
        <f t="shared" si="1"/>
        <v>1.0209999999999999</v>
      </c>
      <c r="S112" s="926"/>
      <c r="T112" s="926"/>
      <c r="U112" s="926"/>
      <c r="V112" s="926"/>
      <c r="W112" s="926"/>
      <c r="X112" s="926"/>
      <c r="Y112" s="926"/>
      <c r="Z112" s="926"/>
      <c r="AA112" s="926"/>
      <c r="AB112" s="926"/>
      <c r="AC112" s="926"/>
      <c r="AD112" s="926"/>
      <c r="AE112" s="926"/>
      <c r="AF112" s="926"/>
      <c r="AG112" s="926"/>
      <c r="AH112" s="926"/>
      <c r="AI112" s="926"/>
      <c r="AJ112" s="926"/>
      <c r="AK112" s="926"/>
      <c r="AL112" s="926"/>
      <c r="AM112" s="926"/>
      <c r="AN112" s="926"/>
      <c r="AO112" s="926"/>
      <c r="AP112" s="926"/>
      <c r="AQ112" s="926"/>
      <c r="AR112" s="926"/>
      <c r="AS112" s="926"/>
      <c r="AT112" s="926"/>
      <c r="AU112" s="926"/>
      <c r="AV112" s="926"/>
      <c r="AW112" s="926"/>
      <c r="AX112" s="926"/>
      <c r="AY112" s="926"/>
      <c r="AZ112" s="926"/>
      <c r="BA112" s="926"/>
      <c r="BB112" s="926"/>
      <c r="BC112" s="926"/>
      <c r="BD112" s="926"/>
      <c r="BE112" s="926"/>
      <c r="BF112" s="926"/>
      <c r="BG112" s="926"/>
      <c r="BH112" s="926"/>
      <c r="BI112" s="926"/>
      <c r="BJ112" s="926"/>
      <c r="BK112" s="926"/>
      <c r="BL112" s="926"/>
      <c r="BM112" s="926"/>
      <c r="BN112" s="926"/>
      <c r="BO112" s="926"/>
      <c r="BP112" s="926"/>
      <c r="BQ112" s="926"/>
      <c r="BR112" s="926"/>
      <c r="BS112" s="926"/>
      <c r="BT112" s="926"/>
      <c r="BU112" s="926"/>
      <c r="BV112" s="926"/>
      <c r="BW112" s="926"/>
      <c r="BX112" s="926"/>
      <c r="BY112" s="926"/>
      <c r="BZ112" s="926"/>
      <c r="CA112" s="926"/>
      <c r="CB112" s="926"/>
      <c r="CC112" s="926"/>
      <c r="CD112" s="926"/>
      <c r="CE112" s="926"/>
      <c r="CF112" s="926"/>
      <c r="CG112" s="926"/>
      <c r="CH112" s="926"/>
      <c r="CI112" s="926"/>
      <c r="CJ112" s="926"/>
      <c r="CK112" s="926"/>
      <c r="CL112" s="926"/>
      <c r="CM112" s="926"/>
      <c r="CN112" s="926"/>
      <c r="CO112" s="926"/>
      <c r="CP112" s="926"/>
      <c r="CQ112" s="926"/>
      <c r="CR112" s="926"/>
      <c r="CS112" s="926"/>
      <c r="CT112" s="926"/>
      <c r="CU112" s="926"/>
      <c r="CV112" s="926"/>
      <c r="CW112" s="926"/>
      <c r="CX112" s="926"/>
      <c r="CY112" s="926"/>
      <c r="CZ112" s="926"/>
      <c r="DA112" s="926"/>
      <c r="DB112" s="926"/>
      <c r="DC112" s="926"/>
      <c r="DD112" s="926"/>
      <c r="DE112" s="926"/>
      <c r="DF112" s="926"/>
      <c r="DG112" s="926"/>
      <c r="DH112" s="926"/>
      <c r="DI112" s="926"/>
      <c r="DJ112" s="926"/>
      <c r="DK112" s="926"/>
      <c r="DL112" s="926"/>
      <c r="DM112" s="926"/>
      <c r="DN112" s="926"/>
      <c r="DO112" s="926"/>
      <c r="DP112" s="926"/>
      <c r="DQ112" s="926"/>
      <c r="DR112" s="926"/>
      <c r="DS112" s="926"/>
      <c r="DT112" s="926"/>
      <c r="DU112" s="926"/>
      <c r="DV112" s="926"/>
      <c r="DW112" s="926"/>
      <c r="DX112" s="926"/>
      <c r="DY112" s="926"/>
      <c r="DZ112" s="926"/>
      <c r="EA112" s="926"/>
      <c r="EB112" s="926"/>
      <c r="EC112" s="926"/>
      <c r="ED112" s="926"/>
      <c r="EE112" s="926"/>
      <c r="EF112" s="926"/>
      <c r="EG112" s="926"/>
      <c r="EH112" s="926"/>
      <c r="EI112" s="926"/>
      <c r="EJ112" s="926"/>
      <c r="EK112" s="926"/>
      <c r="EL112" s="926"/>
      <c r="EM112" s="926"/>
      <c r="EN112" s="926"/>
      <c r="EO112" s="926"/>
      <c r="EP112" s="926"/>
      <c r="EQ112" s="926"/>
      <c r="ER112" s="926"/>
      <c r="ES112" s="926"/>
      <c r="ET112" s="926"/>
      <c r="EU112" s="926"/>
      <c r="EV112" s="926"/>
      <c r="EW112" s="926"/>
      <c r="EX112" s="926"/>
      <c r="EY112" s="926"/>
      <c r="EZ112" s="926"/>
      <c r="FA112" s="926"/>
      <c r="FB112" s="926"/>
      <c r="FC112" s="926"/>
      <c r="FD112" s="926"/>
      <c r="FE112" s="926"/>
      <c r="FF112" s="926"/>
      <c r="FG112" s="926"/>
      <c r="FH112" s="926"/>
      <c r="FI112" s="926"/>
      <c r="FJ112" s="926"/>
      <c r="FK112" s="926"/>
      <c r="FL112" s="926"/>
      <c r="FM112" s="926"/>
      <c r="FN112" s="926"/>
      <c r="FO112" s="926"/>
      <c r="FP112" s="926"/>
      <c r="FQ112" s="926"/>
      <c r="FR112" s="926"/>
      <c r="FS112" s="926"/>
      <c r="FT112" s="926"/>
      <c r="FU112" s="926"/>
      <c r="FV112" s="926"/>
      <c r="FW112" s="926"/>
      <c r="FX112" s="926"/>
      <c r="FY112" s="926"/>
      <c r="FZ112" s="926"/>
      <c r="GA112" s="926"/>
      <c r="GB112" s="926"/>
      <c r="GC112" s="926"/>
      <c r="GD112" s="926"/>
      <c r="GE112" s="926"/>
      <c r="GF112" s="926"/>
      <c r="GG112" s="926"/>
      <c r="GH112" s="926"/>
      <c r="GI112" s="926"/>
      <c r="GJ112" s="926"/>
      <c r="GK112" s="926"/>
      <c r="GL112" s="926"/>
      <c r="GM112" s="926"/>
      <c r="GN112" s="926"/>
      <c r="GO112" s="926"/>
      <c r="GP112" s="926"/>
      <c r="GQ112" s="926"/>
      <c r="GR112" s="926"/>
      <c r="GS112" s="926"/>
      <c r="GT112" s="926"/>
      <c r="GU112" s="926"/>
      <c r="GV112" s="926"/>
      <c r="GW112" s="926"/>
      <c r="GX112" s="926"/>
      <c r="GY112" s="926"/>
      <c r="GZ112" s="926"/>
      <c r="HA112" s="926"/>
      <c r="HB112" s="926"/>
      <c r="HC112" s="926"/>
      <c r="HD112" s="926"/>
      <c r="HE112" s="926"/>
      <c r="HF112" s="926"/>
      <c r="HG112" s="926"/>
      <c r="HH112" s="926"/>
      <c r="HI112" s="926"/>
      <c r="HJ112" s="926"/>
      <c r="HK112" s="926"/>
      <c r="HL112" s="926"/>
      <c r="HM112" s="926"/>
      <c r="HN112" s="926"/>
      <c r="HO112" s="926"/>
      <c r="HP112" s="926"/>
      <c r="HQ112" s="926"/>
      <c r="HR112" s="926"/>
      <c r="HS112" s="926"/>
      <c r="HT112" s="926"/>
      <c r="HU112" s="926"/>
      <c r="HV112" s="926"/>
      <c r="HW112" s="926"/>
      <c r="HX112" s="926"/>
      <c r="HY112" s="926"/>
      <c r="HZ112" s="926"/>
      <c r="IA112" s="926"/>
      <c r="IB112" s="926"/>
      <c r="IC112" s="926"/>
      <c r="ID112" s="926"/>
      <c r="IE112" s="926"/>
      <c r="IF112" s="926"/>
      <c r="IG112" s="926"/>
      <c r="IH112" s="926"/>
      <c r="II112" s="926"/>
      <c r="IJ112" s="926"/>
      <c r="IK112" s="926"/>
      <c r="IL112" s="926"/>
      <c r="IM112" s="926"/>
    </row>
    <row r="113" spans="1:247" x14ac:dyDescent="0.45">
      <c r="A113" s="441">
        <v>4251</v>
      </c>
      <c r="B113" s="939" t="s">
        <v>2648</v>
      </c>
      <c r="C113" s="47" t="s">
        <v>8</v>
      </c>
      <c r="D113" s="449" t="s">
        <v>2537</v>
      </c>
      <c r="E113" s="946"/>
      <c r="F113" s="941">
        <f t="shared" si="0"/>
        <v>1.0209999999999999</v>
      </c>
      <c r="G113" s="947"/>
      <c r="H113" s="946"/>
      <c r="I113" s="948"/>
      <c r="J113" s="948"/>
      <c r="K113" s="948"/>
      <c r="L113" s="948"/>
      <c r="M113" s="948"/>
      <c r="N113" s="947"/>
      <c r="O113" s="949"/>
      <c r="P113" s="946">
        <f t="shared" ref="P113:P129" si="26">+$P$3</f>
        <v>1.032</v>
      </c>
      <c r="Q113" s="947">
        <f t="shared" ref="Q113:Q129" si="27">+$Q$3</f>
        <v>1.0349999999999999</v>
      </c>
      <c r="R113" s="950">
        <f t="shared" si="1"/>
        <v>1.0905505199999999</v>
      </c>
      <c r="S113" s="926"/>
      <c r="T113" s="926"/>
      <c r="U113" s="926"/>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6"/>
      <c r="AV113" s="926"/>
      <c r="AW113" s="926"/>
      <c r="AX113" s="926"/>
      <c r="AY113" s="926"/>
      <c r="AZ113" s="926"/>
      <c r="BA113" s="926"/>
      <c r="BB113" s="926"/>
      <c r="BC113" s="926"/>
      <c r="BD113" s="926"/>
      <c r="BE113" s="926"/>
      <c r="BF113" s="926"/>
      <c r="BG113" s="926"/>
      <c r="BH113" s="926"/>
      <c r="BI113" s="926"/>
      <c r="BJ113" s="926"/>
      <c r="BK113" s="926"/>
      <c r="BL113" s="926"/>
      <c r="BM113" s="926"/>
      <c r="BN113" s="926"/>
      <c r="BO113" s="926"/>
      <c r="BP113" s="926"/>
      <c r="BQ113" s="926"/>
      <c r="BR113" s="926"/>
      <c r="BS113" s="926"/>
      <c r="BT113" s="926"/>
      <c r="BU113" s="926"/>
      <c r="BV113" s="926"/>
      <c r="BW113" s="926"/>
      <c r="BX113" s="926"/>
      <c r="BY113" s="926"/>
      <c r="BZ113" s="926"/>
      <c r="CA113" s="926"/>
      <c r="CB113" s="926"/>
      <c r="CC113" s="926"/>
      <c r="CD113" s="926"/>
      <c r="CE113" s="926"/>
      <c r="CF113" s="926"/>
      <c r="CG113" s="926"/>
      <c r="CH113" s="926"/>
      <c r="CI113" s="926"/>
      <c r="CJ113" s="926"/>
      <c r="CK113" s="926"/>
      <c r="CL113" s="926"/>
      <c r="CM113" s="926"/>
      <c r="CN113" s="926"/>
      <c r="CO113" s="926"/>
      <c r="CP113" s="926"/>
      <c r="CQ113" s="926"/>
      <c r="CR113" s="926"/>
      <c r="CS113" s="926"/>
      <c r="CT113" s="926"/>
      <c r="CU113" s="926"/>
      <c r="CV113" s="926"/>
      <c r="CW113" s="926"/>
      <c r="CX113" s="926"/>
      <c r="CY113" s="926"/>
      <c r="CZ113" s="926"/>
      <c r="DA113" s="926"/>
      <c r="DB113" s="926"/>
      <c r="DC113" s="926"/>
      <c r="DD113" s="926"/>
      <c r="DE113" s="926"/>
      <c r="DF113" s="926"/>
      <c r="DG113" s="926"/>
      <c r="DH113" s="926"/>
      <c r="DI113" s="926"/>
      <c r="DJ113" s="926"/>
      <c r="DK113" s="926"/>
      <c r="DL113" s="926"/>
      <c r="DM113" s="926"/>
      <c r="DN113" s="926"/>
      <c r="DO113" s="926"/>
      <c r="DP113" s="926"/>
      <c r="DQ113" s="926"/>
      <c r="DR113" s="926"/>
      <c r="DS113" s="926"/>
      <c r="DT113" s="926"/>
      <c r="DU113" s="926"/>
      <c r="DV113" s="926"/>
      <c r="DW113" s="926"/>
      <c r="DX113" s="926"/>
      <c r="DY113" s="926"/>
      <c r="DZ113" s="926"/>
      <c r="EA113" s="926"/>
      <c r="EB113" s="926"/>
      <c r="EC113" s="926"/>
      <c r="ED113" s="926"/>
      <c r="EE113" s="926"/>
      <c r="EF113" s="926"/>
      <c r="EG113" s="926"/>
      <c r="EH113" s="926"/>
      <c r="EI113" s="926"/>
      <c r="EJ113" s="926"/>
      <c r="EK113" s="926"/>
      <c r="EL113" s="926"/>
      <c r="EM113" s="926"/>
      <c r="EN113" s="926"/>
      <c r="EO113" s="926"/>
      <c r="EP113" s="926"/>
      <c r="EQ113" s="926"/>
      <c r="ER113" s="926"/>
      <c r="ES113" s="926"/>
      <c r="ET113" s="926"/>
      <c r="EU113" s="926"/>
      <c r="EV113" s="926"/>
      <c r="EW113" s="926"/>
      <c r="EX113" s="926"/>
      <c r="EY113" s="926"/>
      <c r="EZ113" s="926"/>
      <c r="FA113" s="926"/>
      <c r="FB113" s="926"/>
      <c r="FC113" s="926"/>
      <c r="FD113" s="926"/>
      <c r="FE113" s="926"/>
      <c r="FF113" s="926"/>
      <c r="FG113" s="926"/>
      <c r="FH113" s="926"/>
      <c r="FI113" s="926"/>
      <c r="FJ113" s="926"/>
      <c r="FK113" s="926"/>
      <c r="FL113" s="926"/>
      <c r="FM113" s="926"/>
      <c r="FN113" s="926"/>
      <c r="FO113" s="926"/>
      <c r="FP113" s="926"/>
      <c r="FQ113" s="926"/>
      <c r="FR113" s="926"/>
      <c r="FS113" s="926"/>
      <c r="FT113" s="926"/>
      <c r="FU113" s="926"/>
      <c r="FV113" s="926"/>
      <c r="FW113" s="926"/>
      <c r="FX113" s="926"/>
      <c r="FY113" s="926"/>
      <c r="FZ113" s="926"/>
      <c r="GA113" s="926"/>
      <c r="GB113" s="926"/>
      <c r="GC113" s="926"/>
      <c r="GD113" s="926"/>
      <c r="GE113" s="926"/>
      <c r="GF113" s="926"/>
      <c r="GG113" s="926"/>
      <c r="GH113" s="926"/>
      <c r="GI113" s="926"/>
      <c r="GJ113" s="926"/>
      <c r="GK113" s="926"/>
      <c r="GL113" s="926"/>
      <c r="GM113" s="926"/>
      <c r="GN113" s="926"/>
      <c r="GO113" s="926"/>
      <c r="GP113" s="926"/>
      <c r="GQ113" s="926"/>
      <c r="GR113" s="926"/>
      <c r="GS113" s="926"/>
      <c r="GT113" s="926"/>
      <c r="GU113" s="926"/>
      <c r="GV113" s="926"/>
      <c r="GW113" s="926"/>
      <c r="GX113" s="926"/>
      <c r="GY113" s="926"/>
      <c r="GZ113" s="926"/>
      <c r="HA113" s="926"/>
      <c r="HB113" s="926"/>
      <c r="HC113" s="926"/>
      <c r="HD113" s="926"/>
      <c r="HE113" s="926"/>
      <c r="HF113" s="926"/>
      <c r="HG113" s="926"/>
      <c r="HH113" s="926"/>
      <c r="HI113" s="926"/>
      <c r="HJ113" s="926"/>
      <c r="HK113" s="926"/>
      <c r="HL113" s="926"/>
      <c r="HM113" s="926"/>
      <c r="HN113" s="926"/>
      <c r="HO113" s="926"/>
      <c r="HP113" s="926"/>
      <c r="HQ113" s="926"/>
      <c r="HR113" s="926"/>
      <c r="HS113" s="926"/>
      <c r="HT113" s="926"/>
      <c r="HU113" s="926"/>
      <c r="HV113" s="926"/>
      <c r="HW113" s="926"/>
      <c r="HX113" s="926"/>
      <c r="HY113" s="926"/>
      <c r="HZ113" s="926"/>
      <c r="IA113" s="926"/>
      <c r="IB113" s="926"/>
      <c r="IC113" s="926"/>
      <c r="ID113" s="926"/>
      <c r="IE113" s="926"/>
      <c r="IF113" s="926"/>
      <c r="IG113" s="926"/>
      <c r="IH113" s="926"/>
      <c r="II113" s="926"/>
      <c r="IJ113" s="926"/>
      <c r="IK113" s="926"/>
      <c r="IL113" s="926"/>
      <c r="IM113" s="926"/>
    </row>
    <row r="114" spans="1:247" x14ac:dyDescent="0.45">
      <c r="A114" s="441">
        <v>4311</v>
      </c>
      <c r="B114" s="939" t="s">
        <v>2649</v>
      </c>
      <c r="C114" s="47" t="s">
        <v>35</v>
      </c>
      <c r="D114" s="449" t="s">
        <v>2545</v>
      </c>
      <c r="E114" s="946"/>
      <c r="F114" s="941">
        <f t="shared" si="0"/>
        <v>1.0209999999999999</v>
      </c>
      <c r="G114" s="947">
        <f>+$G$3</f>
        <v>1.0269999999999999</v>
      </c>
      <c r="H114" s="946">
        <f>+$H$3</f>
        <v>1.0029999999999999</v>
      </c>
      <c r="I114" s="948">
        <f>+$I$3</f>
        <v>1.0289999999999999</v>
      </c>
      <c r="J114" s="948">
        <f>+$J$3</f>
        <v>1.0049999999999999</v>
      </c>
      <c r="K114" s="948"/>
      <c r="L114" s="948"/>
      <c r="M114" s="948">
        <f>+$M$3</f>
        <v>1.0029999999999999</v>
      </c>
      <c r="N114" s="947">
        <f>+$N$3</f>
        <v>1.0029999999999999</v>
      </c>
      <c r="O114" s="949"/>
      <c r="P114" s="946">
        <f t="shared" si="26"/>
        <v>1.032</v>
      </c>
      <c r="Q114" s="947">
        <f t="shared" si="27"/>
        <v>1.0349999999999999</v>
      </c>
      <c r="R114" s="950">
        <f t="shared" si="1"/>
        <v>1.168693068754227</v>
      </c>
      <c r="S114" s="926"/>
      <c r="T114" s="926"/>
      <c r="U114" s="926"/>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6"/>
      <c r="AV114" s="926"/>
      <c r="AW114" s="926"/>
      <c r="AX114" s="926"/>
      <c r="AY114" s="926"/>
      <c r="AZ114" s="926"/>
      <c r="BA114" s="926"/>
      <c r="BB114" s="926"/>
      <c r="BC114" s="926"/>
      <c r="BD114" s="926"/>
      <c r="BE114" s="926"/>
      <c r="BF114" s="926"/>
      <c r="BG114" s="926"/>
      <c r="BH114" s="926"/>
      <c r="BI114" s="926"/>
      <c r="BJ114" s="926"/>
      <c r="BK114" s="926"/>
      <c r="BL114" s="926"/>
      <c r="BM114" s="926"/>
      <c r="BN114" s="926"/>
      <c r="BO114" s="926"/>
      <c r="BP114" s="926"/>
      <c r="BQ114" s="926"/>
      <c r="BR114" s="926"/>
      <c r="BS114" s="926"/>
      <c r="BT114" s="926"/>
      <c r="BU114" s="926"/>
      <c r="BV114" s="926"/>
      <c r="BW114" s="926"/>
      <c r="BX114" s="926"/>
      <c r="BY114" s="926"/>
      <c r="BZ114" s="926"/>
      <c r="CA114" s="926"/>
      <c r="CB114" s="926"/>
      <c r="CC114" s="926"/>
      <c r="CD114" s="926"/>
      <c r="CE114" s="926"/>
      <c r="CF114" s="926"/>
      <c r="CG114" s="926"/>
      <c r="CH114" s="926"/>
      <c r="CI114" s="926"/>
      <c r="CJ114" s="926"/>
      <c r="CK114" s="926"/>
      <c r="CL114" s="926"/>
      <c r="CM114" s="926"/>
      <c r="CN114" s="926"/>
      <c r="CO114" s="926"/>
      <c r="CP114" s="926"/>
      <c r="CQ114" s="926"/>
      <c r="CR114" s="926"/>
      <c r="CS114" s="926"/>
      <c r="CT114" s="926"/>
      <c r="CU114" s="926"/>
      <c r="CV114" s="926"/>
      <c r="CW114" s="926"/>
      <c r="CX114" s="926"/>
      <c r="CY114" s="926"/>
      <c r="CZ114" s="926"/>
      <c r="DA114" s="926"/>
      <c r="DB114" s="926"/>
      <c r="DC114" s="926"/>
      <c r="DD114" s="926"/>
      <c r="DE114" s="926"/>
      <c r="DF114" s="926"/>
      <c r="DG114" s="926"/>
      <c r="DH114" s="926"/>
      <c r="DI114" s="926"/>
      <c r="DJ114" s="926"/>
      <c r="DK114" s="926"/>
      <c r="DL114" s="926"/>
      <c r="DM114" s="926"/>
      <c r="DN114" s="926"/>
      <c r="DO114" s="926"/>
      <c r="DP114" s="926"/>
      <c r="DQ114" s="926"/>
      <c r="DR114" s="926"/>
      <c r="DS114" s="926"/>
      <c r="DT114" s="926"/>
      <c r="DU114" s="926"/>
      <c r="DV114" s="926"/>
      <c r="DW114" s="926"/>
      <c r="DX114" s="926"/>
      <c r="DY114" s="926"/>
      <c r="DZ114" s="926"/>
      <c r="EA114" s="926"/>
      <c r="EB114" s="926"/>
      <c r="EC114" s="926"/>
      <c r="ED114" s="926"/>
      <c r="EE114" s="926"/>
      <c r="EF114" s="926"/>
      <c r="EG114" s="926"/>
      <c r="EH114" s="926"/>
      <c r="EI114" s="926"/>
      <c r="EJ114" s="926"/>
      <c r="EK114" s="926"/>
      <c r="EL114" s="926"/>
      <c r="EM114" s="926"/>
      <c r="EN114" s="926"/>
      <c r="EO114" s="926"/>
      <c r="EP114" s="926"/>
      <c r="EQ114" s="926"/>
      <c r="ER114" s="926"/>
      <c r="ES114" s="926"/>
      <c r="ET114" s="926"/>
      <c r="EU114" s="926"/>
      <c r="EV114" s="926"/>
      <c r="EW114" s="926"/>
      <c r="EX114" s="926"/>
      <c r="EY114" s="926"/>
      <c r="EZ114" s="926"/>
      <c r="FA114" s="926"/>
      <c r="FB114" s="926"/>
      <c r="FC114" s="926"/>
      <c r="FD114" s="926"/>
      <c r="FE114" s="926"/>
      <c r="FF114" s="926"/>
      <c r="FG114" s="926"/>
      <c r="FH114" s="926"/>
      <c r="FI114" s="926"/>
      <c r="FJ114" s="926"/>
      <c r="FK114" s="926"/>
      <c r="FL114" s="926"/>
      <c r="FM114" s="926"/>
      <c r="FN114" s="926"/>
      <c r="FO114" s="926"/>
      <c r="FP114" s="926"/>
      <c r="FQ114" s="926"/>
      <c r="FR114" s="926"/>
      <c r="FS114" s="926"/>
      <c r="FT114" s="926"/>
      <c r="FU114" s="926"/>
      <c r="FV114" s="926"/>
      <c r="FW114" s="926"/>
      <c r="FX114" s="926"/>
      <c r="FY114" s="926"/>
      <c r="FZ114" s="926"/>
      <c r="GA114" s="926"/>
      <c r="GB114" s="926"/>
      <c r="GC114" s="926"/>
      <c r="GD114" s="926"/>
      <c r="GE114" s="926"/>
      <c r="GF114" s="926"/>
      <c r="GG114" s="926"/>
      <c r="GH114" s="926"/>
      <c r="GI114" s="926"/>
      <c r="GJ114" s="926"/>
      <c r="GK114" s="926"/>
      <c r="GL114" s="926"/>
      <c r="GM114" s="926"/>
      <c r="GN114" s="926"/>
      <c r="GO114" s="926"/>
      <c r="GP114" s="926"/>
      <c r="GQ114" s="926"/>
      <c r="GR114" s="926"/>
      <c r="GS114" s="926"/>
      <c r="GT114" s="926"/>
      <c r="GU114" s="926"/>
      <c r="GV114" s="926"/>
      <c r="GW114" s="926"/>
      <c r="GX114" s="926"/>
      <c r="GY114" s="926"/>
      <c r="GZ114" s="926"/>
      <c r="HA114" s="926"/>
      <c r="HB114" s="926"/>
      <c r="HC114" s="926"/>
      <c r="HD114" s="926"/>
      <c r="HE114" s="926"/>
      <c r="HF114" s="926"/>
      <c r="HG114" s="926"/>
      <c r="HH114" s="926"/>
      <c r="HI114" s="926"/>
      <c r="HJ114" s="926"/>
      <c r="HK114" s="926"/>
      <c r="HL114" s="926"/>
      <c r="HM114" s="926"/>
      <c r="HN114" s="926"/>
      <c r="HO114" s="926"/>
      <c r="HP114" s="926"/>
      <c r="HQ114" s="926"/>
      <c r="HR114" s="926"/>
      <c r="HS114" s="926"/>
      <c r="HT114" s="926"/>
      <c r="HU114" s="926"/>
      <c r="HV114" s="926"/>
      <c r="HW114" s="926"/>
      <c r="HX114" s="926"/>
      <c r="HY114" s="926"/>
      <c r="HZ114" s="926"/>
      <c r="IA114" s="926"/>
      <c r="IB114" s="926"/>
      <c r="IC114" s="926"/>
      <c r="ID114" s="926"/>
      <c r="IE114" s="926"/>
      <c r="IF114" s="926"/>
      <c r="IG114" s="926"/>
      <c r="IH114" s="926"/>
      <c r="II114" s="926"/>
      <c r="IJ114" s="926"/>
      <c r="IK114" s="926"/>
      <c r="IL114" s="926"/>
      <c r="IM114" s="926"/>
    </row>
    <row r="115" spans="1:247" x14ac:dyDescent="0.45">
      <c r="A115" s="441">
        <v>4321</v>
      </c>
      <c r="B115" s="939" t="s">
        <v>2650</v>
      </c>
      <c r="C115" s="47" t="s">
        <v>35</v>
      </c>
      <c r="D115" s="449" t="s">
        <v>2545</v>
      </c>
      <c r="E115" s="946"/>
      <c r="F115" s="941">
        <f t="shared" si="0"/>
        <v>1.0209999999999999</v>
      </c>
      <c r="G115" s="947">
        <f>+$G$3</f>
        <v>1.0269999999999999</v>
      </c>
      <c r="H115" s="946"/>
      <c r="I115" s="948">
        <f>+$I$3</f>
        <v>1.0289999999999999</v>
      </c>
      <c r="J115" s="948">
        <f>+$J$3</f>
        <v>1.0049999999999999</v>
      </c>
      <c r="K115" s="948"/>
      <c r="L115" s="948"/>
      <c r="M115" s="948">
        <f>+$M$3</f>
        <v>1.0029999999999999</v>
      </c>
      <c r="N115" s="947">
        <f>+$N$3</f>
        <v>1.0029999999999999</v>
      </c>
      <c r="O115" s="949"/>
      <c r="P115" s="946">
        <f t="shared" si="26"/>
        <v>1.032</v>
      </c>
      <c r="Q115" s="947">
        <f t="shared" si="27"/>
        <v>1.0349999999999999</v>
      </c>
      <c r="R115" s="950">
        <f t="shared" si="1"/>
        <v>1.1651974763252515</v>
      </c>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926"/>
      <c r="AY115" s="926"/>
      <c r="AZ115" s="926"/>
      <c r="BA115" s="926"/>
      <c r="BB115" s="926"/>
      <c r="BC115" s="926"/>
      <c r="BD115" s="926"/>
      <c r="BE115" s="926"/>
      <c r="BF115" s="926"/>
      <c r="BG115" s="926"/>
      <c r="BH115" s="926"/>
      <c r="BI115" s="926"/>
      <c r="BJ115" s="926"/>
      <c r="BK115" s="926"/>
      <c r="BL115" s="926"/>
      <c r="BM115" s="926"/>
      <c r="BN115" s="926"/>
      <c r="BO115" s="926"/>
      <c r="BP115" s="926"/>
      <c r="BQ115" s="926"/>
      <c r="BR115" s="926"/>
      <c r="BS115" s="926"/>
      <c r="BT115" s="926"/>
      <c r="BU115" s="926"/>
      <c r="BV115" s="926"/>
      <c r="BW115" s="926"/>
      <c r="BX115" s="926"/>
      <c r="BY115" s="926"/>
      <c r="BZ115" s="926"/>
      <c r="CA115" s="926"/>
      <c r="CB115" s="926"/>
      <c r="CC115" s="926"/>
      <c r="CD115" s="926"/>
      <c r="CE115" s="926"/>
      <c r="CF115" s="926"/>
      <c r="CG115" s="926"/>
      <c r="CH115" s="926"/>
      <c r="CI115" s="926"/>
      <c r="CJ115" s="926"/>
      <c r="CK115" s="926"/>
      <c r="CL115" s="926"/>
      <c r="CM115" s="926"/>
      <c r="CN115" s="926"/>
      <c r="CO115" s="926"/>
      <c r="CP115" s="926"/>
      <c r="CQ115" s="926"/>
      <c r="CR115" s="926"/>
      <c r="CS115" s="926"/>
      <c r="CT115" s="926"/>
      <c r="CU115" s="926"/>
      <c r="CV115" s="926"/>
      <c r="CW115" s="926"/>
      <c r="CX115" s="926"/>
      <c r="CY115" s="926"/>
      <c r="CZ115" s="926"/>
      <c r="DA115" s="926"/>
      <c r="DB115" s="926"/>
      <c r="DC115" s="926"/>
      <c r="DD115" s="926"/>
      <c r="DE115" s="926"/>
      <c r="DF115" s="926"/>
      <c r="DG115" s="926"/>
      <c r="DH115" s="926"/>
      <c r="DI115" s="926"/>
      <c r="DJ115" s="926"/>
      <c r="DK115" s="926"/>
      <c r="DL115" s="926"/>
      <c r="DM115" s="926"/>
      <c r="DN115" s="926"/>
      <c r="DO115" s="926"/>
      <c r="DP115" s="926"/>
      <c r="DQ115" s="926"/>
      <c r="DR115" s="926"/>
      <c r="DS115" s="926"/>
      <c r="DT115" s="926"/>
      <c r="DU115" s="926"/>
      <c r="DV115" s="926"/>
      <c r="DW115" s="926"/>
      <c r="DX115" s="926"/>
      <c r="DY115" s="926"/>
      <c r="DZ115" s="926"/>
      <c r="EA115" s="926"/>
      <c r="EB115" s="926"/>
      <c r="EC115" s="926"/>
      <c r="ED115" s="926"/>
      <c r="EE115" s="926"/>
      <c r="EF115" s="926"/>
      <c r="EG115" s="926"/>
      <c r="EH115" s="926"/>
      <c r="EI115" s="926"/>
      <c r="EJ115" s="926"/>
      <c r="EK115" s="926"/>
      <c r="EL115" s="926"/>
      <c r="EM115" s="926"/>
      <c r="EN115" s="926"/>
      <c r="EO115" s="926"/>
      <c r="EP115" s="926"/>
      <c r="EQ115" s="926"/>
      <c r="ER115" s="926"/>
      <c r="ES115" s="926"/>
      <c r="ET115" s="926"/>
      <c r="EU115" s="926"/>
      <c r="EV115" s="926"/>
      <c r="EW115" s="926"/>
      <c r="EX115" s="926"/>
      <c r="EY115" s="926"/>
      <c r="EZ115" s="926"/>
      <c r="FA115" s="926"/>
      <c r="FB115" s="926"/>
      <c r="FC115" s="926"/>
      <c r="FD115" s="926"/>
      <c r="FE115" s="926"/>
      <c r="FF115" s="926"/>
      <c r="FG115" s="926"/>
      <c r="FH115" s="926"/>
      <c r="FI115" s="926"/>
      <c r="FJ115" s="926"/>
      <c r="FK115" s="926"/>
      <c r="FL115" s="926"/>
      <c r="FM115" s="926"/>
      <c r="FN115" s="926"/>
      <c r="FO115" s="926"/>
      <c r="FP115" s="926"/>
      <c r="FQ115" s="926"/>
      <c r="FR115" s="926"/>
      <c r="FS115" s="926"/>
      <c r="FT115" s="926"/>
      <c r="FU115" s="926"/>
      <c r="FV115" s="926"/>
      <c r="FW115" s="926"/>
      <c r="FX115" s="926"/>
      <c r="FY115" s="926"/>
      <c r="FZ115" s="926"/>
      <c r="GA115" s="926"/>
      <c r="GB115" s="926"/>
      <c r="GC115" s="926"/>
      <c r="GD115" s="926"/>
      <c r="GE115" s="926"/>
      <c r="GF115" s="926"/>
      <c r="GG115" s="926"/>
      <c r="GH115" s="926"/>
      <c r="GI115" s="926"/>
      <c r="GJ115" s="926"/>
      <c r="GK115" s="926"/>
      <c r="GL115" s="926"/>
      <c r="GM115" s="926"/>
      <c r="GN115" s="926"/>
      <c r="GO115" s="926"/>
      <c r="GP115" s="926"/>
      <c r="GQ115" s="926"/>
      <c r="GR115" s="926"/>
      <c r="GS115" s="926"/>
      <c r="GT115" s="926"/>
      <c r="GU115" s="926"/>
      <c r="GV115" s="926"/>
      <c r="GW115" s="926"/>
      <c r="GX115" s="926"/>
      <c r="GY115" s="926"/>
      <c r="GZ115" s="926"/>
      <c r="HA115" s="926"/>
      <c r="HB115" s="926"/>
      <c r="HC115" s="926"/>
      <c r="HD115" s="926"/>
      <c r="HE115" s="926"/>
      <c r="HF115" s="926"/>
      <c r="HG115" s="926"/>
      <c r="HH115" s="926"/>
      <c r="HI115" s="926"/>
      <c r="HJ115" s="926"/>
      <c r="HK115" s="926"/>
      <c r="HL115" s="926"/>
      <c r="HM115" s="926"/>
      <c r="HN115" s="926"/>
      <c r="HO115" s="926"/>
      <c r="HP115" s="926"/>
      <c r="HQ115" s="926"/>
      <c r="HR115" s="926"/>
      <c r="HS115" s="926"/>
      <c r="HT115" s="926"/>
      <c r="HU115" s="926"/>
      <c r="HV115" s="926"/>
      <c r="HW115" s="926"/>
      <c r="HX115" s="926"/>
      <c r="HY115" s="926"/>
      <c r="HZ115" s="926"/>
      <c r="IA115" s="926"/>
      <c r="IB115" s="926"/>
      <c r="IC115" s="926"/>
      <c r="ID115" s="926"/>
      <c r="IE115" s="926"/>
      <c r="IF115" s="926"/>
      <c r="IG115" s="926"/>
      <c r="IH115" s="926"/>
      <c r="II115" s="926"/>
      <c r="IJ115" s="926"/>
      <c r="IK115" s="926"/>
      <c r="IL115" s="926"/>
      <c r="IM115" s="926"/>
    </row>
    <row r="116" spans="1:247" x14ac:dyDescent="0.45">
      <c r="A116" s="441">
        <v>4414</v>
      </c>
      <c r="B116" s="939" t="s">
        <v>2651</v>
      </c>
      <c r="C116" s="47" t="s">
        <v>35</v>
      </c>
      <c r="D116" s="449" t="s">
        <v>2545</v>
      </c>
      <c r="E116" s="946"/>
      <c r="F116" s="941">
        <f t="shared" si="0"/>
        <v>1.0209999999999999</v>
      </c>
      <c r="G116" s="947">
        <f>+$G$3</f>
        <v>1.0269999999999999</v>
      </c>
      <c r="H116" s="946">
        <f>+$H$3</f>
        <v>1.0029999999999999</v>
      </c>
      <c r="I116" s="948">
        <f>+$I$3</f>
        <v>1.0289999999999999</v>
      </c>
      <c r="J116" s="948">
        <f>+$J$3</f>
        <v>1.0049999999999999</v>
      </c>
      <c r="K116" s="948"/>
      <c r="L116" s="948"/>
      <c r="M116" s="948">
        <f>+$M$3</f>
        <v>1.0029999999999999</v>
      </c>
      <c r="N116" s="947">
        <f>+$N$3</f>
        <v>1.0029999999999999</v>
      </c>
      <c r="O116" s="949"/>
      <c r="P116" s="946">
        <f t="shared" si="26"/>
        <v>1.032</v>
      </c>
      <c r="Q116" s="947">
        <f t="shared" si="27"/>
        <v>1.0349999999999999</v>
      </c>
      <c r="R116" s="950">
        <f t="shared" si="1"/>
        <v>1.168693068754227</v>
      </c>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926"/>
      <c r="AY116" s="926"/>
      <c r="AZ116" s="926"/>
      <c r="BA116" s="926"/>
      <c r="BB116" s="926"/>
      <c r="BC116" s="926"/>
      <c r="BD116" s="926"/>
      <c r="BE116" s="926"/>
      <c r="BF116" s="926"/>
      <c r="BG116" s="926"/>
      <c r="BH116" s="926"/>
      <c r="BI116" s="926"/>
      <c r="BJ116" s="926"/>
      <c r="BK116" s="926"/>
      <c r="BL116" s="926"/>
      <c r="BM116" s="926"/>
      <c r="BN116" s="926"/>
      <c r="BO116" s="926"/>
      <c r="BP116" s="926"/>
      <c r="BQ116" s="926"/>
      <c r="BR116" s="926"/>
      <c r="BS116" s="926"/>
      <c r="BT116" s="926"/>
      <c r="BU116" s="926"/>
      <c r="BV116" s="926"/>
      <c r="BW116" s="926"/>
      <c r="BX116" s="926"/>
      <c r="BY116" s="926"/>
      <c r="BZ116" s="926"/>
      <c r="CA116" s="926"/>
      <c r="CB116" s="926"/>
      <c r="CC116" s="926"/>
      <c r="CD116" s="926"/>
      <c r="CE116" s="926"/>
      <c r="CF116" s="926"/>
      <c r="CG116" s="926"/>
      <c r="CH116" s="926"/>
      <c r="CI116" s="926"/>
      <c r="CJ116" s="926"/>
      <c r="CK116" s="926"/>
      <c r="CL116" s="926"/>
      <c r="CM116" s="926"/>
      <c r="CN116" s="926"/>
      <c r="CO116" s="926"/>
      <c r="CP116" s="926"/>
      <c r="CQ116" s="926"/>
      <c r="CR116" s="926"/>
      <c r="CS116" s="926"/>
      <c r="CT116" s="926"/>
      <c r="CU116" s="926"/>
      <c r="CV116" s="926"/>
      <c r="CW116" s="926"/>
      <c r="CX116" s="926"/>
      <c r="CY116" s="926"/>
      <c r="CZ116" s="926"/>
      <c r="DA116" s="926"/>
      <c r="DB116" s="926"/>
      <c r="DC116" s="926"/>
      <c r="DD116" s="926"/>
      <c r="DE116" s="926"/>
      <c r="DF116" s="926"/>
      <c r="DG116" s="926"/>
      <c r="DH116" s="926"/>
      <c r="DI116" s="926"/>
      <c r="DJ116" s="926"/>
      <c r="DK116" s="926"/>
      <c r="DL116" s="926"/>
      <c r="DM116" s="926"/>
      <c r="DN116" s="926"/>
      <c r="DO116" s="926"/>
      <c r="DP116" s="926"/>
      <c r="DQ116" s="926"/>
      <c r="DR116" s="926"/>
      <c r="DS116" s="926"/>
      <c r="DT116" s="926"/>
      <c r="DU116" s="926"/>
      <c r="DV116" s="926"/>
      <c r="DW116" s="926"/>
      <c r="DX116" s="926"/>
      <c r="DY116" s="926"/>
      <c r="DZ116" s="926"/>
      <c r="EA116" s="926"/>
      <c r="EB116" s="926"/>
      <c r="EC116" s="926"/>
      <c r="ED116" s="926"/>
      <c r="EE116" s="926"/>
      <c r="EF116" s="926"/>
      <c r="EG116" s="926"/>
      <c r="EH116" s="926"/>
      <c r="EI116" s="926"/>
      <c r="EJ116" s="926"/>
      <c r="EK116" s="926"/>
      <c r="EL116" s="926"/>
      <c r="EM116" s="926"/>
      <c r="EN116" s="926"/>
      <c r="EO116" s="926"/>
      <c r="EP116" s="926"/>
      <c r="EQ116" s="926"/>
      <c r="ER116" s="926"/>
      <c r="ES116" s="926"/>
      <c r="ET116" s="926"/>
      <c r="EU116" s="926"/>
      <c r="EV116" s="926"/>
      <c r="EW116" s="926"/>
      <c r="EX116" s="926"/>
      <c r="EY116" s="926"/>
      <c r="EZ116" s="926"/>
      <c r="FA116" s="926"/>
      <c r="FB116" s="926"/>
      <c r="FC116" s="926"/>
      <c r="FD116" s="926"/>
      <c r="FE116" s="926"/>
      <c r="FF116" s="926"/>
      <c r="FG116" s="926"/>
      <c r="FH116" s="926"/>
      <c r="FI116" s="926"/>
      <c r="FJ116" s="926"/>
      <c r="FK116" s="926"/>
      <c r="FL116" s="926"/>
      <c r="FM116" s="926"/>
      <c r="FN116" s="926"/>
      <c r="FO116" s="926"/>
      <c r="FP116" s="926"/>
      <c r="FQ116" s="926"/>
      <c r="FR116" s="926"/>
      <c r="FS116" s="926"/>
      <c r="FT116" s="926"/>
      <c r="FU116" s="926"/>
      <c r="FV116" s="926"/>
      <c r="FW116" s="926"/>
      <c r="FX116" s="926"/>
      <c r="FY116" s="926"/>
      <c r="FZ116" s="926"/>
      <c r="GA116" s="926"/>
      <c r="GB116" s="926"/>
      <c r="GC116" s="926"/>
      <c r="GD116" s="926"/>
      <c r="GE116" s="926"/>
      <c r="GF116" s="926"/>
      <c r="GG116" s="926"/>
      <c r="GH116" s="926"/>
      <c r="GI116" s="926"/>
      <c r="GJ116" s="926"/>
      <c r="GK116" s="926"/>
      <c r="GL116" s="926"/>
      <c r="GM116" s="926"/>
      <c r="GN116" s="926"/>
      <c r="GO116" s="926"/>
      <c r="GP116" s="926"/>
      <c r="GQ116" s="926"/>
      <c r="GR116" s="926"/>
      <c r="GS116" s="926"/>
      <c r="GT116" s="926"/>
      <c r="GU116" s="926"/>
      <c r="GV116" s="926"/>
      <c r="GW116" s="926"/>
      <c r="GX116" s="926"/>
      <c r="GY116" s="926"/>
      <c r="GZ116" s="926"/>
      <c r="HA116" s="926"/>
      <c r="HB116" s="926"/>
      <c r="HC116" s="926"/>
      <c r="HD116" s="926"/>
      <c r="HE116" s="926"/>
      <c r="HF116" s="926"/>
      <c r="HG116" s="926"/>
      <c r="HH116" s="926"/>
      <c r="HI116" s="926"/>
      <c r="HJ116" s="926"/>
      <c r="HK116" s="926"/>
      <c r="HL116" s="926"/>
      <c r="HM116" s="926"/>
      <c r="HN116" s="926"/>
      <c r="HO116" s="926"/>
      <c r="HP116" s="926"/>
      <c r="HQ116" s="926"/>
      <c r="HR116" s="926"/>
      <c r="HS116" s="926"/>
      <c r="HT116" s="926"/>
      <c r="HU116" s="926"/>
      <c r="HV116" s="926"/>
      <c r="HW116" s="926"/>
      <c r="HX116" s="926"/>
      <c r="HY116" s="926"/>
      <c r="HZ116" s="926"/>
      <c r="IA116" s="926"/>
      <c r="IB116" s="926"/>
      <c r="IC116" s="926"/>
      <c r="ID116" s="926"/>
      <c r="IE116" s="926"/>
      <c r="IF116" s="926"/>
      <c r="IG116" s="926"/>
      <c r="IH116" s="926"/>
      <c r="II116" s="926"/>
      <c r="IJ116" s="926"/>
      <c r="IK116" s="926"/>
      <c r="IL116" s="926"/>
      <c r="IM116" s="926"/>
    </row>
    <row r="117" spans="1:247" x14ac:dyDescent="0.45">
      <c r="A117" s="441">
        <v>4424</v>
      </c>
      <c r="B117" s="939" t="s">
        <v>2652</v>
      </c>
      <c r="C117" s="47" t="s">
        <v>35</v>
      </c>
      <c r="D117" s="449" t="s">
        <v>2545</v>
      </c>
      <c r="E117" s="946"/>
      <c r="F117" s="941">
        <f t="shared" si="0"/>
        <v>1.0209999999999999</v>
      </c>
      <c r="G117" s="947">
        <f>+$G$3</f>
        <v>1.0269999999999999</v>
      </c>
      <c r="H117" s="946">
        <f>+$H$3</f>
        <v>1.0029999999999999</v>
      </c>
      <c r="I117" s="948">
        <f>+$I$3</f>
        <v>1.0289999999999999</v>
      </c>
      <c r="J117" s="948">
        <f>+$J$3</f>
        <v>1.0049999999999999</v>
      </c>
      <c r="K117" s="948"/>
      <c r="L117" s="948"/>
      <c r="M117" s="948">
        <f>+$M$3</f>
        <v>1.0029999999999999</v>
      </c>
      <c r="N117" s="947">
        <f>+$N$3</f>
        <v>1.0029999999999999</v>
      </c>
      <c r="O117" s="949"/>
      <c r="P117" s="946">
        <f t="shared" si="26"/>
        <v>1.032</v>
      </c>
      <c r="Q117" s="947">
        <f t="shared" si="27"/>
        <v>1.0349999999999999</v>
      </c>
      <c r="R117" s="950">
        <f t="shared" si="1"/>
        <v>1.168693068754227</v>
      </c>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926"/>
      <c r="AY117" s="926"/>
      <c r="AZ117" s="926"/>
      <c r="BA117" s="926"/>
      <c r="BB117" s="926"/>
      <c r="BC117" s="926"/>
      <c r="BD117" s="926"/>
      <c r="BE117" s="926"/>
      <c r="BF117" s="926"/>
      <c r="BG117" s="926"/>
      <c r="BH117" s="926"/>
      <c r="BI117" s="926"/>
      <c r="BJ117" s="926"/>
      <c r="BK117" s="926"/>
      <c r="BL117" s="926"/>
      <c r="BM117" s="926"/>
      <c r="BN117" s="926"/>
      <c r="BO117" s="926"/>
      <c r="BP117" s="926"/>
      <c r="BQ117" s="926"/>
      <c r="BR117" s="926"/>
      <c r="BS117" s="926"/>
      <c r="BT117" s="926"/>
      <c r="BU117" s="926"/>
      <c r="BV117" s="926"/>
      <c r="BW117" s="926"/>
      <c r="BX117" s="926"/>
      <c r="BY117" s="926"/>
      <c r="BZ117" s="926"/>
      <c r="CA117" s="926"/>
      <c r="CB117" s="926"/>
      <c r="CC117" s="926"/>
      <c r="CD117" s="926"/>
      <c r="CE117" s="926"/>
      <c r="CF117" s="926"/>
      <c r="CG117" s="926"/>
      <c r="CH117" s="926"/>
      <c r="CI117" s="926"/>
      <c r="CJ117" s="926"/>
      <c r="CK117" s="926"/>
      <c r="CL117" s="926"/>
      <c r="CM117" s="926"/>
      <c r="CN117" s="926"/>
      <c r="CO117" s="926"/>
      <c r="CP117" s="926"/>
      <c r="CQ117" s="926"/>
      <c r="CR117" s="926"/>
      <c r="CS117" s="926"/>
      <c r="CT117" s="926"/>
      <c r="CU117" s="926"/>
      <c r="CV117" s="926"/>
      <c r="CW117" s="926"/>
      <c r="CX117" s="926"/>
      <c r="CY117" s="926"/>
      <c r="CZ117" s="926"/>
      <c r="DA117" s="926"/>
      <c r="DB117" s="926"/>
      <c r="DC117" s="926"/>
      <c r="DD117" s="926"/>
      <c r="DE117" s="926"/>
      <c r="DF117" s="926"/>
      <c r="DG117" s="926"/>
      <c r="DH117" s="926"/>
      <c r="DI117" s="926"/>
      <c r="DJ117" s="926"/>
      <c r="DK117" s="926"/>
      <c r="DL117" s="926"/>
      <c r="DM117" s="926"/>
      <c r="DN117" s="926"/>
      <c r="DO117" s="926"/>
      <c r="DP117" s="926"/>
      <c r="DQ117" s="926"/>
      <c r="DR117" s="926"/>
      <c r="DS117" s="926"/>
      <c r="DT117" s="926"/>
      <c r="DU117" s="926"/>
      <c r="DV117" s="926"/>
      <c r="DW117" s="926"/>
      <c r="DX117" s="926"/>
      <c r="DY117" s="926"/>
      <c r="DZ117" s="926"/>
      <c r="EA117" s="926"/>
      <c r="EB117" s="926"/>
      <c r="EC117" s="926"/>
      <c r="ED117" s="926"/>
      <c r="EE117" s="926"/>
      <c r="EF117" s="926"/>
      <c r="EG117" s="926"/>
      <c r="EH117" s="926"/>
      <c r="EI117" s="926"/>
      <c r="EJ117" s="926"/>
      <c r="EK117" s="926"/>
      <c r="EL117" s="926"/>
      <c r="EM117" s="926"/>
      <c r="EN117" s="926"/>
      <c r="EO117" s="926"/>
      <c r="EP117" s="926"/>
      <c r="EQ117" s="926"/>
      <c r="ER117" s="926"/>
      <c r="ES117" s="926"/>
      <c r="ET117" s="926"/>
      <c r="EU117" s="926"/>
      <c r="EV117" s="926"/>
      <c r="EW117" s="926"/>
      <c r="EX117" s="926"/>
      <c r="EY117" s="926"/>
      <c r="EZ117" s="926"/>
      <c r="FA117" s="926"/>
      <c r="FB117" s="926"/>
      <c r="FC117" s="926"/>
      <c r="FD117" s="926"/>
      <c r="FE117" s="926"/>
      <c r="FF117" s="926"/>
      <c r="FG117" s="926"/>
      <c r="FH117" s="926"/>
      <c r="FI117" s="926"/>
      <c r="FJ117" s="926"/>
      <c r="FK117" s="926"/>
      <c r="FL117" s="926"/>
      <c r="FM117" s="926"/>
      <c r="FN117" s="926"/>
      <c r="FO117" s="926"/>
      <c r="FP117" s="926"/>
      <c r="FQ117" s="926"/>
      <c r="FR117" s="926"/>
      <c r="FS117" s="926"/>
      <c r="FT117" s="926"/>
      <c r="FU117" s="926"/>
      <c r="FV117" s="926"/>
      <c r="FW117" s="926"/>
      <c r="FX117" s="926"/>
      <c r="FY117" s="926"/>
      <c r="FZ117" s="926"/>
      <c r="GA117" s="926"/>
      <c r="GB117" s="926"/>
      <c r="GC117" s="926"/>
      <c r="GD117" s="926"/>
      <c r="GE117" s="926"/>
      <c r="GF117" s="926"/>
      <c r="GG117" s="926"/>
      <c r="GH117" s="926"/>
      <c r="GI117" s="926"/>
      <c r="GJ117" s="926"/>
      <c r="GK117" s="926"/>
      <c r="GL117" s="926"/>
      <c r="GM117" s="926"/>
      <c r="GN117" s="926"/>
      <c r="GO117" s="926"/>
      <c r="GP117" s="926"/>
      <c r="GQ117" s="926"/>
      <c r="GR117" s="926"/>
      <c r="GS117" s="926"/>
      <c r="GT117" s="926"/>
      <c r="GU117" s="926"/>
      <c r="GV117" s="926"/>
      <c r="GW117" s="926"/>
      <c r="GX117" s="926"/>
      <c r="GY117" s="926"/>
      <c r="GZ117" s="926"/>
      <c r="HA117" s="926"/>
      <c r="HB117" s="926"/>
      <c r="HC117" s="926"/>
      <c r="HD117" s="926"/>
      <c r="HE117" s="926"/>
      <c r="HF117" s="926"/>
      <c r="HG117" s="926"/>
      <c r="HH117" s="926"/>
      <c r="HI117" s="926"/>
      <c r="HJ117" s="926"/>
      <c r="HK117" s="926"/>
      <c r="HL117" s="926"/>
      <c r="HM117" s="926"/>
      <c r="HN117" s="926"/>
      <c r="HO117" s="926"/>
      <c r="HP117" s="926"/>
      <c r="HQ117" s="926"/>
      <c r="HR117" s="926"/>
      <c r="HS117" s="926"/>
      <c r="HT117" s="926"/>
      <c r="HU117" s="926"/>
      <c r="HV117" s="926"/>
      <c r="HW117" s="926"/>
      <c r="HX117" s="926"/>
      <c r="HY117" s="926"/>
      <c r="HZ117" s="926"/>
      <c r="IA117" s="926"/>
      <c r="IB117" s="926"/>
      <c r="IC117" s="926"/>
      <c r="ID117" s="926"/>
      <c r="IE117" s="926"/>
      <c r="IF117" s="926"/>
      <c r="IG117" s="926"/>
      <c r="IH117" s="926"/>
      <c r="II117" s="926"/>
      <c r="IJ117" s="926"/>
      <c r="IK117" s="926"/>
      <c r="IL117" s="926"/>
      <c r="IM117" s="926"/>
    </row>
    <row r="118" spans="1:247" x14ac:dyDescent="0.45">
      <c r="A118" s="441">
        <v>4425</v>
      </c>
      <c r="B118" s="939" t="s">
        <v>2653</v>
      </c>
      <c r="C118" s="47" t="s">
        <v>35</v>
      </c>
      <c r="D118" s="449" t="s">
        <v>2545</v>
      </c>
      <c r="E118" s="946"/>
      <c r="F118" s="941">
        <f t="shared" si="0"/>
        <v>1.0209999999999999</v>
      </c>
      <c r="G118" s="947">
        <f>+$G$3</f>
        <v>1.0269999999999999</v>
      </c>
      <c r="H118" s="946"/>
      <c r="I118" s="948"/>
      <c r="J118" s="948">
        <f>+$J$3</f>
        <v>1.0049999999999999</v>
      </c>
      <c r="K118" s="948"/>
      <c r="L118" s="948"/>
      <c r="M118" s="948"/>
      <c r="N118" s="947"/>
      <c r="O118" s="949"/>
      <c r="P118" s="946">
        <f t="shared" si="26"/>
        <v>1.032</v>
      </c>
      <c r="Q118" s="947">
        <f t="shared" si="27"/>
        <v>1.0349999999999999</v>
      </c>
      <c r="R118" s="950">
        <f t="shared" si="1"/>
        <v>1.1255953609601996</v>
      </c>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926"/>
      <c r="AY118" s="926"/>
      <c r="AZ118" s="926"/>
      <c r="BA118" s="926"/>
      <c r="BB118" s="926"/>
      <c r="BC118" s="926"/>
      <c r="BD118" s="926"/>
      <c r="BE118" s="926"/>
      <c r="BF118" s="926"/>
      <c r="BG118" s="926"/>
      <c r="BH118" s="926"/>
      <c r="BI118" s="926"/>
      <c r="BJ118" s="926"/>
      <c r="BK118" s="926"/>
      <c r="BL118" s="926"/>
      <c r="BM118" s="926"/>
      <c r="BN118" s="926"/>
      <c r="BO118" s="926"/>
      <c r="BP118" s="926"/>
      <c r="BQ118" s="926"/>
      <c r="BR118" s="926"/>
      <c r="BS118" s="926"/>
      <c r="BT118" s="926"/>
      <c r="BU118" s="926"/>
      <c r="BV118" s="926"/>
      <c r="BW118" s="926"/>
      <c r="BX118" s="926"/>
      <c r="BY118" s="926"/>
      <c r="BZ118" s="926"/>
      <c r="CA118" s="926"/>
      <c r="CB118" s="926"/>
      <c r="CC118" s="926"/>
      <c r="CD118" s="926"/>
      <c r="CE118" s="926"/>
      <c r="CF118" s="926"/>
      <c r="CG118" s="926"/>
      <c r="CH118" s="926"/>
      <c r="CI118" s="926"/>
      <c r="CJ118" s="926"/>
      <c r="CK118" s="926"/>
      <c r="CL118" s="926"/>
      <c r="CM118" s="926"/>
      <c r="CN118" s="926"/>
      <c r="CO118" s="926"/>
      <c r="CP118" s="926"/>
      <c r="CQ118" s="926"/>
      <c r="CR118" s="926"/>
      <c r="CS118" s="926"/>
      <c r="CT118" s="926"/>
      <c r="CU118" s="926"/>
      <c r="CV118" s="926"/>
      <c r="CW118" s="926"/>
      <c r="CX118" s="926"/>
      <c r="CY118" s="926"/>
      <c r="CZ118" s="926"/>
      <c r="DA118" s="926"/>
      <c r="DB118" s="926"/>
      <c r="DC118" s="926"/>
      <c r="DD118" s="926"/>
      <c r="DE118" s="926"/>
      <c r="DF118" s="926"/>
      <c r="DG118" s="926"/>
      <c r="DH118" s="926"/>
      <c r="DI118" s="926"/>
      <c r="DJ118" s="926"/>
      <c r="DK118" s="926"/>
      <c r="DL118" s="926"/>
      <c r="DM118" s="926"/>
      <c r="DN118" s="926"/>
      <c r="DO118" s="926"/>
      <c r="DP118" s="926"/>
      <c r="DQ118" s="926"/>
      <c r="DR118" s="926"/>
      <c r="DS118" s="926"/>
      <c r="DT118" s="926"/>
      <c r="DU118" s="926"/>
      <c r="DV118" s="926"/>
      <c r="DW118" s="926"/>
      <c r="DX118" s="926"/>
      <c r="DY118" s="926"/>
      <c r="DZ118" s="926"/>
      <c r="EA118" s="926"/>
      <c r="EB118" s="926"/>
      <c r="EC118" s="926"/>
      <c r="ED118" s="926"/>
      <c r="EE118" s="926"/>
      <c r="EF118" s="926"/>
      <c r="EG118" s="926"/>
      <c r="EH118" s="926"/>
      <c r="EI118" s="926"/>
      <c r="EJ118" s="926"/>
      <c r="EK118" s="926"/>
      <c r="EL118" s="926"/>
      <c r="EM118" s="926"/>
      <c r="EN118" s="926"/>
      <c r="EO118" s="926"/>
      <c r="EP118" s="926"/>
      <c r="EQ118" s="926"/>
      <c r="ER118" s="926"/>
      <c r="ES118" s="926"/>
      <c r="ET118" s="926"/>
      <c r="EU118" s="926"/>
      <c r="EV118" s="926"/>
      <c r="EW118" s="926"/>
      <c r="EX118" s="926"/>
      <c r="EY118" s="926"/>
      <c r="EZ118" s="926"/>
      <c r="FA118" s="926"/>
      <c r="FB118" s="926"/>
      <c r="FC118" s="926"/>
      <c r="FD118" s="926"/>
      <c r="FE118" s="926"/>
      <c r="FF118" s="926"/>
      <c r="FG118" s="926"/>
      <c r="FH118" s="926"/>
      <c r="FI118" s="926"/>
      <c r="FJ118" s="926"/>
      <c r="FK118" s="926"/>
      <c r="FL118" s="926"/>
      <c r="FM118" s="926"/>
      <c r="FN118" s="926"/>
      <c r="FO118" s="926"/>
      <c r="FP118" s="926"/>
      <c r="FQ118" s="926"/>
      <c r="FR118" s="926"/>
      <c r="FS118" s="926"/>
      <c r="FT118" s="926"/>
      <c r="FU118" s="926"/>
      <c r="FV118" s="926"/>
      <c r="FW118" s="926"/>
      <c r="FX118" s="926"/>
      <c r="FY118" s="926"/>
      <c r="FZ118" s="926"/>
      <c r="GA118" s="926"/>
      <c r="GB118" s="926"/>
      <c r="GC118" s="926"/>
      <c r="GD118" s="926"/>
      <c r="GE118" s="926"/>
      <c r="GF118" s="926"/>
      <c r="GG118" s="926"/>
      <c r="GH118" s="926"/>
      <c r="GI118" s="926"/>
      <c r="GJ118" s="926"/>
      <c r="GK118" s="926"/>
      <c r="GL118" s="926"/>
      <c r="GM118" s="926"/>
      <c r="GN118" s="926"/>
      <c r="GO118" s="926"/>
      <c r="GP118" s="926"/>
      <c r="GQ118" s="926"/>
      <c r="GR118" s="926"/>
      <c r="GS118" s="926"/>
      <c r="GT118" s="926"/>
      <c r="GU118" s="926"/>
      <c r="GV118" s="926"/>
      <c r="GW118" s="926"/>
      <c r="GX118" s="926"/>
      <c r="GY118" s="926"/>
      <c r="GZ118" s="926"/>
      <c r="HA118" s="926"/>
      <c r="HB118" s="926"/>
      <c r="HC118" s="926"/>
      <c r="HD118" s="926"/>
      <c r="HE118" s="926"/>
      <c r="HF118" s="926"/>
      <c r="HG118" s="926"/>
      <c r="HH118" s="926"/>
      <c r="HI118" s="926"/>
      <c r="HJ118" s="926"/>
      <c r="HK118" s="926"/>
      <c r="HL118" s="926"/>
      <c r="HM118" s="926"/>
      <c r="HN118" s="926"/>
      <c r="HO118" s="926"/>
      <c r="HP118" s="926"/>
      <c r="HQ118" s="926"/>
      <c r="HR118" s="926"/>
      <c r="HS118" s="926"/>
      <c r="HT118" s="926"/>
      <c r="HU118" s="926"/>
      <c r="HV118" s="926"/>
      <c r="HW118" s="926"/>
      <c r="HX118" s="926"/>
      <c r="HY118" s="926"/>
      <c r="HZ118" s="926"/>
      <c r="IA118" s="926"/>
      <c r="IB118" s="926"/>
      <c r="IC118" s="926"/>
      <c r="ID118" s="926"/>
      <c r="IE118" s="926"/>
      <c r="IF118" s="926"/>
      <c r="IG118" s="926"/>
      <c r="IH118" s="926"/>
      <c r="II118" s="926"/>
      <c r="IJ118" s="926"/>
      <c r="IK118" s="926"/>
      <c r="IL118" s="926"/>
      <c r="IM118" s="926"/>
    </row>
    <row r="119" spans="1:247" x14ac:dyDescent="0.45">
      <c r="A119" s="441">
        <v>4426</v>
      </c>
      <c r="B119" s="939" t="s">
        <v>2654</v>
      </c>
      <c r="C119" s="47" t="s">
        <v>35</v>
      </c>
      <c r="D119" s="449" t="s">
        <v>2545</v>
      </c>
      <c r="E119" s="946"/>
      <c r="F119" s="941">
        <f t="shared" si="0"/>
        <v>1.0209999999999999</v>
      </c>
      <c r="G119" s="947"/>
      <c r="H119" s="946"/>
      <c r="I119" s="948"/>
      <c r="J119" s="948"/>
      <c r="K119" s="948"/>
      <c r="L119" s="948"/>
      <c r="M119" s="948"/>
      <c r="N119" s="947"/>
      <c r="O119" s="949"/>
      <c r="P119" s="946">
        <f t="shared" si="26"/>
        <v>1.032</v>
      </c>
      <c r="Q119" s="947">
        <f t="shared" si="27"/>
        <v>1.0349999999999999</v>
      </c>
      <c r="R119" s="950">
        <f t="shared" si="1"/>
        <v>1.0905505199999999</v>
      </c>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926"/>
      <c r="AY119" s="926"/>
      <c r="AZ119" s="926"/>
      <c r="BA119" s="926"/>
      <c r="BB119" s="926"/>
      <c r="BC119" s="926"/>
      <c r="BD119" s="926"/>
      <c r="BE119" s="926"/>
      <c r="BF119" s="926"/>
      <c r="BG119" s="926"/>
      <c r="BH119" s="926"/>
      <c r="BI119" s="926"/>
      <c r="BJ119" s="926"/>
      <c r="BK119" s="926"/>
      <c r="BL119" s="926"/>
      <c r="BM119" s="926"/>
      <c r="BN119" s="926"/>
      <c r="BO119" s="926"/>
      <c r="BP119" s="926"/>
      <c r="BQ119" s="926"/>
      <c r="BR119" s="926"/>
      <c r="BS119" s="926"/>
      <c r="BT119" s="926"/>
      <c r="BU119" s="926"/>
      <c r="BV119" s="926"/>
      <c r="BW119" s="926"/>
      <c r="BX119" s="926"/>
      <c r="BY119" s="926"/>
      <c r="BZ119" s="926"/>
      <c r="CA119" s="926"/>
      <c r="CB119" s="926"/>
      <c r="CC119" s="926"/>
      <c r="CD119" s="926"/>
      <c r="CE119" s="926"/>
      <c r="CF119" s="926"/>
      <c r="CG119" s="926"/>
      <c r="CH119" s="926"/>
      <c r="CI119" s="926"/>
      <c r="CJ119" s="926"/>
      <c r="CK119" s="926"/>
      <c r="CL119" s="926"/>
      <c r="CM119" s="926"/>
      <c r="CN119" s="926"/>
      <c r="CO119" s="926"/>
      <c r="CP119" s="926"/>
      <c r="CQ119" s="926"/>
      <c r="CR119" s="926"/>
      <c r="CS119" s="926"/>
      <c r="CT119" s="926"/>
      <c r="CU119" s="926"/>
      <c r="CV119" s="926"/>
      <c r="CW119" s="926"/>
      <c r="CX119" s="926"/>
      <c r="CY119" s="926"/>
      <c r="CZ119" s="926"/>
      <c r="DA119" s="926"/>
      <c r="DB119" s="926"/>
      <c r="DC119" s="926"/>
      <c r="DD119" s="926"/>
      <c r="DE119" s="926"/>
      <c r="DF119" s="926"/>
      <c r="DG119" s="926"/>
      <c r="DH119" s="926"/>
      <c r="DI119" s="926"/>
      <c r="DJ119" s="926"/>
      <c r="DK119" s="926"/>
      <c r="DL119" s="926"/>
      <c r="DM119" s="926"/>
      <c r="DN119" s="926"/>
      <c r="DO119" s="926"/>
      <c r="DP119" s="926"/>
      <c r="DQ119" s="926"/>
      <c r="DR119" s="926"/>
      <c r="DS119" s="926"/>
      <c r="DT119" s="926"/>
      <c r="DU119" s="926"/>
      <c r="DV119" s="926"/>
      <c r="DW119" s="926"/>
      <c r="DX119" s="926"/>
      <c r="DY119" s="926"/>
      <c r="DZ119" s="926"/>
      <c r="EA119" s="926"/>
      <c r="EB119" s="926"/>
      <c r="EC119" s="926"/>
      <c r="ED119" s="926"/>
      <c r="EE119" s="926"/>
      <c r="EF119" s="926"/>
      <c r="EG119" s="926"/>
      <c r="EH119" s="926"/>
      <c r="EI119" s="926"/>
      <c r="EJ119" s="926"/>
      <c r="EK119" s="926"/>
      <c r="EL119" s="926"/>
      <c r="EM119" s="926"/>
      <c r="EN119" s="926"/>
      <c r="EO119" s="926"/>
      <c r="EP119" s="926"/>
      <c r="EQ119" s="926"/>
      <c r="ER119" s="926"/>
      <c r="ES119" s="926"/>
      <c r="ET119" s="926"/>
      <c r="EU119" s="926"/>
      <c r="EV119" s="926"/>
      <c r="EW119" s="926"/>
      <c r="EX119" s="926"/>
      <c r="EY119" s="926"/>
      <c r="EZ119" s="926"/>
      <c r="FA119" s="926"/>
      <c r="FB119" s="926"/>
      <c r="FC119" s="926"/>
      <c r="FD119" s="926"/>
      <c r="FE119" s="926"/>
      <c r="FF119" s="926"/>
      <c r="FG119" s="926"/>
      <c r="FH119" s="926"/>
      <c r="FI119" s="926"/>
      <c r="FJ119" s="926"/>
      <c r="FK119" s="926"/>
      <c r="FL119" s="926"/>
      <c r="FM119" s="926"/>
      <c r="FN119" s="926"/>
      <c r="FO119" s="926"/>
      <c r="FP119" s="926"/>
      <c r="FQ119" s="926"/>
      <c r="FR119" s="926"/>
      <c r="FS119" s="926"/>
      <c r="FT119" s="926"/>
      <c r="FU119" s="926"/>
      <c r="FV119" s="926"/>
      <c r="FW119" s="926"/>
      <c r="FX119" s="926"/>
      <c r="FY119" s="926"/>
      <c r="FZ119" s="926"/>
      <c r="GA119" s="926"/>
      <c r="GB119" s="926"/>
      <c r="GC119" s="926"/>
      <c r="GD119" s="926"/>
      <c r="GE119" s="926"/>
      <c r="GF119" s="926"/>
      <c r="GG119" s="926"/>
      <c r="GH119" s="926"/>
      <c r="GI119" s="926"/>
      <c r="GJ119" s="926"/>
      <c r="GK119" s="926"/>
      <c r="GL119" s="926"/>
      <c r="GM119" s="926"/>
      <c r="GN119" s="926"/>
      <c r="GO119" s="926"/>
      <c r="GP119" s="926"/>
      <c r="GQ119" s="926"/>
      <c r="GR119" s="926"/>
      <c r="GS119" s="926"/>
      <c r="GT119" s="926"/>
      <c r="GU119" s="926"/>
      <c r="GV119" s="926"/>
      <c r="GW119" s="926"/>
      <c r="GX119" s="926"/>
      <c r="GY119" s="926"/>
      <c r="GZ119" s="926"/>
      <c r="HA119" s="926"/>
      <c r="HB119" s="926"/>
      <c r="HC119" s="926"/>
      <c r="HD119" s="926"/>
      <c r="HE119" s="926"/>
      <c r="HF119" s="926"/>
      <c r="HG119" s="926"/>
      <c r="HH119" s="926"/>
      <c r="HI119" s="926"/>
      <c r="HJ119" s="926"/>
      <c r="HK119" s="926"/>
      <c r="HL119" s="926"/>
      <c r="HM119" s="926"/>
      <c r="HN119" s="926"/>
      <c r="HO119" s="926"/>
      <c r="HP119" s="926"/>
      <c r="HQ119" s="926"/>
      <c r="HR119" s="926"/>
      <c r="HS119" s="926"/>
      <c r="HT119" s="926"/>
      <c r="HU119" s="926"/>
      <c r="HV119" s="926"/>
      <c r="HW119" s="926"/>
      <c r="HX119" s="926"/>
      <c r="HY119" s="926"/>
      <c r="HZ119" s="926"/>
      <c r="IA119" s="926"/>
      <c r="IB119" s="926"/>
      <c r="IC119" s="926"/>
      <c r="ID119" s="926"/>
      <c r="IE119" s="926"/>
      <c r="IF119" s="926"/>
      <c r="IG119" s="926"/>
      <c r="IH119" s="926"/>
      <c r="II119" s="926"/>
      <c r="IJ119" s="926"/>
      <c r="IK119" s="926"/>
      <c r="IL119" s="926"/>
      <c r="IM119" s="926"/>
    </row>
    <row r="120" spans="1:247" x14ac:dyDescent="0.45">
      <c r="A120" s="441">
        <v>4428</v>
      </c>
      <c r="B120" s="939" t="s">
        <v>2655</v>
      </c>
      <c r="C120" s="47" t="s">
        <v>35</v>
      </c>
      <c r="D120" s="449" t="s">
        <v>2545</v>
      </c>
      <c r="E120" s="946"/>
      <c r="F120" s="941">
        <f t="shared" si="0"/>
        <v>1.0209999999999999</v>
      </c>
      <c r="G120" s="947"/>
      <c r="H120" s="946"/>
      <c r="I120" s="948"/>
      <c r="J120" s="948">
        <f>+$J$3</f>
        <v>1.0049999999999999</v>
      </c>
      <c r="K120" s="948"/>
      <c r="L120" s="948"/>
      <c r="M120" s="948">
        <f>+$M$3</f>
        <v>1.0029999999999999</v>
      </c>
      <c r="N120" s="947">
        <f>+$N$3</f>
        <v>1.0029999999999999</v>
      </c>
      <c r="O120" s="949"/>
      <c r="P120" s="946">
        <f t="shared" si="26"/>
        <v>1.032</v>
      </c>
      <c r="Q120" s="947">
        <f t="shared" si="27"/>
        <v>1.0349999999999999</v>
      </c>
      <c r="R120" s="950">
        <f t="shared" si="1"/>
        <v>1.1025891562650529</v>
      </c>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6"/>
      <c r="AV120" s="926"/>
      <c r="AW120" s="926"/>
      <c r="AX120" s="926"/>
      <c r="AY120" s="926"/>
      <c r="AZ120" s="926"/>
      <c r="BA120" s="926"/>
      <c r="BB120" s="926"/>
      <c r="BC120" s="926"/>
      <c r="BD120" s="926"/>
      <c r="BE120" s="926"/>
      <c r="BF120" s="926"/>
      <c r="BG120" s="926"/>
      <c r="BH120" s="926"/>
      <c r="BI120" s="926"/>
      <c r="BJ120" s="926"/>
      <c r="BK120" s="926"/>
      <c r="BL120" s="926"/>
      <c r="BM120" s="926"/>
      <c r="BN120" s="926"/>
      <c r="BO120" s="926"/>
      <c r="BP120" s="926"/>
      <c r="BQ120" s="926"/>
      <c r="BR120" s="926"/>
      <c r="BS120" s="926"/>
      <c r="BT120" s="926"/>
      <c r="BU120" s="926"/>
      <c r="BV120" s="926"/>
      <c r="BW120" s="926"/>
      <c r="BX120" s="926"/>
      <c r="BY120" s="926"/>
      <c r="BZ120" s="926"/>
      <c r="CA120" s="926"/>
      <c r="CB120" s="926"/>
      <c r="CC120" s="926"/>
      <c r="CD120" s="926"/>
      <c r="CE120" s="926"/>
      <c r="CF120" s="926"/>
      <c r="CG120" s="926"/>
      <c r="CH120" s="926"/>
      <c r="CI120" s="926"/>
      <c r="CJ120" s="926"/>
      <c r="CK120" s="926"/>
      <c r="CL120" s="926"/>
      <c r="CM120" s="926"/>
      <c r="CN120" s="926"/>
      <c r="CO120" s="926"/>
      <c r="CP120" s="926"/>
      <c r="CQ120" s="926"/>
      <c r="CR120" s="926"/>
      <c r="CS120" s="926"/>
      <c r="CT120" s="926"/>
      <c r="CU120" s="926"/>
      <c r="CV120" s="926"/>
      <c r="CW120" s="926"/>
      <c r="CX120" s="926"/>
      <c r="CY120" s="926"/>
      <c r="CZ120" s="926"/>
      <c r="DA120" s="926"/>
      <c r="DB120" s="926"/>
      <c r="DC120" s="926"/>
      <c r="DD120" s="926"/>
      <c r="DE120" s="926"/>
      <c r="DF120" s="926"/>
      <c r="DG120" s="926"/>
      <c r="DH120" s="926"/>
      <c r="DI120" s="926"/>
      <c r="DJ120" s="926"/>
      <c r="DK120" s="926"/>
      <c r="DL120" s="926"/>
      <c r="DM120" s="926"/>
      <c r="DN120" s="926"/>
      <c r="DO120" s="926"/>
      <c r="DP120" s="926"/>
      <c r="DQ120" s="926"/>
      <c r="DR120" s="926"/>
      <c r="DS120" s="926"/>
      <c r="DT120" s="926"/>
      <c r="DU120" s="926"/>
      <c r="DV120" s="926"/>
      <c r="DW120" s="926"/>
      <c r="DX120" s="926"/>
      <c r="DY120" s="926"/>
      <c r="DZ120" s="926"/>
      <c r="EA120" s="926"/>
      <c r="EB120" s="926"/>
      <c r="EC120" s="926"/>
      <c r="ED120" s="926"/>
      <c r="EE120" s="926"/>
      <c r="EF120" s="926"/>
      <c r="EG120" s="926"/>
      <c r="EH120" s="926"/>
      <c r="EI120" s="926"/>
      <c r="EJ120" s="926"/>
      <c r="EK120" s="926"/>
      <c r="EL120" s="926"/>
      <c r="EM120" s="926"/>
      <c r="EN120" s="926"/>
      <c r="EO120" s="926"/>
      <c r="EP120" s="926"/>
      <c r="EQ120" s="926"/>
      <c r="ER120" s="926"/>
      <c r="ES120" s="926"/>
      <c r="ET120" s="926"/>
      <c r="EU120" s="926"/>
      <c r="EV120" s="926"/>
      <c r="EW120" s="926"/>
      <c r="EX120" s="926"/>
      <c r="EY120" s="926"/>
      <c r="EZ120" s="926"/>
      <c r="FA120" s="926"/>
      <c r="FB120" s="926"/>
      <c r="FC120" s="926"/>
      <c r="FD120" s="926"/>
      <c r="FE120" s="926"/>
      <c r="FF120" s="926"/>
      <c r="FG120" s="926"/>
      <c r="FH120" s="926"/>
      <c r="FI120" s="926"/>
      <c r="FJ120" s="926"/>
      <c r="FK120" s="926"/>
      <c r="FL120" s="926"/>
      <c r="FM120" s="926"/>
      <c r="FN120" s="926"/>
      <c r="FO120" s="926"/>
      <c r="FP120" s="926"/>
      <c r="FQ120" s="926"/>
      <c r="FR120" s="926"/>
      <c r="FS120" s="926"/>
      <c r="FT120" s="926"/>
      <c r="FU120" s="926"/>
      <c r="FV120" s="926"/>
      <c r="FW120" s="926"/>
      <c r="FX120" s="926"/>
      <c r="FY120" s="926"/>
      <c r="FZ120" s="926"/>
      <c r="GA120" s="926"/>
      <c r="GB120" s="926"/>
      <c r="GC120" s="926"/>
      <c r="GD120" s="926"/>
      <c r="GE120" s="926"/>
      <c r="GF120" s="926"/>
      <c r="GG120" s="926"/>
      <c r="GH120" s="926"/>
      <c r="GI120" s="926"/>
      <c r="GJ120" s="926"/>
      <c r="GK120" s="926"/>
      <c r="GL120" s="926"/>
      <c r="GM120" s="926"/>
      <c r="GN120" s="926"/>
      <c r="GO120" s="926"/>
      <c r="GP120" s="926"/>
      <c r="GQ120" s="926"/>
      <c r="GR120" s="926"/>
      <c r="GS120" s="926"/>
      <c r="GT120" s="926"/>
      <c r="GU120" s="926"/>
      <c r="GV120" s="926"/>
      <c r="GW120" s="926"/>
      <c r="GX120" s="926"/>
      <c r="GY120" s="926"/>
      <c r="GZ120" s="926"/>
      <c r="HA120" s="926"/>
      <c r="HB120" s="926"/>
      <c r="HC120" s="926"/>
      <c r="HD120" s="926"/>
      <c r="HE120" s="926"/>
      <c r="HF120" s="926"/>
      <c r="HG120" s="926"/>
      <c r="HH120" s="926"/>
      <c r="HI120" s="926"/>
      <c r="HJ120" s="926"/>
      <c r="HK120" s="926"/>
      <c r="HL120" s="926"/>
      <c r="HM120" s="926"/>
      <c r="HN120" s="926"/>
      <c r="HO120" s="926"/>
      <c r="HP120" s="926"/>
      <c r="HQ120" s="926"/>
      <c r="HR120" s="926"/>
      <c r="HS120" s="926"/>
      <c r="HT120" s="926"/>
      <c r="HU120" s="926"/>
      <c r="HV120" s="926"/>
      <c r="HW120" s="926"/>
      <c r="HX120" s="926"/>
      <c r="HY120" s="926"/>
      <c r="HZ120" s="926"/>
      <c r="IA120" s="926"/>
      <c r="IB120" s="926"/>
      <c r="IC120" s="926"/>
      <c r="ID120" s="926"/>
      <c r="IE120" s="926"/>
      <c r="IF120" s="926"/>
      <c r="IG120" s="926"/>
      <c r="IH120" s="926"/>
      <c r="II120" s="926"/>
      <c r="IJ120" s="926"/>
      <c r="IK120" s="926"/>
      <c r="IL120" s="926"/>
      <c r="IM120" s="926"/>
    </row>
    <row r="121" spans="1:247" x14ac:dyDescent="0.45">
      <c r="A121" s="441">
        <v>4511</v>
      </c>
      <c r="B121" s="939" t="s">
        <v>2656</v>
      </c>
      <c r="C121" s="47" t="s">
        <v>8</v>
      </c>
      <c r="D121" s="449" t="s">
        <v>2537</v>
      </c>
      <c r="E121" s="946"/>
      <c r="F121" s="941">
        <f t="shared" si="0"/>
        <v>1.0209999999999999</v>
      </c>
      <c r="G121" s="947"/>
      <c r="H121" s="946"/>
      <c r="I121" s="948"/>
      <c r="J121" s="948"/>
      <c r="K121" s="948"/>
      <c r="L121" s="948"/>
      <c r="M121" s="948"/>
      <c r="N121" s="947"/>
      <c r="O121" s="949"/>
      <c r="P121" s="946">
        <f t="shared" si="26"/>
        <v>1.032</v>
      </c>
      <c r="Q121" s="947">
        <f t="shared" si="27"/>
        <v>1.0349999999999999</v>
      </c>
      <c r="R121" s="950">
        <f>PRODUCT(E121:Q121)</f>
        <v>1.0905505199999999</v>
      </c>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6"/>
      <c r="AV121" s="926"/>
      <c r="AW121" s="926"/>
      <c r="AX121" s="926"/>
      <c r="AY121" s="926"/>
      <c r="AZ121" s="926"/>
      <c r="BA121" s="926"/>
      <c r="BB121" s="926"/>
      <c r="BC121" s="926"/>
      <c r="BD121" s="926"/>
      <c r="BE121" s="926"/>
      <c r="BF121" s="926"/>
      <c r="BG121" s="926"/>
      <c r="BH121" s="926"/>
      <c r="BI121" s="926"/>
      <c r="BJ121" s="926"/>
      <c r="BK121" s="926"/>
      <c r="BL121" s="926"/>
      <c r="BM121" s="926"/>
      <c r="BN121" s="926"/>
      <c r="BO121" s="926"/>
      <c r="BP121" s="926"/>
      <c r="BQ121" s="926"/>
      <c r="BR121" s="926"/>
      <c r="BS121" s="926"/>
      <c r="BT121" s="926"/>
      <c r="BU121" s="926"/>
      <c r="BV121" s="926"/>
      <c r="BW121" s="926"/>
      <c r="BX121" s="926"/>
      <c r="BY121" s="926"/>
      <c r="BZ121" s="926"/>
      <c r="CA121" s="926"/>
      <c r="CB121" s="926"/>
      <c r="CC121" s="926"/>
      <c r="CD121" s="926"/>
      <c r="CE121" s="926"/>
      <c r="CF121" s="926"/>
      <c r="CG121" s="926"/>
      <c r="CH121" s="926"/>
      <c r="CI121" s="926"/>
      <c r="CJ121" s="926"/>
      <c r="CK121" s="926"/>
      <c r="CL121" s="926"/>
      <c r="CM121" s="926"/>
      <c r="CN121" s="926"/>
      <c r="CO121" s="926"/>
      <c r="CP121" s="926"/>
      <c r="CQ121" s="926"/>
      <c r="CR121" s="926"/>
      <c r="CS121" s="926"/>
      <c r="CT121" s="926"/>
      <c r="CU121" s="926"/>
      <c r="CV121" s="926"/>
      <c r="CW121" s="926"/>
      <c r="CX121" s="926"/>
      <c r="CY121" s="926"/>
      <c r="CZ121" s="926"/>
      <c r="DA121" s="926"/>
      <c r="DB121" s="926"/>
      <c r="DC121" s="926"/>
      <c r="DD121" s="926"/>
      <c r="DE121" s="926"/>
      <c r="DF121" s="926"/>
      <c r="DG121" s="926"/>
      <c r="DH121" s="926"/>
      <c r="DI121" s="926"/>
      <c r="DJ121" s="926"/>
      <c r="DK121" s="926"/>
      <c r="DL121" s="926"/>
      <c r="DM121" s="926"/>
      <c r="DN121" s="926"/>
      <c r="DO121" s="926"/>
      <c r="DP121" s="926"/>
      <c r="DQ121" s="926"/>
      <c r="DR121" s="926"/>
      <c r="DS121" s="926"/>
      <c r="DT121" s="926"/>
      <c r="DU121" s="926"/>
      <c r="DV121" s="926"/>
      <c r="DW121" s="926"/>
      <c r="DX121" s="926"/>
      <c r="DY121" s="926"/>
      <c r="DZ121" s="926"/>
      <c r="EA121" s="926"/>
      <c r="EB121" s="926"/>
      <c r="EC121" s="926"/>
      <c r="ED121" s="926"/>
      <c r="EE121" s="926"/>
      <c r="EF121" s="926"/>
      <c r="EG121" s="926"/>
      <c r="EH121" s="926"/>
      <c r="EI121" s="926"/>
      <c r="EJ121" s="926"/>
      <c r="EK121" s="926"/>
      <c r="EL121" s="926"/>
      <c r="EM121" s="926"/>
      <c r="EN121" s="926"/>
      <c r="EO121" s="926"/>
      <c r="EP121" s="926"/>
      <c r="EQ121" s="926"/>
      <c r="ER121" s="926"/>
      <c r="ES121" s="926"/>
      <c r="ET121" s="926"/>
      <c r="EU121" s="926"/>
      <c r="EV121" s="926"/>
      <c r="EW121" s="926"/>
      <c r="EX121" s="926"/>
      <c r="EY121" s="926"/>
      <c r="EZ121" s="926"/>
      <c r="FA121" s="926"/>
      <c r="FB121" s="926"/>
      <c r="FC121" s="926"/>
      <c r="FD121" s="926"/>
      <c r="FE121" s="926"/>
      <c r="FF121" s="926"/>
      <c r="FG121" s="926"/>
      <c r="FH121" s="926"/>
      <c r="FI121" s="926"/>
      <c r="FJ121" s="926"/>
      <c r="FK121" s="926"/>
      <c r="FL121" s="926"/>
      <c r="FM121" s="926"/>
      <c r="FN121" s="926"/>
      <c r="FO121" s="926"/>
      <c r="FP121" s="926"/>
      <c r="FQ121" s="926"/>
      <c r="FR121" s="926"/>
      <c r="FS121" s="926"/>
      <c r="FT121" s="926"/>
      <c r="FU121" s="926"/>
      <c r="FV121" s="926"/>
      <c r="FW121" s="926"/>
      <c r="FX121" s="926"/>
      <c r="FY121" s="926"/>
      <c r="FZ121" s="926"/>
      <c r="GA121" s="926"/>
      <c r="GB121" s="926"/>
      <c r="GC121" s="926"/>
      <c r="GD121" s="926"/>
      <c r="GE121" s="926"/>
      <c r="GF121" s="926"/>
      <c r="GG121" s="926"/>
      <c r="GH121" s="926"/>
      <c r="GI121" s="926"/>
      <c r="GJ121" s="926"/>
      <c r="GK121" s="926"/>
      <c r="GL121" s="926"/>
      <c r="GM121" s="926"/>
      <c r="GN121" s="926"/>
      <c r="GO121" s="926"/>
      <c r="GP121" s="926"/>
      <c r="GQ121" s="926"/>
      <c r="GR121" s="926"/>
      <c r="GS121" s="926"/>
      <c r="GT121" s="926"/>
      <c r="GU121" s="926"/>
      <c r="GV121" s="926"/>
      <c r="GW121" s="926"/>
      <c r="GX121" s="926"/>
      <c r="GY121" s="926"/>
      <c r="GZ121" s="926"/>
      <c r="HA121" s="926"/>
      <c r="HB121" s="926"/>
      <c r="HC121" s="926"/>
      <c r="HD121" s="926"/>
      <c r="HE121" s="926"/>
      <c r="HF121" s="926"/>
      <c r="HG121" s="926"/>
      <c r="HH121" s="926"/>
      <c r="HI121" s="926"/>
      <c r="HJ121" s="926"/>
      <c r="HK121" s="926"/>
      <c r="HL121" s="926"/>
      <c r="HM121" s="926"/>
      <c r="HN121" s="926"/>
      <c r="HO121" s="926"/>
      <c r="HP121" s="926"/>
      <c r="HQ121" s="926"/>
      <c r="HR121" s="926"/>
      <c r="HS121" s="926"/>
      <c r="HT121" s="926"/>
      <c r="HU121" s="926"/>
      <c r="HV121" s="926"/>
      <c r="HW121" s="926"/>
      <c r="HX121" s="926"/>
      <c r="HY121" s="926"/>
      <c r="HZ121" s="926"/>
      <c r="IA121" s="926"/>
      <c r="IB121" s="926"/>
      <c r="IC121" s="926"/>
      <c r="ID121" s="926"/>
      <c r="IE121" s="926"/>
      <c r="IF121" s="926"/>
      <c r="IG121" s="926"/>
      <c r="IH121" s="926"/>
      <c r="II121" s="926"/>
      <c r="IJ121" s="926"/>
      <c r="IK121" s="926"/>
      <c r="IL121" s="926"/>
      <c r="IM121" s="926"/>
    </row>
    <row r="122" spans="1:247" x14ac:dyDescent="0.45">
      <c r="A122" s="441">
        <v>4521</v>
      </c>
      <c r="B122" s="939" t="s">
        <v>2657</v>
      </c>
      <c r="C122" s="47" t="s">
        <v>8</v>
      </c>
      <c r="D122" s="449" t="s">
        <v>2537</v>
      </c>
      <c r="E122" s="946"/>
      <c r="F122" s="941">
        <f t="shared" si="0"/>
        <v>1.0209999999999999</v>
      </c>
      <c r="G122" s="947"/>
      <c r="H122" s="946"/>
      <c r="I122" s="948"/>
      <c r="J122" s="948"/>
      <c r="K122" s="948"/>
      <c r="L122" s="948"/>
      <c r="M122" s="948"/>
      <c r="N122" s="947"/>
      <c r="O122" s="949"/>
      <c r="P122" s="946">
        <f t="shared" si="26"/>
        <v>1.032</v>
      </c>
      <c r="Q122" s="947">
        <f t="shared" si="27"/>
        <v>1.0349999999999999</v>
      </c>
      <c r="R122" s="950">
        <f>PRODUCT(E122:Q122)</f>
        <v>1.0905505199999999</v>
      </c>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6"/>
      <c r="AV122" s="926"/>
      <c r="AW122" s="926"/>
      <c r="AX122" s="926"/>
      <c r="AY122" s="926"/>
      <c r="AZ122" s="926"/>
      <c r="BA122" s="926"/>
      <c r="BB122" s="926"/>
      <c r="BC122" s="926"/>
      <c r="BD122" s="926"/>
      <c r="BE122" s="926"/>
      <c r="BF122" s="926"/>
      <c r="BG122" s="926"/>
      <c r="BH122" s="926"/>
      <c r="BI122" s="926"/>
      <c r="BJ122" s="926"/>
      <c r="BK122" s="926"/>
      <c r="BL122" s="926"/>
      <c r="BM122" s="926"/>
      <c r="BN122" s="926"/>
      <c r="BO122" s="926"/>
      <c r="BP122" s="926"/>
      <c r="BQ122" s="926"/>
      <c r="BR122" s="926"/>
      <c r="BS122" s="926"/>
      <c r="BT122" s="926"/>
      <c r="BU122" s="926"/>
      <c r="BV122" s="926"/>
      <c r="BW122" s="926"/>
      <c r="BX122" s="926"/>
      <c r="BY122" s="926"/>
      <c r="BZ122" s="926"/>
      <c r="CA122" s="926"/>
      <c r="CB122" s="926"/>
      <c r="CC122" s="926"/>
      <c r="CD122" s="926"/>
      <c r="CE122" s="926"/>
      <c r="CF122" s="926"/>
      <c r="CG122" s="926"/>
      <c r="CH122" s="926"/>
      <c r="CI122" s="926"/>
      <c r="CJ122" s="926"/>
      <c r="CK122" s="926"/>
      <c r="CL122" s="926"/>
      <c r="CM122" s="926"/>
      <c r="CN122" s="926"/>
      <c r="CO122" s="926"/>
      <c r="CP122" s="926"/>
      <c r="CQ122" s="926"/>
      <c r="CR122" s="926"/>
      <c r="CS122" s="926"/>
      <c r="CT122" s="926"/>
      <c r="CU122" s="926"/>
      <c r="CV122" s="926"/>
      <c r="CW122" s="926"/>
      <c r="CX122" s="926"/>
      <c r="CY122" s="926"/>
      <c r="CZ122" s="926"/>
      <c r="DA122" s="926"/>
      <c r="DB122" s="926"/>
      <c r="DC122" s="926"/>
      <c r="DD122" s="926"/>
      <c r="DE122" s="926"/>
      <c r="DF122" s="926"/>
      <c r="DG122" s="926"/>
      <c r="DH122" s="926"/>
      <c r="DI122" s="926"/>
      <c r="DJ122" s="926"/>
      <c r="DK122" s="926"/>
      <c r="DL122" s="926"/>
      <c r="DM122" s="926"/>
      <c r="DN122" s="926"/>
      <c r="DO122" s="926"/>
      <c r="DP122" s="926"/>
      <c r="DQ122" s="926"/>
      <c r="DR122" s="926"/>
      <c r="DS122" s="926"/>
      <c r="DT122" s="926"/>
      <c r="DU122" s="926"/>
      <c r="DV122" s="926"/>
      <c r="DW122" s="926"/>
      <c r="DX122" s="926"/>
      <c r="DY122" s="926"/>
      <c r="DZ122" s="926"/>
      <c r="EA122" s="926"/>
      <c r="EB122" s="926"/>
      <c r="EC122" s="926"/>
      <c r="ED122" s="926"/>
      <c r="EE122" s="926"/>
      <c r="EF122" s="926"/>
      <c r="EG122" s="926"/>
      <c r="EH122" s="926"/>
      <c r="EI122" s="926"/>
      <c r="EJ122" s="926"/>
      <c r="EK122" s="926"/>
      <c r="EL122" s="926"/>
      <c r="EM122" s="926"/>
      <c r="EN122" s="926"/>
      <c r="EO122" s="926"/>
      <c r="EP122" s="926"/>
      <c r="EQ122" s="926"/>
      <c r="ER122" s="926"/>
      <c r="ES122" s="926"/>
      <c r="ET122" s="926"/>
      <c r="EU122" s="926"/>
      <c r="EV122" s="926"/>
      <c r="EW122" s="926"/>
      <c r="EX122" s="926"/>
      <c r="EY122" s="926"/>
      <c r="EZ122" s="926"/>
      <c r="FA122" s="926"/>
      <c r="FB122" s="926"/>
      <c r="FC122" s="926"/>
      <c r="FD122" s="926"/>
      <c r="FE122" s="926"/>
      <c r="FF122" s="926"/>
      <c r="FG122" s="926"/>
      <c r="FH122" s="926"/>
      <c r="FI122" s="926"/>
      <c r="FJ122" s="926"/>
      <c r="FK122" s="926"/>
      <c r="FL122" s="926"/>
      <c r="FM122" s="926"/>
      <c r="FN122" s="926"/>
      <c r="FO122" s="926"/>
      <c r="FP122" s="926"/>
      <c r="FQ122" s="926"/>
      <c r="FR122" s="926"/>
      <c r="FS122" s="926"/>
      <c r="FT122" s="926"/>
      <c r="FU122" s="926"/>
      <c r="FV122" s="926"/>
      <c r="FW122" s="926"/>
      <c r="FX122" s="926"/>
      <c r="FY122" s="926"/>
      <c r="FZ122" s="926"/>
      <c r="GA122" s="926"/>
      <c r="GB122" s="926"/>
      <c r="GC122" s="926"/>
      <c r="GD122" s="926"/>
      <c r="GE122" s="926"/>
      <c r="GF122" s="926"/>
      <c r="GG122" s="926"/>
      <c r="GH122" s="926"/>
      <c r="GI122" s="926"/>
      <c r="GJ122" s="926"/>
      <c r="GK122" s="926"/>
      <c r="GL122" s="926"/>
      <c r="GM122" s="926"/>
      <c r="GN122" s="926"/>
      <c r="GO122" s="926"/>
      <c r="GP122" s="926"/>
      <c r="GQ122" s="926"/>
      <c r="GR122" s="926"/>
      <c r="GS122" s="926"/>
      <c r="GT122" s="926"/>
      <c r="GU122" s="926"/>
      <c r="GV122" s="926"/>
      <c r="GW122" s="926"/>
      <c r="GX122" s="926"/>
      <c r="GY122" s="926"/>
      <c r="GZ122" s="926"/>
      <c r="HA122" s="926"/>
      <c r="HB122" s="926"/>
      <c r="HC122" s="926"/>
      <c r="HD122" s="926"/>
      <c r="HE122" s="926"/>
      <c r="HF122" s="926"/>
      <c r="HG122" s="926"/>
      <c r="HH122" s="926"/>
      <c r="HI122" s="926"/>
      <c r="HJ122" s="926"/>
      <c r="HK122" s="926"/>
      <c r="HL122" s="926"/>
      <c r="HM122" s="926"/>
      <c r="HN122" s="926"/>
      <c r="HO122" s="926"/>
      <c r="HP122" s="926"/>
      <c r="HQ122" s="926"/>
      <c r="HR122" s="926"/>
      <c r="HS122" s="926"/>
      <c r="HT122" s="926"/>
      <c r="HU122" s="926"/>
      <c r="HV122" s="926"/>
      <c r="HW122" s="926"/>
      <c r="HX122" s="926"/>
      <c r="HY122" s="926"/>
      <c r="HZ122" s="926"/>
      <c r="IA122" s="926"/>
      <c r="IB122" s="926"/>
      <c r="IC122" s="926"/>
      <c r="ID122" s="926"/>
      <c r="IE122" s="926"/>
      <c r="IF122" s="926"/>
      <c r="IG122" s="926"/>
      <c r="IH122" s="926"/>
      <c r="II122" s="926"/>
      <c r="IJ122" s="926"/>
      <c r="IK122" s="926"/>
      <c r="IL122" s="926"/>
      <c r="IM122" s="926"/>
    </row>
    <row r="123" spans="1:247" x14ac:dyDescent="0.45">
      <c r="A123" s="441">
        <v>5302</v>
      </c>
      <c r="B123" s="939" t="s">
        <v>2658</v>
      </c>
      <c r="C123" s="47" t="s">
        <v>35</v>
      </c>
      <c r="D123" s="449" t="s">
        <v>2545</v>
      </c>
      <c r="E123" s="946">
        <f>+$E$3</f>
        <v>1.0740000000000001</v>
      </c>
      <c r="F123" s="941">
        <f t="shared" si="0"/>
        <v>1.0209999999999999</v>
      </c>
      <c r="G123" s="947">
        <f t="shared" ref="G123:G129" si="28">+$G$3</f>
        <v>1.0269999999999999</v>
      </c>
      <c r="H123" s="946">
        <f>+$H$3</f>
        <v>1.0029999999999999</v>
      </c>
      <c r="I123" s="948">
        <f>+$I$3</f>
        <v>1.0289999999999999</v>
      </c>
      <c r="J123" s="948">
        <f>+$J$3</f>
        <v>1.0049999999999999</v>
      </c>
      <c r="K123" s="948">
        <f>+$K$3</f>
        <v>1.026</v>
      </c>
      <c r="L123" s="948">
        <f>+$L$3</f>
        <v>1.0129999999999999</v>
      </c>
      <c r="M123" s="948">
        <f>+$M$3</f>
        <v>1.0029999999999999</v>
      </c>
      <c r="N123" s="947">
        <f>+$N$3</f>
        <v>1.0029999999999999</v>
      </c>
      <c r="O123" s="949">
        <f>+$O$3</f>
        <v>1.0209999999999999</v>
      </c>
      <c r="P123" s="946">
        <f t="shared" si="26"/>
        <v>1.032</v>
      </c>
      <c r="Q123" s="947">
        <f t="shared" si="27"/>
        <v>1.0349999999999999</v>
      </c>
      <c r="R123" s="950">
        <f t="shared" si="1"/>
        <v>1.3319480854780448</v>
      </c>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s="926"/>
      <c r="BB123" s="926"/>
      <c r="BC123" s="926"/>
      <c r="BD123" s="926"/>
      <c r="BE123" s="926"/>
      <c r="BF123" s="926"/>
      <c r="BG123" s="926"/>
      <c r="BH123" s="926"/>
      <c r="BI123" s="926"/>
      <c r="BJ123" s="926"/>
      <c r="BK123" s="926"/>
      <c r="BL123" s="926"/>
      <c r="BM123" s="926"/>
      <c r="BN123" s="926"/>
      <c r="BO123" s="926"/>
      <c r="BP123" s="926"/>
      <c r="BQ123" s="926"/>
      <c r="BR123" s="926"/>
      <c r="BS123" s="926"/>
      <c r="BT123" s="926"/>
      <c r="BU123" s="926"/>
      <c r="BV123" s="926"/>
      <c r="BW123" s="926"/>
      <c r="BX123" s="926"/>
      <c r="BY123" s="926"/>
      <c r="BZ123" s="926"/>
      <c r="CA123" s="926"/>
      <c r="CB123" s="926"/>
      <c r="CC123" s="926"/>
      <c r="CD123" s="926"/>
      <c r="CE123" s="926"/>
      <c r="CF123" s="926"/>
      <c r="CG123" s="926"/>
      <c r="CH123" s="926"/>
      <c r="CI123" s="926"/>
      <c r="CJ123" s="926"/>
      <c r="CK123" s="926"/>
      <c r="CL123" s="926"/>
      <c r="CM123" s="926"/>
      <c r="CN123" s="926"/>
      <c r="CO123" s="926"/>
      <c r="CP123" s="926"/>
      <c r="CQ123" s="926"/>
      <c r="CR123" s="926"/>
      <c r="CS123" s="926"/>
      <c r="CT123" s="926"/>
      <c r="CU123" s="926"/>
      <c r="CV123" s="926"/>
      <c r="CW123" s="926"/>
      <c r="CX123" s="926"/>
      <c r="CY123" s="926"/>
      <c r="CZ123" s="926"/>
      <c r="DA123" s="926"/>
      <c r="DB123" s="926"/>
      <c r="DC123" s="926"/>
      <c r="DD123" s="926"/>
      <c r="DE123" s="926"/>
      <c r="DF123" s="926"/>
      <c r="DG123" s="926"/>
      <c r="DH123" s="926"/>
      <c r="DI123" s="926"/>
      <c r="DJ123" s="926"/>
      <c r="DK123" s="926"/>
      <c r="DL123" s="926"/>
      <c r="DM123" s="926"/>
      <c r="DN123" s="926"/>
      <c r="DO123" s="926"/>
      <c r="DP123" s="926"/>
      <c r="DQ123" s="926"/>
      <c r="DR123" s="926"/>
      <c r="DS123" s="926"/>
      <c r="DT123" s="926"/>
      <c r="DU123" s="926"/>
      <c r="DV123" s="926"/>
      <c r="DW123" s="926"/>
      <c r="DX123" s="926"/>
      <c r="DY123" s="926"/>
      <c r="DZ123" s="926"/>
      <c r="EA123" s="926"/>
      <c r="EB123" s="926"/>
      <c r="EC123" s="926"/>
      <c r="ED123" s="926"/>
      <c r="EE123" s="926"/>
      <c r="EF123" s="926"/>
      <c r="EG123" s="926"/>
      <c r="EH123" s="926"/>
      <c r="EI123" s="926"/>
      <c r="EJ123" s="926"/>
      <c r="EK123" s="926"/>
      <c r="EL123" s="926"/>
      <c r="EM123" s="926"/>
      <c r="EN123" s="926"/>
      <c r="EO123" s="926"/>
      <c r="EP123" s="926"/>
      <c r="EQ123" s="926"/>
      <c r="ER123" s="926"/>
      <c r="ES123" s="926"/>
      <c r="ET123" s="926"/>
      <c r="EU123" s="926"/>
      <c r="EV123" s="926"/>
      <c r="EW123" s="926"/>
      <c r="EX123" s="926"/>
      <c r="EY123" s="926"/>
      <c r="EZ123" s="926"/>
      <c r="FA123" s="926"/>
      <c r="FB123" s="926"/>
      <c r="FC123" s="926"/>
      <c r="FD123" s="926"/>
      <c r="FE123" s="926"/>
      <c r="FF123" s="926"/>
      <c r="FG123" s="926"/>
      <c r="FH123" s="926"/>
      <c r="FI123" s="926"/>
      <c r="FJ123" s="926"/>
      <c r="FK123" s="926"/>
      <c r="FL123" s="926"/>
      <c r="FM123" s="926"/>
      <c r="FN123" s="926"/>
      <c r="FO123" s="926"/>
      <c r="FP123" s="926"/>
      <c r="FQ123" s="926"/>
      <c r="FR123" s="926"/>
      <c r="FS123" s="926"/>
      <c r="FT123" s="926"/>
      <c r="FU123" s="926"/>
      <c r="FV123" s="926"/>
      <c r="FW123" s="926"/>
      <c r="FX123" s="926"/>
      <c r="FY123" s="926"/>
      <c r="FZ123" s="926"/>
      <c r="GA123" s="926"/>
      <c r="GB123" s="926"/>
      <c r="GC123" s="926"/>
      <c r="GD123" s="926"/>
      <c r="GE123" s="926"/>
      <c r="GF123" s="926"/>
      <c r="GG123" s="926"/>
      <c r="GH123" s="926"/>
      <c r="GI123" s="926"/>
      <c r="GJ123" s="926"/>
      <c r="GK123" s="926"/>
      <c r="GL123" s="926"/>
      <c r="GM123" s="926"/>
      <c r="GN123" s="926"/>
      <c r="GO123" s="926"/>
      <c r="GP123" s="926"/>
      <c r="GQ123" s="926"/>
      <c r="GR123" s="926"/>
      <c r="GS123" s="926"/>
      <c r="GT123" s="926"/>
      <c r="GU123" s="926"/>
      <c r="GV123" s="926"/>
      <c r="GW123" s="926"/>
      <c r="GX123" s="926"/>
      <c r="GY123" s="926"/>
      <c r="GZ123" s="926"/>
      <c r="HA123" s="926"/>
      <c r="HB123" s="926"/>
      <c r="HC123" s="926"/>
      <c r="HD123" s="926"/>
      <c r="HE123" s="926"/>
      <c r="HF123" s="926"/>
      <c r="HG123" s="926"/>
      <c r="HH123" s="926"/>
      <c r="HI123" s="926"/>
      <c r="HJ123" s="926"/>
      <c r="HK123" s="926"/>
      <c r="HL123" s="926"/>
      <c r="HM123" s="926"/>
      <c r="HN123" s="926"/>
      <c r="HO123" s="926"/>
      <c r="HP123" s="926"/>
      <c r="HQ123" s="926"/>
      <c r="HR123" s="926"/>
      <c r="HS123" s="926"/>
      <c r="HT123" s="926"/>
      <c r="HU123" s="926"/>
      <c r="HV123" s="926"/>
      <c r="HW123" s="926"/>
      <c r="HX123" s="926"/>
      <c r="HY123" s="926"/>
      <c r="HZ123" s="926"/>
      <c r="IA123" s="926"/>
      <c r="IB123" s="926"/>
      <c r="IC123" s="926"/>
      <c r="ID123" s="926"/>
      <c r="IE123" s="926"/>
      <c r="IF123" s="926"/>
      <c r="IG123" s="926"/>
      <c r="IH123" s="926"/>
      <c r="II123" s="926"/>
      <c r="IJ123" s="926"/>
      <c r="IK123" s="926"/>
      <c r="IL123" s="926"/>
      <c r="IM123" s="926"/>
    </row>
    <row r="124" spans="1:247" x14ac:dyDescent="0.45">
      <c r="A124" s="441">
        <v>5303</v>
      </c>
      <c r="B124" s="939" t="s">
        <v>2659</v>
      </c>
      <c r="C124" s="47" t="s">
        <v>35</v>
      </c>
      <c r="D124" s="449" t="s">
        <v>2545</v>
      </c>
      <c r="E124" s="946">
        <f>+$E$3</f>
        <v>1.0740000000000001</v>
      </c>
      <c r="F124" s="941">
        <f t="shared" si="0"/>
        <v>1.0209999999999999</v>
      </c>
      <c r="G124" s="947">
        <f t="shared" si="28"/>
        <v>1.0269999999999999</v>
      </c>
      <c r="H124" s="946">
        <f>+$H$3</f>
        <v>1.0029999999999999</v>
      </c>
      <c r="I124" s="948">
        <f>+$I$3</f>
        <v>1.0289999999999999</v>
      </c>
      <c r="J124" s="948">
        <f>+$J$3</f>
        <v>1.0049999999999999</v>
      </c>
      <c r="K124" s="948">
        <f>+$K$3</f>
        <v>1.026</v>
      </c>
      <c r="L124" s="948">
        <f>+$L$3</f>
        <v>1.0129999999999999</v>
      </c>
      <c r="M124" s="948">
        <f>+$M$3</f>
        <v>1.0029999999999999</v>
      </c>
      <c r="N124" s="947">
        <f>+$N$3</f>
        <v>1.0029999999999999</v>
      </c>
      <c r="O124" s="949">
        <f>+$O$3</f>
        <v>1.0209999999999999</v>
      </c>
      <c r="P124" s="946">
        <f t="shared" si="26"/>
        <v>1.032</v>
      </c>
      <c r="Q124" s="947">
        <f t="shared" si="27"/>
        <v>1.0349999999999999</v>
      </c>
      <c r="R124" s="950">
        <f t="shared" si="1"/>
        <v>1.3319480854780448</v>
      </c>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C124" s="926"/>
      <c r="CD124" s="926"/>
      <c r="CE124" s="926"/>
      <c r="CF124" s="926"/>
      <c r="CG124" s="926"/>
      <c r="CH124" s="926"/>
      <c r="CI124" s="926"/>
      <c r="CJ124" s="926"/>
      <c r="CK124" s="926"/>
      <c r="CL124" s="926"/>
      <c r="CM124" s="926"/>
      <c r="CN124" s="926"/>
      <c r="CO124" s="926"/>
      <c r="CP124" s="926"/>
      <c r="CQ124" s="926"/>
      <c r="CR124" s="926"/>
      <c r="CS124" s="926"/>
      <c r="CT124" s="926"/>
      <c r="CU124" s="926"/>
      <c r="CV124" s="926"/>
      <c r="CW124" s="926"/>
      <c r="CX124" s="926"/>
      <c r="CY124" s="926"/>
      <c r="CZ124" s="926"/>
      <c r="DA124" s="926"/>
      <c r="DB124" s="926"/>
      <c r="DC124" s="926"/>
      <c r="DD124" s="926"/>
      <c r="DE124" s="926"/>
      <c r="DF124" s="926"/>
      <c r="DG124" s="926"/>
      <c r="DH124" s="926"/>
      <c r="DI124" s="926"/>
      <c r="DJ124" s="926"/>
      <c r="DK124" s="926"/>
      <c r="DL124" s="926"/>
      <c r="DM124" s="926"/>
      <c r="DN124" s="926"/>
      <c r="DO124" s="926"/>
      <c r="DP124" s="926"/>
      <c r="DQ124" s="926"/>
      <c r="DR124" s="926"/>
      <c r="DS124" s="926"/>
      <c r="DT124" s="926"/>
      <c r="DU124" s="926"/>
      <c r="DV124" s="926"/>
      <c r="DW124" s="926"/>
      <c r="DX124" s="926"/>
      <c r="DY124" s="926"/>
      <c r="DZ124" s="926"/>
      <c r="EA124" s="926"/>
      <c r="EB124" s="926"/>
      <c r="EC124" s="926"/>
      <c r="ED124" s="926"/>
      <c r="EE124" s="926"/>
      <c r="EF124" s="926"/>
      <c r="EG124" s="926"/>
      <c r="EH124" s="926"/>
      <c r="EI124" s="926"/>
      <c r="EJ124" s="926"/>
      <c r="EK124" s="926"/>
      <c r="EL124" s="926"/>
      <c r="EM124" s="926"/>
      <c r="EN124" s="926"/>
      <c r="EO124" s="926"/>
      <c r="EP124" s="926"/>
      <c r="EQ124" s="926"/>
      <c r="ER124" s="926"/>
      <c r="ES124" s="926"/>
      <c r="ET124" s="926"/>
      <c r="EU124" s="926"/>
      <c r="EV124" s="926"/>
      <c r="EW124" s="926"/>
      <c r="EX124" s="926"/>
      <c r="EY124" s="926"/>
      <c r="EZ124" s="926"/>
      <c r="FA124" s="926"/>
      <c r="FB124" s="926"/>
      <c r="FC124" s="926"/>
      <c r="FD124" s="926"/>
      <c r="FE124" s="926"/>
      <c r="FF124" s="926"/>
      <c r="FG124" s="926"/>
      <c r="FH124" s="926"/>
      <c r="FI124" s="926"/>
      <c r="FJ124" s="926"/>
      <c r="FK124" s="926"/>
      <c r="FL124" s="926"/>
      <c r="FM124" s="926"/>
      <c r="FN124" s="926"/>
      <c r="FO124" s="926"/>
      <c r="FP124" s="926"/>
      <c r="FQ124" s="926"/>
      <c r="FR124" s="926"/>
      <c r="FS124" s="926"/>
      <c r="FT124" s="926"/>
      <c r="FU124" s="926"/>
      <c r="FV124" s="926"/>
      <c r="FW124" s="926"/>
      <c r="FX124" s="926"/>
      <c r="FY124" s="926"/>
      <c r="FZ124" s="926"/>
      <c r="GA124" s="926"/>
      <c r="GB124" s="926"/>
      <c r="GC124" s="926"/>
      <c r="GD124" s="926"/>
      <c r="GE124" s="926"/>
      <c r="GF124" s="926"/>
      <c r="GG124" s="926"/>
      <c r="GH124" s="926"/>
      <c r="GI124" s="926"/>
      <c r="GJ124" s="926"/>
      <c r="GK124" s="926"/>
      <c r="GL124" s="926"/>
      <c r="GM124" s="926"/>
      <c r="GN124" s="926"/>
      <c r="GO124" s="926"/>
      <c r="GP124" s="926"/>
      <c r="GQ124" s="926"/>
      <c r="GR124" s="926"/>
      <c r="GS124" s="926"/>
      <c r="GT124" s="926"/>
      <c r="GU124" s="926"/>
      <c r="GV124" s="926"/>
      <c r="GW124" s="926"/>
      <c r="GX124" s="926"/>
      <c r="GY124" s="926"/>
      <c r="GZ124" s="926"/>
      <c r="HA124" s="926"/>
      <c r="HB124" s="926"/>
      <c r="HC124" s="926"/>
      <c r="HD124" s="926"/>
      <c r="HE124" s="926"/>
      <c r="HF124" s="926"/>
      <c r="HG124" s="926"/>
      <c r="HH124" s="926"/>
      <c r="HI124" s="926"/>
      <c r="HJ124" s="926"/>
      <c r="HK124" s="926"/>
      <c r="HL124" s="926"/>
      <c r="HM124" s="926"/>
      <c r="HN124" s="926"/>
      <c r="HO124" s="926"/>
      <c r="HP124" s="926"/>
      <c r="HQ124" s="926"/>
      <c r="HR124" s="926"/>
      <c r="HS124" s="926"/>
      <c r="HT124" s="926"/>
      <c r="HU124" s="926"/>
      <c r="HV124" s="926"/>
      <c r="HW124" s="926"/>
      <c r="HX124" s="926"/>
      <c r="HY124" s="926"/>
      <c r="HZ124" s="926"/>
      <c r="IA124" s="926"/>
      <c r="IB124" s="926"/>
      <c r="IC124" s="926"/>
      <c r="ID124" s="926"/>
      <c r="IE124" s="926"/>
      <c r="IF124" s="926"/>
      <c r="IG124" s="926"/>
      <c r="IH124" s="926"/>
      <c r="II124" s="926"/>
      <c r="IJ124" s="926"/>
      <c r="IK124" s="926"/>
      <c r="IL124" s="926"/>
      <c r="IM124" s="926"/>
    </row>
    <row r="125" spans="1:247" x14ac:dyDescent="0.45">
      <c r="A125" s="441">
        <v>5304</v>
      </c>
      <c r="B125" s="939" t="s">
        <v>2660</v>
      </c>
      <c r="C125" s="47" t="s">
        <v>35</v>
      </c>
      <c r="D125" s="449" t="s">
        <v>2545</v>
      </c>
      <c r="E125" s="946">
        <f>+$E$3</f>
        <v>1.0740000000000001</v>
      </c>
      <c r="F125" s="941">
        <f t="shared" si="0"/>
        <v>1.0209999999999999</v>
      </c>
      <c r="G125" s="947">
        <f t="shared" si="28"/>
        <v>1.0269999999999999</v>
      </c>
      <c r="H125" s="946">
        <f>+$H$3</f>
        <v>1.0029999999999999</v>
      </c>
      <c r="I125" s="948">
        <f>+$I$3</f>
        <v>1.0289999999999999</v>
      </c>
      <c r="J125" s="948">
        <f>+$J$3</f>
        <v>1.0049999999999999</v>
      </c>
      <c r="K125" s="948">
        <f>+$K$3</f>
        <v>1.026</v>
      </c>
      <c r="L125" s="948">
        <f>+$L$3</f>
        <v>1.0129999999999999</v>
      </c>
      <c r="M125" s="948">
        <f>+$M$3</f>
        <v>1.0029999999999999</v>
      </c>
      <c r="N125" s="947">
        <f>+$N$3</f>
        <v>1.0029999999999999</v>
      </c>
      <c r="O125" s="949">
        <f>+$O$3</f>
        <v>1.0209999999999999</v>
      </c>
      <c r="P125" s="946">
        <f t="shared" si="26"/>
        <v>1.032</v>
      </c>
      <c r="Q125" s="947">
        <f t="shared" si="27"/>
        <v>1.0349999999999999</v>
      </c>
      <c r="R125" s="950">
        <f t="shared" si="1"/>
        <v>1.3319480854780448</v>
      </c>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926"/>
      <c r="AY125" s="926"/>
      <c r="AZ125" s="926"/>
      <c r="BA125" s="926"/>
      <c r="BB125" s="926"/>
      <c r="BC125" s="926"/>
      <c r="BD125" s="926"/>
      <c r="BE125" s="926"/>
      <c r="BF125" s="926"/>
      <c r="BG125" s="926"/>
      <c r="BH125" s="926"/>
      <c r="BI125" s="926"/>
      <c r="BJ125" s="926"/>
      <c r="BK125" s="926"/>
      <c r="BL125" s="926"/>
      <c r="BM125" s="926"/>
      <c r="BN125" s="926"/>
      <c r="BO125" s="926"/>
      <c r="BP125" s="926"/>
      <c r="BQ125" s="926"/>
      <c r="BR125" s="926"/>
      <c r="BS125" s="926"/>
      <c r="BT125" s="926"/>
      <c r="BU125" s="926"/>
      <c r="BV125" s="926"/>
      <c r="BW125" s="926"/>
      <c r="BX125" s="926"/>
      <c r="BY125" s="926"/>
      <c r="BZ125" s="926"/>
      <c r="CA125" s="926"/>
      <c r="CB125" s="926"/>
      <c r="CC125" s="926"/>
      <c r="CD125" s="926"/>
      <c r="CE125" s="926"/>
      <c r="CF125" s="926"/>
      <c r="CG125" s="926"/>
      <c r="CH125" s="926"/>
      <c r="CI125" s="926"/>
      <c r="CJ125" s="926"/>
      <c r="CK125" s="926"/>
      <c r="CL125" s="926"/>
      <c r="CM125" s="926"/>
      <c r="CN125" s="926"/>
      <c r="CO125" s="926"/>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26"/>
      <c r="FG125" s="926"/>
      <c r="FH125" s="926"/>
      <c r="FI125" s="926"/>
      <c r="FJ125" s="926"/>
      <c r="FK125" s="926"/>
      <c r="FL125" s="926"/>
      <c r="FM125" s="926"/>
      <c r="FN125" s="926"/>
      <c r="FO125" s="926"/>
      <c r="FP125" s="926"/>
      <c r="FQ125" s="926"/>
      <c r="FR125" s="926"/>
      <c r="FS125" s="926"/>
      <c r="FT125" s="926"/>
      <c r="FU125" s="926"/>
      <c r="FV125" s="926"/>
      <c r="FW125" s="926"/>
      <c r="FX125" s="926"/>
      <c r="FY125" s="926"/>
      <c r="FZ125" s="926"/>
      <c r="GA125" s="926"/>
      <c r="GB125" s="926"/>
      <c r="GC125" s="926"/>
      <c r="GD125" s="926"/>
      <c r="GE125" s="926"/>
      <c r="GF125" s="926"/>
      <c r="GG125" s="926"/>
      <c r="GH125" s="926"/>
      <c r="GI125" s="926"/>
      <c r="GJ125" s="926"/>
      <c r="GK125" s="926"/>
      <c r="GL125" s="926"/>
      <c r="GM125" s="926"/>
      <c r="GN125" s="926"/>
      <c r="GO125" s="926"/>
      <c r="GP125" s="926"/>
      <c r="GQ125" s="926"/>
      <c r="GR125" s="926"/>
      <c r="GS125" s="926"/>
      <c r="GT125" s="926"/>
      <c r="GU125" s="926"/>
      <c r="GV125" s="926"/>
      <c r="GW125" s="926"/>
      <c r="GX125" s="926"/>
      <c r="GY125" s="926"/>
      <c r="GZ125" s="926"/>
      <c r="HA125" s="926"/>
      <c r="HB125" s="926"/>
      <c r="HC125" s="926"/>
      <c r="HD125" s="926"/>
      <c r="HE125" s="926"/>
      <c r="HF125" s="926"/>
      <c r="HG125" s="926"/>
      <c r="HH125" s="926"/>
      <c r="HI125" s="926"/>
      <c r="HJ125" s="926"/>
      <c r="HK125" s="926"/>
      <c r="HL125" s="926"/>
      <c r="HM125" s="926"/>
      <c r="HN125" s="926"/>
      <c r="HO125" s="926"/>
      <c r="HP125" s="926"/>
      <c r="HQ125" s="926"/>
      <c r="HR125" s="926"/>
      <c r="HS125" s="926"/>
      <c r="HT125" s="926"/>
      <c r="HU125" s="926"/>
      <c r="HV125" s="926"/>
      <c r="HW125" s="926"/>
      <c r="HX125" s="926"/>
      <c r="HY125" s="926"/>
      <c r="HZ125" s="926"/>
      <c r="IA125" s="926"/>
      <c r="IB125" s="926"/>
      <c r="IC125" s="926"/>
      <c r="ID125" s="926"/>
      <c r="IE125" s="926"/>
      <c r="IF125" s="926"/>
      <c r="IG125" s="926"/>
      <c r="IH125" s="926"/>
      <c r="II125" s="926"/>
      <c r="IJ125" s="926"/>
      <c r="IK125" s="926"/>
      <c r="IL125" s="926"/>
      <c r="IM125" s="926"/>
    </row>
    <row r="126" spans="1:247" x14ac:dyDescent="0.45">
      <c r="A126" s="441">
        <v>5306</v>
      </c>
      <c r="B126" s="939" t="s">
        <v>2661</v>
      </c>
      <c r="C126" s="47" t="s">
        <v>35</v>
      </c>
      <c r="D126" s="449" t="s">
        <v>2545</v>
      </c>
      <c r="E126" s="946">
        <f>+$E$3</f>
        <v>1.0740000000000001</v>
      </c>
      <c r="F126" s="941">
        <f t="shared" si="0"/>
        <v>1.0209999999999999</v>
      </c>
      <c r="G126" s="947">
        <f t="shared" si="28"/>
        <v>1.0269999999999999</v>
      </c>
      <c r="H126" s="946">
        <f>+$H$3</f>
        <v>1.0029999999999999</v>
      </c>
      <c r="I126" s="948">
        <f>+$I$3</f>
        <v>1.0289999999999999</v>
      </c>
      <c r="J126" s="948">
        <f>+$J$3</f>
        <v>1.0049999999999999</v>
      </c>
      <c r="K126" s="948"/>
      <c r="L126" s="948">
        <f>+$L$3</f>
        <v>1.0129999999999999</v>
      </c>
      <c r="M126" s="948">
        <f>+$M$3</f>
        <v>1.0029999999999999</v>
      </c>
      <c r="N126" s="947">
        <f>+$N$3</f>
        <v>1.0029999999999999</v>
      </c>
      <c r="O126" s="949">
        <f>+$O$3</f>
        <v>1.0209999999999999</v>
      </c>
      <c r="P126" s="946">
        <f t="shared" si="26"/>
        <v>1.032</v>
      </c>
      <c r="Q126" s="947">
        <f t="shared" si="27"/>
        <v>1.0349999999999999</v>
      </c>
      <c r="R126" s="950">
        <f t="shared" si="1"/>
        <v>1.2981950150858137</v>
      </c>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926"/>
      <c r="AY126" s="926"/>
      <c r="AZ126" s="926"/>
      <c r="BA126" s="926"/>
      <c r="BB126" s="926"/>
      <c r="BC126" s="926"/>
      <c r="BD126" s="926"/>
      <c r="BE126" s="926"/>
      <c r="BF126" s="926"/>
      <c r="BG126" s="926"/>
      <c r="BH126" s="926"/>
      <c r="BI126" s="926"/>
      <c r="BJ126" s="926"/>
      <c r="BK126" s="926"/>
      <c r="BL126" s="926"/>
      <c r="BM126" s="926"/>
      <c r="BN126" s="926"/>
      <c r="BO126" s="926"/>
      <c r="BP126" s="926"/>
      <c r="BQ126" s="926"/>
      <c r="BR126" s="926"/>
      <c r="BS126" s="926"/>
      <c r="BT126" s="926"/>
      <c r="BU126" s="926"/>
      <c r="BV126" s="926"/>
      <c r="BW126" s="926"/>
      <c r="BX126" s="926"/>
      <c r="BY126" s="926"/>
      <c r="BZ126" s="926"/>
      <c r="CA126" s="926"/>
      <c r="CB126" s="926"/>
      <c r="CC126" s="926"/>
      <c r="CD126" s="926"/>
      <c r="CE126" s="926"/>
      <c r="CF126" s="926"/>
      <c r="CG126" s="926"/>
      <c r="CH126" s="926"/>
      <c r="CI126" s="926"/>
      <c r="CJ126" s="926"/>
      <c r="CK126" s="926"/>
      <c r="CL126" s="926"/>
      <c r="CM126" s="926"/>
      <c r="CN126" s="926"/>
      <c r="CO126" s="926"/>
      <c r="CP126" s="926"/>
      <c r="CQ126" s="926"/>
      <c r="CR126" s="926"/>
      <c r="CS126" s="926"/>
      <c r="CT126" s="926"/>
      <c r="CU126" s="926"/>
      <c r="CV126" s="926"/>
      <c r="CW126" s="926"/>
      <c r="CX126" s="926"/>
      <c r="CY126" s="926"/>
      <c r="CZ126" s="926"/>
      <c r="DA126" s="926"/>
      <c r="DB126" s="926"/>
      <c r="DC126" s="926"/>
      <c r="DD126" s="926"/>
      <c r="DE126" s="926"/>
      <c r="DF126" s="926"/>
      <c r="DG126" s="926"/>
      <c r="DH126" s="926"/>
      <c r="DI126" s="926"/>
      <c r="DJ126" s="926"/>
      <c r="DK126" s="926"/>
      <c r="DL126" s="926"/>
      <c r="DM126" s="926"/>
      <c r="DN126" s="926"/>
      <c r="DO126" s="926"/>
      <c r="DP126" s="926"/>
      <c r="DQ126" s="926"/>
      <c r="DR126" s="926"/>
      <c r="DS126" s="926"/>
      <c r="DT126" s="926"/>
      <c r="DU126" s="926"/>
      <c r="DV126" s="926"/>
      <c r="DW126" s="926"/>
      <c r="DX126" s="926"/>
      <c r="DY126" s="926"/>
      <c r="DZ126" s="926"/>
      <c r="EA126" s="926"/>
      <c r="EB126" s="926"/>
      <c r="EC126" s="926"/>
      <c r="ED126" s="926"/>
      <c r="EE126" s="926"/>
      <c r="EF126" s="926"/>
      <c r="EG126" s="926"/>
      <c r="EH126" s="926"/>
      <c r="EI126" s="926"/>
      <c r="EJ126" s="926"/>
      <c r="EK126" s="926"/>
      <c r="EL126" s="926"/>
      <c r="EM126" s="926"/>
      <c r="EN126" s="926"/>
      <c r="EO126" s="926"/>
      <c r="EP126" s="926"/>
      <c r="EQ126" s="926"/>
      <c r="ER126" s="926"/>
      <c r="ES126" s="926"/>
      <c r="ET126" s="926"/>
      <c r="EU126" s="926"/>
      <c r="EV126" s="926"/>
      <c r="EW126" s="926"/>
      <c r="EX126" s="926"/>
      <c r="EY126" s="926"/>
      <c r="EZ126" s="926"/>
      <c r="FA126" s="926"/>
      <c r="FB126" s="926"/>
      <c r="FC126" s="926"/>
      <c r="FD126" s="926"/>
      <c r="FE126" s="926"/>
      <c r="FF126" s="926"/>
      <c r="FG126" s="926"/>
      <c r="FH126" s="926"/>
      <c r="FI126" s="926"/>
      <c r="FJ126" s="926"/>
      <c r="FK126" s="926"/>
      <c r="FL126" s="926"/>
      <c r="FM126" s="926"/>
      <c r="FN126" s="926"/>
      <c r="FO126" s="926"/>
      <c r="FP126" s="926"/>
      <c r="FQ126" s="926"/>
      <c r="FR126" s="926"/>
      <c r="FS126" s="926"/>
      <c r="FT126" s="926"/>
      <c r="FU126" s="926"/>
      <c r="FV126" s="926"/>
      <c r="FW126" s="926"/>
      <c r="FX126" s="926"/>
      <c r="FY126" s="926"/>
      <c r="FZ126" s="926"/>
      <c r="GA126" s="926"/>
      <c r="GB126" s="926"/>
      <c r="GC126" s="926"/>
      <c r="GD126" s="926"/>
      <c r="GE126" s="926"/>
      <c r="GF126" s="926"/>
      <c r="GG126" s="926"/>
      <c r="GH126" s="926"/>
      <c r="GI126" s="926"/>
      <c r="GJ126" s="926"/>
      <c r="GK126" s="926"/>
      <c r="GL126" s="926"/>
      <c r="GM126" s="926"/>
      <c r="GN126" s="926"/>
      <c r="GO126" s="926"/>
      <c r="GP126" s="926"/>
      <c r="GQ126" s="926"/>
      <c r="GR126" s="926"/>
      <c r="GS126" s="926"/>
      <c r="GT126" s="926"/>
      <c r="GU126" s="926"/>
      <c r="GV126" s="926"/>
      <c r="GW126" s="926"/>
      <c r="GX126" s="926"/>
      <c r="GY126" s="926"/>
      <c r="GZ126" s="926"/>
      <c r="HA126" s="926"/>
      <c r="HB126" s="926"/>
      <c r="HC126" s="926"/>
      <c r="HD126" s="926"/>
      <c r="HE126" s="926"/>
      <c r="HF126" s="926"/>
      <c r="HG126" s="926"/>
      <c r="HH126" s="926"/>
      <c r="HI126" s="926"/>
      <c r="HJ126" s="926"/>
      <c r="HK126" s="926"/>
      <c r="HL126" s="926"/>
      <c r="HM126" s="926"/>
      <c r="HN126" s="926"/>
      <c r="HO126" s="926"/>
      <c r="HP126" s="926"/>
      <c r="HQ126" s="926"/>
      <c r="HR126" s="926"/>
      <c r="HS126" s="926"/>
      <c r="HT126" s="926"/>
      <c r="HU126" s="926"/>
      <c r="HV126" s="926"/>
      <c r="HW126" s="926"/>
      <c r="HX126" s="926"/>
      <c r="HY126" s="926"/>
      <c r="HZ126" s="926"/>
      <c r="IA126" s="926"/>
      <c r="IB126" s="926"/>
      <c r="IC126" s="926"/>
      <c r="ID126" s="926"/>
      <c r="IE126" s="926"/>
      <c r="IF126" s="926"/>
      <c r="IG126" s="926"/>
      <c r="IH126" s="926"/>
      <c r="II126" s="926"/>
      <c r="IJ126" s="926"/>
      <c r="IK126" s="926"/>
      <c r="IL126" s="926"/>
      <c r="IM126" s="926"/>
    </row>
    <row r="127" spans="1:247" x14ac:dyDescent="0.45">
      <c r="A127" s="441">
        <v>5307</v>
      </c>
      <c r="B127" s="939" t="s">
        <v>2662</v>
      </c>
      <c r="C127" s="47" t="s">
        <v>35</v>
      </c>
      <c r="D127" s="449" t="s">
        <v>2545</v>
      </c>
      <c r="E127" s="946"/>
      <c r="F127" s="941">
        <f t="shared" si="0"/>
        <v>1.0209999999999999</v>
      </c>
      <c r="G127" s="947">
        <f t="shared" si="28"/>
        <v>1.0269999999999999</v>
      </c>
      <c r="H127" s="946"/>
      <c r="I127" s="948"/>
      <c r="J127" s="948"/>
      <c r="K127" s="948"/>
      <c r="L127" s="948"/>
      <c r="M127" s="948"/>
      <c r="N127" s="947"/>
      <c r="O127" s="949"/>
      <c r="P127" s="946">
        <f t="shared" si="26"/>
        <v>1.032</v>
      </c>
      <c r="Q127" s="947">
        <f t="shared" si="27"/>
        <v>1.0349999999999999</v>
      </c>
      <c r="R127" s="950">
        <f t="shared" si="1"/>
        <v>1.1199953840399997</v>
      </c>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926"/>
      <c r="AY127" s="926"/>
      <c r="AZ127" s="926"/>
      <c r="BA127" s="926"/>
      <c r="BB127" s="926"/>
      <c r="BC127" s="926"/>
      <c r="BD127" s="926"/>
      <c r="BE127" s="926"/>
      <c r="BF127" s="926"/>
      <c r="BG127" s="926"/>
      <c r="BH127" s="926"/>
      <c r="BI127" s="926"/>
      <c r="BJ127" s="926"/>
      <c r="BK127" s="926"/>
      <c r="BL127" s="926"/>
      <c r="BM127" s="926"/>
      <c r="BN127" s="926"/>
      <c r="BO127" s="926"/>
      <c r="BP127" s="926"/>
      <c r="BQ127" s="926"/>
      <c r="BR127" s="926"/>
      <c r="BS127" s="926"/>
      <c r="BT127" s="926"/>
      <c r="BU127" s="926"/>
      <c r="BV127" s="926"/>
      <c r="BW127" s="926"/>
      <c r="BX127" s="926"/>
      <c r="BY127" s="926"/>
      <c r="BZ127" s="926"/>
      <c r="CA127" s="926"/>
      <c r="CB127" s="926"/>
      <c r="CC127" s="926"/>
      <c r="CD127" s="926"/>
      <c r="CE127" s="926"/>
      <c r="CF127" s="926"/>
      <c r="CG127" s="926"/>
      <c r="CH127" s="926"/>
      <c r="CI127" s="926"/>
      <c r="CJ127" s="926"/>
      <c r="CK127" s="926"/>
      <c r="CL127" s="926"/>
      <c r="CM127" s="926"/>
      <c r="CN127" s="926"/>
      <c r="CO127" s="926"/>
      <c r="CP127" s="926"/>
      <c r="CQ127" s="926"/>
      <c r="CR127" s="926"/>
      <c r="CS127" s="926"/>
      <c r="CT127" s="926"/>
      <c r="CU127" s="926"/>
      <c r="CV127" s="926"/>
      <c r="CW127" s="926"/>
      <c r="CX127" s="926"/>
      <c r="CY127" s="926"/>
      <c r="CZ127" s="926"/>
      <c r="DA127" s="926"/>
      <c r="DB127" s="926"/>
      <c r="DC127" s="926"/>
      <c r="DD127" s="926"/>
      <c r="DE127" s="926"/>
      <c r="DF127" s="926"/>
      <c r="DG127" s="926"/>
      <c r="DH127" s="926"/>
      <c r="DI127" s="926"/>
      <c r="DJ127" s="926"/>
      <c r="DK127" s="926"/>
      <c r="DL127" s="926"/>
      <c r="DM127" s="926"/>
      <c r="DN127" s="926"/>
      <c r="DO127" s="926"/>
      <c r="DP127" s="926"/>
      <c r="DQ127" s="926"/>
      <c r="DR127" s="926"/>
      <c r="DS127" s="926"/>
      <c r="DT127" s="926"/>
      <c r="DU127" s="926"/>
      <c r="DV127" s="926"/>
      <c r="DW127" s="926"/>
      <c r="DX127" s="926"/>
      <c r="DY127" s="926"/>
      <c r="DZ127" s="926"/>
      <c r="EA127" s="926"/>
      <c r="EB127" s="926"/>
      <c r="EC127" s="926"/>
      <c r="ED127" s="926"/>
      <c r="EE127" s="926"/>
      <c r="EF127" s="926"/>
      <c r="EG127" s="926"/>
      <c r="EH127" s="926"/>
      <c r="EI127" s="926"/>
      <c r="EJ127" s="926"/>
      <c r="EK127" s="926"/>
      <c r="EL127" s="926"/>
      <c r="EM127" s="926"/>
      <c r="EN127" s="926"/>
      <c r="EO127" s="926"/>
      <c r="EP127" s="926"/>
      <c r="EQ127" s="926"/>
      <c r="ER127" s="926"/>
      <c r="ES127" s="926"/>
      <c r="ET127" s="926"/>
      <c r="EU127" s="926"/>
      <c r="EV127" s="926"/>
      <c r="EW127" s="926"/>
      <c r="EX127" s="926"/>
      <c r="EY127" s="926"/>
      <c r="EZ127" s="926"/>
      <c r="FA127" s="926"/>
      <c r="FB127" s="926"/>
      <c r="FC127" s="926"/>
      <c r="FD127" s="926"/>
      <c r="FE127" s="926"/>
      <c r="FF127" s="926"/>
      <c r="FG127" s="926"/>
      <c r="FH127" s="926"/>
      <c r="FI127" s="926"/>
      <c r="FJ127" s="926"/>
      <c r="FK127" s="926"/>
      <c r="FL127" s="926"/>
      <c r="FM127" s="926"/>
      <c r="FN127" s="926"/>
      <c r="FO127" s="926"/>
      <c r="FP127" s="926"/>
      <c r="FQ127" s="926"/>
      <c r="FR127" s="926"/>
      <c r="FS127" s="926"/>
      <c r="FT127" s="926"/>
      <c r="FU127" s="926"/>
      <c r="FV127" s="926"/>
      <c r="FW127" s="926"/>
      <c r="FX127" s="926"/>
      <c r="FY127" s="926"/>
      <c r="FZ127" s="926"/>
      <c r="GA127" s="926"/>
      <c r="GB127" s="926"/>
      <c r="GC127" s="926"/>
      <c r="GD127" s="926"/>
      <c r="GE127" s="926"/>
      <c r="GF127" s="926"/>
      <c r="GG127" s="926"/>
      <c r="GH127" s="926"/>
      <c r="GI127" s="926"/>
      <c r="GJ127" s="926"/>
      <c r="GK127" s="926"/>
      <c r="GL127" s="926"/>
      <c r="GM127" s="926"/>
      <c r="GN127" s="926"/>
      <c r="GO127" s="926"/>
      <c r="GP127" s="926"/>
      <c r="GQ127" s="926"/>
      <c r="GR127" s="926"/>
      <c r="GS127" s="926"/>
      <c r="GT127" s="926"/>
      <c r="GU127" s="926"/>
      <c r="GV127" s="926"/>
      <c r="GW127" s="926"/>
      <c r="GX127" s="926"/>
      <c r="GY127" s="926"/>
      <c r="GZ127" s="926"/>
      <c r="HA127" s="926"/>
      <c r="HB127" s="926"/>
      <c r="HC127" s="926"/>
      <c r="HD127" s="926"/>
      <c r="HE127" s="926"/>
      <c r="HF127" s="926"/>
      <c r="HG127" s="926"/>
      <c r="HH127" s="926"/>
      <c r="HI127" s="926"/>
      <c r="HJ127" s="926"/>
      <c r="HK127" s="926"/>
      <c r="HL127" s="926"/>
      <c r="HM127" s="926"/>
      <c r="HN127" s="926"/>
      <c r="HO127" s="926"/>
      <c r="HP127" s="926"/>
      <c r="HQ127" s="926"/>
      <c r="HR127" s="926"/>
      <c r="HS127" s="926"/>
      <c r="HT127" s="926"/>
      <c r="HU127" s="926"/>
      <c r="HV127" s="926"/>
      <c r="HW127" s="926"/>
      <c r="HX127" s="926"/>
      <c r="HY127" s="926"/>
      <c r="HZ127" s="926"/>
      <c r="IA127" s="926"/>
      <c r="IB127" s="926"/>
      <c r="IC127" s="926"/>
      <c r="ID127" s="926"/>
      <c r="IE127" s="926"/>
      <c r="IF127" s="926"/>
      <c r="IG127" s="926"/>
      <c r="IH127" s="926"/>
      <c r="II127" s="926"/>
      <c r="IJ127" s="926"/>
      <c r="IK127" s="926"/>
      <c r="IL127" s="926"/>
      <c r="IM127" s="926"/>
    </row>
    <row r="128" spans="1:247" x14ac:dyDescent="0.45">
      <c r="A128" s="441">
        <v>6103</v>
      </c>
      <c r="B128" s="939" t="s">
        <v>2663</v>
      </c>
      <c r="C128" s="47" t="s">
        <v>35</v>
      </c>
      <c r="D128" s="449" t="s">
        <v>2545</v>
      </c>
      <c r="E128" s="946"/>
      <c r="F128" s="941">
        <f t="shared" si="0"/>
        <v>1.0209999999999999</v>
      </c>
      <c r="G128" s="947">
        <f t="shared" si="28"/>
        <v>1.0269999999999999</v>
      </c>
      <c r="H128" s="946">
        <f>+$H$3</f>
        <v>1.0029999999999999</v>
      </c>
      <c r="I128" s="948">
        <f>+$I$3</f>
        <v>1.0289999999999999</v>
      </c>
      <c r="J128" s="948">
        <f>+$J$3</f>
        <v>1.0049999999999999</v>
      </c>
      <c r="K128" s="948"/>
      <c r="L128" s="948"/>
      <c r="M128" s="948"/>
      <c r="N128" s="947"/>
      <c r="O128" s="949">
        <f>+$O$3</f>
        <v>1.0209999999999999</v>
      </c>
      <c r="P128" s="946">
        <f t="shared" si="26"/>
        <v>1.032</v>
      </c>
      <c r="Q128" s="947">
        <f t="shared" si="27"/>
        <v>1.0349999999999999</v>
      </c>
      <c r="R128" s="950">
        <f t="shared" si="1"/>
        <v>1.1861082984327833</v>
      </c>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c r="BA128" s="926"/>
      <c r="BB128" s="926"/>
      <c r="BC128" s="926"/>
      <c r="BD128" s="926"/>
      <c r="BE128" s="926"/>
      <c r="BF128" s="926"/>
      <c r="BG128" s="926"/>
      <c r="BH128" s="926"/>
      <c r="BI128" s="926"/>
      <c r="BJ128" s="926"/>
      <c r="BK128" s="926"/>
      <c r="BL128" s="926"/>
      <c r="BM128" s="926"/>
      <c r="BN128" s="926"/>
      <c r="BO128" s="926"/>
      <c r="BP128" s="926"/>
      <c r="BQ128" s="926"/>
      <c r="BR128" s="926"/>
      <c r="BS128" s="926"/>
      <c r="BT128" s="926"/>
      <c r="BU128" s="926"/>
      <c r="BV128" s="926"/>
      <c r="BW128" s="926"/>
      <c r="BX128" s="926"/>
      <c r="BY128" s="926"/>
      <c r="BZ128" s="926"/>
      <c r="CA128" s="926"/>
      <c r="CB128" s="926"/>
      <c r="CC128" s="926"/>
      <c r="CD128" s="926"/>
      <c r="CE128" s="926"/>
      <c r="CF128" s="926"/>
      <c r="CG128" s="926"/>
      <c r="CH128" s="926"/>
      <c r="CI128" s="926"/>
      <c r="CJ128" s="926"/>
      <c r="CK128" s="926"/>
      <c r="CL128" s="926"/>
      <c r="CM128" s="926"/>
      <c r="CN128" s="926"/>
      <c r="CO128" s="926"/>
      <c r="CP128" s="926"/>
      <c r="CQ128" s="926"/>
      <c r="CR128" s="926"/>
      <c r="CS128" s="926"/>
      <c r="CT128" s="926"/>
      <c r="CU128" s="926"/>
      <c r="CV128" s="926"/>
      <c r="CW128" s="926"/>
      <c r="CX128" s="926"/>
      <c r="CY128" s="926"/>
      <c r="CZ128" s="926"/>
      <c r="DA128" s="926"/>
      <c r="DB128" s="926"/>
      <c r="DC128" s="926"/>
      <c r="DD128" s="926"/>
      <c r="DE128" s="926"/>
      <c r="DF128" s="926"/>
      <c r="DG128" s="926"/>
      <c r="DH128" s="926"/>
      <c r="DI128" s="926"/>
      <c r="DJ128" s="926"/>
      <c r="DK128" s="926"/>
      <c r="DL128" s="926"/>
      <c r="DM128" s="926"/>
      <c r="DN128" s="926"/>
      <c r="DO128" s="926"/>
      <c r="DP128" s="926"/>
      <c r="DQ128" s="926"/>
      <c r="DR128" s="926"/>
      <c r="DS128" s="926"/>
      <c r="DT128" s="926"/>
      <c r="DU128" s="926"/>
      <c r="DV128" s="926"/>
      <c r="DW128" s="926"/>
      <c r="DX128" s="926"/>
      <c r="DY128" s="926"/>
      <c r="DZ128" s="926"/>
      <c r="EA128" s="926"/>
      <c r="EB128" s="926"/>
      <c r="EC128" s="926"/>
      <c r="ED128" s="926"/>
      <c r="EE128" s="926"/>
      <c r="EF128" s="926"/>
      <c r="EG128" s="926"/>
      <c r="EH128" s="926"/>
      <c r="EI128" s="926"/>
      <c r="EJ128" s="926"/>
      <c r="EK128" s="926"/>
      <c r="EL128" s="926"/>
      <c r="EM128" s="926"/>
      <c r="EN128" s="926"/>
      <c r="EO128" s="926"/>
      <c r="EP128" s="926"/>
      <c r="EQ128" s="926"/>
      <c r="ER128" s="926"/>
      <c r="ES128" s="926"/>
      <c r="ET128" s="926"/>
      <c r="EU128" s="926"/>
      <c r="EV128" s="926"/>
      <c r="EW128" s="926"/>
      <c r="EX128" s="926"/>
      <c r="EY128" s="926"/>
      <c r="EZ128" s="926"/>
      <c r="FA128" s="926"/>
      <c r="FB128" s="926"/>
      <c r="FC128" s="926"/>
      <c r="FD128" s="926"/>
      <c r="FE128" s="926"/>
      <c r="FF128" s="926"/>
      <c r="FG128" s="926"/>
      <c r="FH128" s="926"/>
      <c r="FI128" s="926"/>
      <c r="FJ128" s="926"/>
      <c r="FK128" s="926"/>
      <c r="FL128" s="926"/>
      <c r="FM128" s="926"/>
      <c r="FN128" s="926"/>
      <c r="FO128" s="926"/>
      <c r="FP128" s="926"/>
      <c r="FQ128" s="926"/>
      <c r="FR128" s="926"/>
      <c r="FS128" s="926"/>
      <c r="FT128" s="926"/>
      <c r="FU128" s="926"/>
      <c r="FV128" s="926"/>
      <c r="FW128" s="926"/>
      <c r="FX128" s="926"/>
      <c r="FY128" s="926"/>
      <c r="FZ128" s="926"/>
      <c r="GA128" s="926"/>
      <c r="GB128" s="926"/>
      <c r="GC128" s="926"/>
      <c r="GD128" s="926"/>
      <c r="GE128" s="926"/>
      <c r="GF128" s="926"/>
      <c r="GG128" s="926"/>
      <c r="GH128" s="926"/>
      <c r="GI128" s="926"/>
      <c r="GJ128" s="926"/>
      <c r="GK128" s="926"/>
      <c r="GL128" s="926"/>
      <c r="GM128" s="926"/>
      <c r="GN128" s="926"/>
      <c r="GO128" s="926"/>
      <c r="GP128" s="926"/>
      <c r="GQ128" s="926"/>
      <c r="GR128" s="926"/>
      <c r="GS128" s="926"/>
      <c r="GT128" s="926"/>
      <c r="GU128" s="926"/>
      <c r="GV128" s="926"/>
      <c r="GW128" s="926"/>
      <c r="GX128" s="926"/>
      <c r="GY128" s="926"/>
      <c r="GZ128" s="926"/>
      <c r="HA128" s="926"/>
      <c r="HB128" s="926"/>
      <c r="HC128" s="926"/>
      <c r="HD128" s="926"/>
      <c r="HE128" s="926"/>
      <c r="HF128" s="926"/>
      <c r="HG128" s="926"/>
      <c r="HH128" s="926"/>
      <c r="HI128" s="926"/>
      <c r="HJ128" s="926"/>
      <c r="HK128" s="926"/>
      <c r="HL128" s="926"/>
      <c r="HM128" s="926"/>
      <c r="HN128" s="926"/>
      <c r="HO128" s="926"/>
      <c r="HP128" s="926"/>
      <c r="HQ128" s="926"/>
      <c r="HR128" s="926"/>
      <c r="HS128" s="926"/>
      <c r="HT128" s="926"/>
      <c r="HU128" s="926"/>
      <c r="HV128" s="926"/>
      <c r="HW128" s="926"/>
      <c r="HX128" s="926"/>
      <c r="HY128" s="926"/>
      <c r="HZ128" s="926"/>
      <c r="IA128" s="926"/>
      <c r="IB128" s="926"/>
      <c r="IC128" s="926"/>
      <c r="ID128" s="926"/>
      <c r="IE128" s="926"/>
      <c r="IF128" s="926"/>
      <c r="IG128" s="926"/>
      <c r="IH128" s="926"/>
      <c r="II128" s="926"/>
      <c r="IJ128" s="926"/>
      <c r="IK128" s="926"/>
      <c r="IL128" s="926"/>
      <c r="IM128" s="926"/>
    </row>
    <row r="129" spans="1:247" x14ac:dyDescent="0.45">
      <c r="A129" s="441">
        <v>6107</v>
      </c>
      <c r="B129" s="939" t="s">
        <v>2664</v>
      </c>
      <c r="C129" s="47" t="s">
        <v>35</v>
      </c>
      <c r="D129" s="449" t="s">
        <v>2545</v>
      </c>
      <c r="E129" s="946">
        <f>+$E$3</f>
        <v>1.0740000000000001</v>
      </c>
      <c r="F129" s="941">
        <f t="shared" si="0"/>
        <v>1.0209999999999999</v>
      </c>
      <c r="G129" s="947">
        <f t="shared" si="28"/>
        <v>1.0269999999999999</v>
      </c>
      <c r="H129" s="946">
        <f>+$H$3</f>
        <v>1.0029999999999999</v>
      </c>
      <c r="I129" s="948">
        <f>+$I$3</f>
        <v>1.0289999999999999</v>
      </c>
      <c r="J129" s="948">
        <f>+$J$3</f>
        <v>1.0049999999999999</v>
      </c>
      <c r="K129" s="948">
        <f>+$K$3</f>
        <v>1.026</v>
      </c>
      <c r="L129" s="948">
        <f>+$L$3</f>
        <v>1.0129999999999999</v>
      </c>
      <c r="M129" s="948">
        <f>+$M$3</f>
        <v>1.0029999999999999</v>
      </c>
      <c r="N129" s="947">
        <f>+$N$3</f>
        <v>1.0029999999999999</v>
      </c>
      <c r="O129" s="949">
        <f>+$O$3</f>
        <v>1.0209999999999999</v>
      </c>
      <c r="P129" s="946">
        <f t="shared" si="26"/>
        <v>1.032</v>
      </c>
      <c r="Q129" s="947">
        <f t="shared" si="27"/>
        <v>1.0349999999999999</v>
      </c>
      <c r="R129" s="950">
        <f>PRODUCT(E129:Q129)</f>
        <v>1.3319480854780448</v>
      </c>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c r="BA129" s="926"/>
      <c r="BB129" s="926"/>
      <c r="BC129" s="926"/>
      <c r="BD129" s="926"/>
      <c r="BE129" s="926"/>
      <c r="BF129" s="926"/>
      <c r="BG129" s="926"/>
      <c r="BH129" s="926"/>
      <c r="BI129" s="926"/>
      <c r="BJ129" s="926"/>
      <c r="BK129" s="926"/>
      <c r="BL129" s="926"/>
      <c r="BM129" s="926"/>
      <c r="BN129" s="926"/>
      <c r="BO129" s="926"/>
      <c r="BP129" s="926"/>
      <c r="BQ129" s="926"/>
      <c r="BR129" s="926"/>
      <c r="BS129" s="926"/>
      <c r="BT129" s="926"/>
      <c r="BU129" s="926"/>
      <c r="BV129" s="926"/>
      <c r="BW129" s="926"/>
      <c r="BX129" s="926"/>
      <c r="BY129" s="926"/>
      <c r="BZ129" s="926"/>
      <c r="CA129" s="926"/>
      <c r="CB129" s="926"/>
      <c r="CC129" s="926"/>
      <c r="CD129" s="926"/>
      <c r="CE129" s="926"/>
      <c r="CF129" s="926"/>
      <c r="CG129" s="926"/>
      <c r="CH129" s="926"/>
      <c r="CI129" s="926"/>
      <c r="CJ129" s="926"/>
      <c r="CK129" s="926"/>
      <c r="CL129" s="926"/>
      <c r="CM129" s="926"/>
      <c r="CN129" s="926"/>
      <c r="CO129" s="926"/>
      <c r="CP129" s="926"/>
      <c r="CQ129" s="926"/>
      <c r="CR129" s="926"/>
      <c r="CS129" s="926"/>
      <c r="CT129" s="926"/>
      <c r="CU129" s="926"/>
      <c r="CV129" s="926"/>
      <c r="CW129" s="926"/>
      <c r="CX129" s="926"/>
      <c r="CY129" s="926"/>
      <c r="CZ129" s="926"/>
      <c r="DA129" s="926"/>
      <c r="DB129" s="926"/>
      <c r="DC129" s="926"/>
      <c r="DD129" s="926"/>
      <c r="DE129" s="926"/>
      <c r="DF129" s="926"/>
      <c r="DG129" s="926"/>
      <c r="DH129" s="926"/>
      <c r="DI129" s="926"/>
      <c r="DJ129" s="926"/>
      <c r="DK129" s="926"/>
      <c r="DL129" s="926"/>
      <c r="DM129" s="926"/>
      <c r="DN129" s="926"/>
      <c r="DO129" s="926"/>
      <c r="DP129" s="926"/>
      <c r="DQ129" s="926"/>
      <c r="DR129" s="926"/>
      <c r="DS129" s="926"/>
      <c r="DT129" s="926"/>
      <c r="DU129" s="926"/>
      <c r="DV129" s="926"/>
      <c r="DW129" s="926"/>
      <c r="DX129" s="926"/>
      <c r="DY129" s="926"/>
      <c r="DZ129" s="926"/>
      <c r="EA129" s="926"/>
      <c r="EB129" s="926"/>
      <c r="EC129" s="926"/>
      <c r="ED129" s="926"/>
      <c r="EE129" s="926"/>
      <c r="EF129" s="926"/>
      <c r="EG129" s="926"/>
      <c r="EH129" s="926"/>
      <c r="EI129" s="926"/>
      <c r="EJ129" s="926"/>
      <c r="EK129" s="926"/>
      <c r="EL129" s="926"/>
      <c r="EM129" s="926"/>
      <c r="EN129" s="926"/>
      <c r="EO129" s="926"/>
      <c r="EP129" s="926"/>
      <c r="EQ129" s="926"/>
      <c r="ER129" s="926"/>
      <c r="ES129" s="926"/>
      <c r="ET129" s="926"/>
      <c r="EU129" s="926"/>
      <c r="EV129" s="926"/>
      <c r="EW129" s="926"/>
      <c r="EX129" s="926"/>
      <c r="EY129" s="926"/>
      <c r="EZ129" s="926"/>
      <c r="FA129" s="926"/>
      <c r="FB129" s="926"/>
      <c r="FC129" s="926"/>
      <c r="FD129" s="926"/>
      <c r="FE129" s="926"/>
      <c r="FF129" s="926"/>
      <c r="FG129" s="926"/>
      <c r="FH129" s="926"/>
      <c r="FI129" s="926"/>
      <c r="FJ129" s="926"/>
      <c r="FK129" s="926"/>
      <c r="FL129" s="926"/>
      <c r="FM129" s="926"/>
      <c r="FN129" s="926"/>
      <c r="FO129" s="926"/>
      <c r="FP129" s="926"/>
      <c r="FQ129" s="926"/>
      <c r="FR129" s="926"/>
      <c r="FS129" s="926"/>
      <c r="FT129" s="926"/>
      <c r="FU129" s="926"/>
      <c r="FV129" s="926"/>
      <c r="FW129" s="926"/>
      <c r="FX129" s="926"/>
      <c r="FY129" s="926"/>
      <c r="FZ129" s="926"/>
      <c r="GA129" s="926"/>
      <c r="GB129" s="926"/>
      <c r="GC129" s="926"/>
      <c r="GD129" s="926"/>
      <c r="GE129" s="926"/>
      <c r="GF129" s="926"/>
      <c r="GG129" s="926"/>
      <c r="GH129" s="926"/>
      <c r="GI129" s="926"/>
      <c r="GJ129" s="926"/>
      <c r="GK129" s="926"/>
      <c r="GL129" s="926"/>
      <c r="GM129" s="926"/>
      <c r="GN129" s="926"/>
      <c r="GO129" s="926"/>
      <c r="GP129" s="926"/>
      <c r="GQ129" s="926"/>
      <c r="GR129" s="926"/>
      <c r="GS129" s="926"/>
      <c r="GT129" s="926"/>
      <c r="GU129" s="926"/>
      <c r="GV129" s="926"/>
      <c r="GW129" s="926"/>
      <c r="GX129" s="926"/>
      <c r="GY129" s="926"/>
      <c r="GZ129" s="926"/>
      <c r="HA129" s="926"/>
      <c r="HB129" s="926"/>
      <c r="HC129" s="926"/>
      <c r="HD129" s="926"/>
      <c r="HE129" s="926"/>
      <c r="HF129" s="926"/>
      <c r="HG129" s="926"/>
      <c r="HH129" s="926"/>
      <c r="HI129" s="926"/>
      <c r="HJ129" s="926"/>
      <c r="HK129" s="926"/>
      <c r="HL129" s="926"/>
      <c r="HM129" s="926"/>
      <c r="HN129" s="926"/>
      <c r="HO129" s="926"/>
      <c r="HP129" s="926"/>
      <c r="HQ129" s="926"/>
      <c r="HR129" s="926"/>
      <c r="HS129" s="926"/>
      <c r="HT129" s="926"/>
      <c r="HU129" s="926"/>
      <c r="HV129" s="926"/>
      <c r="HW129" s="926"/>
      <c r="HX129" s="926"/>
      <c r="HY129" s="926"/>
      <c r="HZ129" s="926"/>
      <c r="IA129" s="926"/>
      <c r="IB129" s="926"/>
      <c r="IC129" s="926"/>
      <c r="ID129" s="926"/>
      <c r="IE129" s="926"/>
      <c r="IF129" s="926"/>
      <c r="IG129" s="926"/>
      <c r="IH129" s="926"/>
      <c r="II129" s="926"/>
      <c r="IJ129" s="926"/>
      <c r="IK129" s="926"/>
      <c r="IL129" s="926"/>
      <c r="IM129" s="926"/>
    </row>
    <row r="130" spans="1:247" x14ac:dyDescent="0.45">
      <c r="A130" s="441">
        <v>6900</v>
      </c>
      <c r="B130" s="939" t="s">
        <v>2665</v>
      </c>
      <c r="C130" s="47" t="s">
        <v>88</v>
      </c>
      <c r="D130" s="449" t="s">
        <v>2537</v>
      </c>
      <c r="E130" s="946"/>
      <c r="F130" s="941">
        <f t="shared" si="0"/>
        <v>1.0209999999999999</v>
      </c>
      <c r="G130" s="947"/>
      <c r="H130" s="946"/>
      <c r="I130" s="948"/>
      <c r="J130" s="948"/>
      <c r="K130" s="948"/>
      <c r="L130" s="948"/>
      <c r="M130" s="948"/>
      <c r="N130" s="947"/>
      <c r="O130" s="949"/>
      <c r="P130" s="946"/>
      <c r="Q130" s="947"/>
      <c r="R130" s="950">
        <f t="shared" si="1"/>
        <v>1.0209999999999999</v>
      </c>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c r="BA130" s="926"/>
      <c r="BB130" s="926"/>
      <c r="BC130" s="926"/>
      <c r="BD130" s="926"/>
      <c r="BE130" s="926"/>
      <c r="BF130" s="926"/>
      <c r="BG130" s="926"/>
      <c r="BH130" s="926"/>
      <c r="BI130" s="926"/>
      <c r="BJ130" s="926"/>
      <c r="BK130" s="926"/>
      <c r="BL130" s="926"/>
      <c r="BM130" s="926"/>
      <c r="BN130" s="926"/>
      <c r="BO130" s="926"/>
      <c r="BP130" s="926"/>
      <c r="BQ130" s="926"/>
      <c r="BR130" s="926"/>
      <c r="BS130" s="926"/>
      <c r="BT130" s="926"/>
      <c r="BU130" s="926"/>
      <c r="BV130" s="926"/>
      <c r="BW130" s="926"/>
      <c r="BX130" s="926"/>
      <c r="BY130" s="926"/>
      <c r="BZ130" s="926"/>
      <c r="CA130" s="926"/>
      <c r="CB130" s="926"/>
      <c r="CC130" s="926"/>
      <c r="CD130" s="926"/>
      <c r="CE130" s="926"/>
      <c r="CF130" s="926"/>
      <c r="CG130" s="926"/>
      <c r="CH130" s="926"/>
      <c r="CI130" s="926"/>
      <c r="CJ130" s="926"/>
      <c r="CK130" s="926"/>
      <c r="CL130" s="926"/>
      <c r="CM130" s="926"/>
      <c r="CN130" s="926"/>
      <c r="CO130" s="926"/>
      <c r="CP130" s="926"/>
      <c r="CQ130" s="926"/>
      <c r="CR130" s="926"/>
      <c r="CS130" s="926"/>
      <c r="CT130" s="926"/>
      <c r="CU130" s="926"/>
      <c r="CV130" s="926"/>
      <c r="CW130" s="926"/>
      <c r="CX130" s="926"/>
      <c r="CY130" s="926"/>
      <c r="CZ130" s="926"/>
      <c r="DA130" s="926"/>
      <c r="DB130" s="926"/>
      <c r="DC130" s="926"/>
      <c r="DD130" s="926"/>
      <c r="DE130" s="926"/>
      <c r="DF130" s="926"/>
      <c r="DG130" s="926"/>
      <c r="DH130" s="926"/>
      <c r="DI130" s="926"/>
      <c r="DJ130" s="926"/>
      <c r="DK130" s="926"/>
      <c r="DL130" s="926"/>
      <c r="DM130" s="926"/>
      <c r="DN130" s="926"/>
      <c r="DO130" s="926"/>
      <c r="DP130" s="926"/>
      <c r="DQ130" s="926"/>
      <c r="DR130" s="926"/>
      <c r="DS130" s="926"/>
      <c r="DT130" s="926"/>
      <c r="DU130" s="926"/>
      <c r="DV130" s="926"/>
      <c r="DW130" s="926"/>
      <c r="DX130" s="926"/>
      <c r="DY130" s="926"/>
      <c r="DZ130" s="926"/>
      <c r="EA130" s="926"/>
      <c r="EB130" s="926"/>
      <c r="EC130" s="926"/>
      <c r="ED130" s="926"/>
      <c r="EE130" s="926"/>
      <c r="EF130" s="926"/>
      <c r="EG130" s="926"/>
      <c r="EH130" s="926"/>
      <c r="EI130" s="926"/>
      <c r="EJ130" s="926"/>
      <c r="EK130" s="926"/>
      <c r="EL130" s="926"/>
      <c r="EM130" s="926"/>
      <c r="EN130" s="926"/>
      <c r="EO130" s="926"/>
      <c r="EP130" s="926"/>
      <c r="EQ130" s="926"/>
      <c r="ER130" s="926"/>
      <c r="ES130" s="926"/>
      <c r="ET130" s="926"/>
      <c r="EU130" s="926"/>
      <c r="EV130" s="926"/>
      <c r="EW130" s="926"/>
      <c r="EX130" s="926"/>
      <c r="EY130" s="926"/>
      <c r="EZ130" s="926"/>
      <c r="FA130" s="926"/>
      <c r="FB130" s="926"/>
      <c r="FC130" s="926"/>
      <c r="FD130" s="926"/>
      <c r="FE130" s="926"/>
      <c r="FF130" s="926"/>
      <c r="FG130" s="926"/>
      <c r="FH130" s="926"/>
      <c r="FI130" s="926"/>
      <c r="FJ130" s="926"/>
      <c r="FK130" s="926"/>
      <c r="FL130" s="926"/>
      <c r="FM130" s="926"/>
      <c r="FN130" s="926"/>
      <c r="FO130" s="926"/>
      <c r="FP130" s="926"/>
      <c r="FQ130" s="926"/>
      <c r="FR130" s="926"/>
      <c r="FS130" s="926"/>
      <c r="FT130" s="926"/>
      <c r="FU130" s="926"/>
      <c r="FV130" s="926"/>
      <c r="FW130" s="926"/>
      <c r="FX130" s="926"/>
      <c r="FY130" s="926"/>
      <c r="FZ130" s="926"/>
      <c r="GA130" s="926"/>
      <c r="GB130" s="926"/>
      <c r="GC130" s="926"/>
      <c r="GD130" s="926"/>
      <c r="GE130" s="926"/>
      <c r="GF130" s="926"/>
      <c r="GG130" s="926"/>
      <c r="GH130" s="926"/>
      <c r="GI130" s="926"/>
      <c r="GJ130" s="926"/>
      <c r="GK130" s="926"/>
      <c r="GL130" s="926"/>
      <c r="GM130" s="926"/>
      <c r="GN130" s="926"/>
      <c r="GO130" s="926"/>
      <c r="GP130" s="926"/>
      <c r="GQ130" s="926"/>
      <c r="GR130" s="926"/>
      <c r="GS130" s="926"/>
      <c r="GT130" s="926"/>
      <c r="GU130" s="926"/>
      <c r="GV130" s="926"/>
      <c r="GW130" s="926"/>
      <c r="GX130" s="926"/>
      <c r="GY130" s="926"/>
      <c r="GZ130" s="926"/>
      <c r="HA130" s="926"/>
      <c r="HB130" s="926"/>
      <c r="HC130" s="926"/>
      <c r="HD130" s="926"/>
      <c r="HE130" s="926"/>
      <c r="HF130" s="926"/>
      <c r="HG130" s="926"/>
      <c r="HH130" s="926"/>
      <c r="HI130" s="926"/>
      <c r="HJ130" s="926"/>
      <c r="HK130" s="926"/>
      <c r="HL130" s="926"/>
      <c r="HM130" s="926"/>
      <c r="HN130" s="926"/>
      <c r="HO130" s="926"/>
      <c r="HP130" s="926"/>
      <c r="HQ130" s="926"/>
      <c r="HR130" s="926"/>
      <c r="HS130" s="926"/>
      <c r="HT130" s="926"/>
      <c r="HU130" s="926"/>
      <c r="HV130" s="926"/>
      <c r="HW130" s="926"/>
      <c r="HX130" s="926"/>
      <c r="HY130" s="926"/>
      <c r="HZ130" s="926"/>
      <c r="IA130" s="926"/>
      <c r="IB130" s="926"/>
      <c r="IC130" s="926"/>
      <c r="ID130" s="926"/>
      <c r="IE130" s="926"/>
      <c r="IF130" s="926"/>
      <c r="IG130" s="926"/>
      <c r="IH130" s="926"/>
      <c r="II130" s="926"/>
      <c r="IJ130" s="926"/>
      <c r="IK130" s="926"/>
      <c r="IL130" s="926"/>
      <c r="IM130" s="926"/>
    </row>
    <row r="131" spans="1:247" x14ac:dyDescent="0.45">
      <c r="A131" s="441">
        <v>7120</v>
      </c>
      <c r="B131" s="939" t="s">
        <v>2666</v>
      </c>
      <c r="C131" s="47" t="s">
        <v>35</v>
      </c>
      <c r="D131" s="449" t="s">
        <v>2545</v>
      </c>
      <c r="E131" s="946"/>
      <c r="F131" s="941">
        <f t="shared" si="0"/>
        <v>1.0209999999999999</v>
      </c>
      <c r="G131" s="947"/>
      <c r="H131" s="946"/>
      <c r="I131" s="948"/>
      <c r="J131" s="948"/>
      <c r="K131" s="948"/>
      <c r="L131" s="948"/>
      <c r="M131" s="948"/>
      <c r="N131" s="947"/>
      <c r="O131" s="949"/>
      <c r="P131" s="946"/>
      <c r="Q131" s="947"/>
      <c r="R131" s="950">
        <f t="shared" si="1"/>
        <v>1.0209999999999999</v>
      </c>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c r="BA131" s="926"/>
      <c r="BB131" s="926"/>
      <c r="BC131" s="926"/>
      <c r="BD131" s="926"/>
      <c r="BE131" s="926"/>
      <c r="BF131" s="926"/>
      <c r="BG131" s="926"/>
      <c r="BH131" s="926"/>
      <c r="BI131" s="926"/>
      <c r="BJ131" s="926"/>
      <c r="BK131" s="926"/>
      <c r="BL131" s="926"/>
      <c r="BM131" s="926"/>
      <c r="BN131" s="926"/>
      <c r="BO131" s="926"/>
      <c r="BP131" s="926"/>
      <c r="BQ131" s="926"/>
      <c r="BR131" s="926"/>
      <c r="BS131" s="926"/>
      <c r="BT131" s="926"/>
      <c r="BU131" s="926"/>
      <c r="BV131" s="926"/>
      <c r="BW131" s="926"/>
      <c r="BX131" s="926"/>
      <c r="BY131" s="926"/>
      <c r="BZ131" s="926"/>
      <c r="CA131" s="926"/>
      <c r="CB131" s="926"/>
      <c r="CC131" s="926"/>
      <c r="CD131" s="926"/>
      <c r="CE131" s="926"/>
      <c r="CF131" s="926"/>
      <c r="CG131" s="926"/>
      <c r="CH131" s="926"/>
      <c r="CI131" s="926"/>
      <c r="CJ131" s="926"/>
      <c r="CK131" s="926"/>
      <c r="CL131" s="926"/>
      <c r="CM131" s="926"/>
      <c r="CN131" s="926"/>
      <c r="CO131" s="926"/>
      <c r="CP131" s="926"/>
      <c r="CQ131" s="926"/>
      <c r="CR131" s="926"/>
      <c r="CS131" s="926"/>
      <c r="CT131" s="926"/>
      <c r="CU131" s="926"/>
      <c r="CV131" s="926"/>
      <c r="CW131" s="926"/>
      <c r="CX131" s="926"/>
      <c r="CY131" s="926"/>
      <c r="CZ131" s="926"/>
      <c r="DA131" s="926"/>
      <c r="DB131" s="926"/>
      <c r="DC131" s="926"/>
      <c r="DD131" s="926"/>
      <c r="DE131" s="926"/>
      <c r="DF131" s="926"/>
      <c r="DG131" s="926"/>
      <c r="DH131" s="926"/>
      <c r="DI131" s="926"/>
      <c r="DJ131" s="926"/>
      <c r="DK131" s="926"/>
      <c r="DL131" s="926"/>
      <c r="DM131" s="926"/>
      <c r="DN131" s="926"/>
      <c r="DO131" s="926"/>
      <c r="DP131" s="926"/>
      <c r="DQ131" s="926"/>
      <c r="DR131" s="926"/>
      <c r="DS131" s="926"/>
      <c r="DT131" s="926"/>
      <c r="DU131" s="926"/>
      <c r="DV131" s="926"/>
      <c r="DW131" s="926"/>
      <c r="DX131" s="926"/>
      <c r="DY131" s="926"/>
      <c r="DZ131" s="926"/>
      <c r="EA131" s="926"/>
      <c r="EB131" s="926"/>
      <c r="EC131" s="926"/>
      <c r="ED131" s="926"/>
      <c r="EE131" s="926"/>
      <c r="EF131" s="926"/>
      <c r="EG131" s="926"/>
      <c r="EH131" s="926"/>
      <c r="EI131" s="926"/>
      <c r="EJ131" s="926"/>
      <c r="EK131" s="926"/>
      <c r="EL131" s="926"/>
      <c r="EM131" s="926"/>
      <c r="EN131" s="926"/>
      <c r="EO131" s="926"/>
      <c r="EP131" s="926"/>
      <c r="EQ131" s="926"/>
      <c r="ER131" s="926"/>
      <c r="ES131" s="926"/>
      <c r="ET131" s="926"/>
      <c r="EU131" s="926"/>
      <c r="EV131" s="926"/>
      <c r="EW131" s="926"/>
      <c r="EX131" s="926"/>
      <c r="EY131" s="926"/>
      <c r="EZ131" s="926"/>
      <c r="FA131" s="926"/>
      <c r="FB131" s="926"/>
      <c r="FC131" s="926"/>
      <c r="FD131" s="926"/>
      <c r="FE131" s="926"/>
      <c r="FF131" s="926"/>
      <c r="FG131" s="926"/>
      <c r="FH131" s="926"/>
      <c r="FI131" s="926"/>
      <c r="FJ131" s="926"/>
      <c r="FK131" s="926"/>
      <c r="FL131" s="926"/>
      <c r="FM131" s="926"/>
      <c r="FN131" s="926"/>
      <c r="FO131" s="926"/>
      <c r="FP131" s="926"/>
      <c r="FQ131" s="926"/>
      <c r="FR131" s="926"/>
      <c r="FS131" s="926"/>
      <c r="FT131" s="926"/>
      <c r="FU131" s="926"/>
      <c r="FV131" s="926"/>
      <c r="FW131" s="926"/>
      <c r="FX131" s="926"/>
      <c r="FY131" s="926"/>
      <c r="FZ131" s="926"/>
      <c r="GA131" s="926"/>
      <c r="GB131" s="926"/>
      <c r="GC131" s="926"/>
      <c r="GD131" s="926"/>
      <c r="GE131" s="926"/>
      <c r="GF131" s="926"/>
      <c r="GG131" s="926"/>
      <c r="GH131" s="926"/>
      <c r="GI131" s="926"/>
      <c r="GJ131" s="926"/>
      <c r="GK131" s="926"/>
      <c r="GL131" s="926"/>
      <c r="GM131" s="926"/>
      <c r="GN131" s="926"/>
      <c r="GO131" s="926"/>
      <c r="GP131" s="926"/>
      <c r="GQ131" s="926"/>
      <c r="GR131" s="926"/>
      <c r="GS131" s="926"/>
      <c r="GT131" s="926"/>
      <c r="GU131" s="926"/>
      <c r="GV131" s="926"/>
      <c r="GW131" s="926"/>
      <c r="GX131" s="926"/>
      <c r="GY131" s="926"/>
      <c r="GZ131" s="926"/>
      <c r="HA131" s="926"/>
      <c r="HB131" s="926"/>
      <c r="HC131" s="926"/>
      <c r="HD131" s="926"/>
      <c r="HE131" s="926"/>
      <c r="HF131" s="926"/>
      <c r="HG131" s="926"/>
      <c r="HH131" s="926"/>
      <c r="HI131" s="926"/>
      <c r="HJ131" s="926"/>
      <c r="HK131" s="926"/>
      <c r="HL131" s="926"/>
      <c r="HM131" s="926"/>
      <c r="HN131" s="926"/>
      <c r="HO131" s="926"/>
      <c r="HP131" s="926"/>
      <c r="HQ131" s="926"/>
      <c r="HR131" s="926"/>
      <c r="HS131" s="926"/>
      <c r="HT131" s="926"/>
      <c r="HU131" s="926"/>
      <c r="HV131" s="926"/>
      <c r="HW131" s="926"/>
      <c r="HX131" s="926"/>
      <c r="HY131" s="926"/>
      <c r="HZ131" s="926"/>
      <c r="IA131" s="926"/>
      <c r="IB131" s="926"/>
      <c r="IC131" s="926"/>
      <c r="ID131" s="926"/>
      <c r="IE131" s="926"/>
      <c r="IF131" s="926"/>
      <c r="IG131" s="926"/>
      <c r="IH131" s="926"/>
      <c r="II131" s="926"/>
      <c r="IJ131" s="926"/>
      <c r="IK131" s="926"/>
      <c r="IL131" s="926"/>
      <c r="IM131" s="926"/>
    </row>
    <row r="132" spans="1:247" x14ac:dyDescent="0.45">
      <c r="A132" s="441">
        <v>7130</v>
      </c>
      <c r="B132" s="939" t="s">
        <v>2667</v>
      </c>
      <c r="C132" s="47" t="s">
        <v>8</v>
      </c>
      <c r="D132" s="449" t="s">
        <v>2540</v>
      </c>
      <c r="E132" s="946"/>
      <c r="F132" s="941">
        <f t="shared" si="0"/>
        <v>1.0209999999999999</v>
      </c>
      <c r="G132" s="947"/>
      <c r="H132" s="946"/>
      <c r="I132" s="948"/>
      <c r="J132" s="948"/>
      <c r="K132" s="948"/>
      <c r="L132" s="948"/>
      <c r="M132" s="948"/>
      <c r="N132" s="947"/>
      <c r="O132" s="949"/>
      <c r="P132" s="946"/>
      <c r="Q132" s="947"/>
      <c r="R132" s="950">
        <f t="shared" si="1"/>
        <v>1.0209999999999999</v>
      </c>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926"/>
      <c r="AY132" s="926"/>
      <c r="AZ132" s="926"/>
      <c r="BA132" s="926"/>
      <c r="BB132" s="926"/>
      <c r="BC132" s="926"/>
      <c r="BD132" s="926"/>
      <c r="BE132" s="926"/>
      <c r="BF132" s="926"/>
      <c r="BG132" s="926"/>
      <c r="BH132" s="926"/>
      <c r="BI132" s="926"/>
      <c r="BJ132" s="926"/>
      <c r="BK132" s="926"/>
      <c r="BL132" s="926"/>
      <c r="BM132" s="926"/>
      <c r="BN132" s="926"/>
      <c r="BO132" s="926"/>
      <c r="BP132" s="926"/>
      <c r="BQ132" s="926"/>
      <c r="BR132" s="926"/>
      <c r="BS132" s="926"/>
      <c r="BT132" s="926"/>
      <c r="BU132" s="926"/>
      <c r="BV132" s="926"/>
      <c r="BW132" s="926"/>
      <c r="BX132" s="926"/>
      <c r="BY132" s="926"/>
      <c r="BZ132" s="926"/>
      <c r="CA132" s="926"/>
      <c r="CB132" s="926"/>
      <c r="CC132" s="926"/>
      <c r="CD132" s="926"/>
      <c r="CE132" s="926"/>
      <c r="CF132" s="926"/>
      <c r="CG132" s="926"/>
      <c r="CH132" s="926"/>
      <c r="CI132" s="926"/>
      <c r="CJ132" s="926"/>
      <c r="CK132" s="926"/>
      <c r="CL132" s="926"/>
      <c r="CM132" s="926"/>
      <c r="CN132" s="926"/>
      <c r="CO132" s="926"/>
      <c r="CP132" s="926"/>
      <c r="CQ132" s="926"/>
      <c r="CR132" s="926"/>
      <c r="CS132" s="926"/>
      <c r="CT132" s="926"/>
      <c r="CU132" s="926"/>
      <c r="CV132" s="926"/>
      <c r="CW132" s="926"/>
      <c r="CX132" s="926"/>
      <c r="CY132" s="926"/>
      <c r="CZ132" s="926"/>
      <c r="DA132" s="926"/>
      <c r="DB132" s="926"/>
      <c r="DC132" s="926"/>
      <c r="DD132" s="926"/>
      <c r="DE132" s="926"/>
      <c r="DF132" s="926"/>
      <c r="DG132" s="926"/>
      <c r="DH132" s="926"/>
      <c r="DI132" s="926"/>
      <c r="DJ132" s="926"/>
      <c r="DK132" s="926"/>
      <c r="DL132" s="926"/>
      <c r="DM132" s="926"/>
      <c r="DN132" s="926"/>
      <c r="DO132" s="926"/>
      <c r="DP132" s="926"/>
      <c r="DQ132" s="926"/>
      <c r="DR132" s="926"/>
      <c r="DS132" s="926"/>
      <c r="DT132" s="926"/>
      <c r="DU132" s="926"/>
      <c r="DV132" s="926"/>
      <c r="DW132" s="926"/>
      <c r="DX132" s="926"/>
      <c r="DY132" s="926"/>
      <c r="DZ132" s="926"/>
      <c r="EA132" s="926"/>
      <c r="EB132" s="926"/>
      <c r="EC132" s="926"/>
      <c r="ED132" s="926"/>
      <c r="EE132" s="926"/>
      <c r="EF132" s="926"/>
      <c r="EG132" s="926"/>
      <c r="EH132" s="926"/>
      <c r="EI132" s="926"/>
      <c r="EJ132" s="926"/>
      <c r="EK132" s="926"/>
      <c r="EL132" s="926"/>
      <c r="EM132" s="926"/>
      <c r="EN132" s="926"/>
      <c r="EO132" s="926"/>
      <c r="EP132" s="926"/>
      <c r="EQ132" s="926"/>
      <c r="ER132" s="926"/>
      <c r="ES132" s="926"/>
      <c r="ET132" s="926"/>
      <c r="EU132" s="926"/>
      <c r="EV132" s="926"/>
      <c r="EW132" s="926"/>
      <c r="EX132" s="926"/>
      <c r="EY132" s="926"/>
      <c r="EZ132" s="926"/>
      <c r="FA132" s="926"/>
      <c r="FB132" s="926"/>
      <c r="FC132" s="926"/>
      <c r="FD132" s="926"/>
      <c r="FE132" s="926"/>
      <c r="FF132" s="926"/>
      <c r="FG132" s="926"/>
      <c r="FH132" s="926"/>
      <c r="FI132" s="926"/>
      <c r="FJ132" s="926"/>
      <c r="FK132" s="926"/>
      <c r="FL132" s="926"/>
      <c r="FM132" s="926"/>
      <c r="FN132" s="926"/>
      <c r="FO132" s="926"/>
      <c r="FP132" s="926"/>
      <c r="FQ132" s="926"/>
      <c r="FR132" s="926"/>
      <c r="FS132" s="926"/>
      <c r="FT132" s="926"/>
      <c r="FU132" s="926"/>
      <c r="FV132" s="926"/>
      <c r="FW132" s="926"/>
      <c r="FX132" s="926"/>
      <c r="FY132" s="926"/>
      <c r="FZ132" s="926"/>
      <c r="GA132" s="926"/>
      <c r="GB132" s="926"/>
      <c r="GC132" s="926"/>
      <c r="GD132" s="926"/>
      <c r="GE132" s="926"/>
      <c r="GF132" s="926"/>
      <c r="GG132" s="926"/>
      <c r="GH132" s="926"/>
      <c r="GI132" s="926"/>
      <c r="GJ132" s="926"/>
      <c r="GK132" s="926"/>
      <c r="GL132" s="926"/>
      <c r="GM132" s="926"/>
      <c r="GN132" s="926"/>
      <c r="GO132" s="926"/>
      <c r="GP132" s="926"/>
      <c r="GQ132" s="926"/>
      <c r="GR132" s="926"/>
      <c r="GS132" s="926"/>
      <c r="GT132" s="926"/>
      <c r="GU132" s="926"/>
      <c r="GV132" s="926"/>
      <c r="GW132" s="926"/>
      <c r="GX132" s="926"/>
      <c r="GY132" s="926"/>
      <c r="GZ132" s="926"/>
      <c r="HA132" s="926"/>
      <c r="HB132" s="926"/>
      <c r="HC132" s="926"/>
      <c r="HD132" s="926"/>
      <c r="HE132" s="926"/>
      <c r="HF132" s="926"/>
      <c r="HG132" s="926"/>
      <c r="HH132" s="926"/>
      <c r="HI132" s="926"/>
      <c r="HJ132" s="926"/>
      <c r="HK132" s="926"/>
      <c r="HL132" s="926"/>
      <c r="HM132" s="926"/>
      <c r="HN132" s="926"/>
      <c r="HO132" s="926"/>
      <c r="HP132" s="926"/>
      <c r="HQ132" s="926"/>
      <c r="HR132" s="926"/>
      <c r="HS132" s="926"/>
      <c r="HT132" s="926"/>
      <c r="HU132" s="926"/>
      <c r="HV132" s="926"/>
      <c r="HW132" s="926"/>
      <c r="HX132" s="926"/>
      <c r="HY132" s="926"/>
      <c r="HZ132" s="926"/>
      <c r="IA132" s="926"/>
      <c r="IB132" s="926"/>
      <c r="IC132" s="926"/>
      <c r="ID132" s="926"/>
      <c r="IE132" s="926"/>
      <c r="IF132" s="926"/>
      <c r="IG132" s="926"/>
      <c r="IH132" s="926"/>
      <c r="II132" s="926"/>
      <c r="IJ132" s="926"/>
      <c r="IK132" s="926"/>
      <c r="IL132" s="926"/>
      <c r="IM132" s="926"/>
    </row>
    <row r="133" spans="1:247" x14ac:dyDescent="0.45">
      <c r="A133" s="441">
        <v>7141</v>
      </c>
      <c r="B133" s="939" t="s">
        <v>2668</v>
      </c>
      <c r="C133" s="47" t="s">
        <v>35</v>
      </c>
      <c r="D133" s="449" t="s">
        <v>2545</v>
      </c>
      <c r="E133" s="946"/>
      <c r="F133" s="941">
        <f t="shared" ref="F133:F203" si="29">+$F$3</f>
        <v>1.0209999999999999</v>
      </c>
      <c r="G133" s="947"/>
      <c r="H133" s="946"/>
      <c r="I133" s="948"/>
      <c r="J133" s="948"/>
      <c r="K133" s="948"/>
      <c r="L133" s="948"/>
      <c r="M133" s="948"/>
      <c r="N133" s="947"/>
      <c r="O133" s="949"/>
      <c r="P133" s="946">
        <f>+$P$3</f>
        <v>1.032</v>
      </c>
      <c r="Q133" s="947">
        <f>+$Q$3</f>
        <v>1.0349999999999999</v>
      </c>
      <c r="R133" s="950">
        <f t="shared" ref="R133:R203" si="30">PRODUCT(E133:Q133)</f>
        <v>1.0905505199999999</v>
      </c>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6"/>
      <c r="AV133" s="926"/>
      <c r="AW133" s="926"/>
      <c r="AX133" s="926"/>
      <c r="AY133" s="926"/>
      <c r="AZ133" s="926"/>
      <c r="BA133" s="926"/>
      <c r="BB133" s="926"/>
      <c r="BC133" s="926"/>
      <c r="BD133" s="926"/>
      <c r="BE133" s="926"/>
      <c r="BF133" s="926"/>
      <c r="BG133" s="926"/>
      <c r="BH133" s="926"/>
      <c r="BI133" s="926"/>
      <c r="BJ133" s="926"/>
      <c r="BK133" s="926"/>
      <c r="BL133" s="926"/>
      <c r="BM133" s="926"/>
      <c r="BN133" s="926"/>
      <c r="BO133" s="926"/>
      <c r="BP133" s="926"/>
      <c r="BQ133" s="926"/>
      <c r="BR133" s="926"/>
      <c r="BS133" s="926"/>
      <c r="BT133" s="926"/>
      <c r="BU133" s="926"/>
      <c r="BV133" s="926"/>
      <c r="BW133" s="926"/>
      <c r="BX133" s="926"/>
      <c r="BY133" s="926"/>
      <c r="BZ133" s="926"/>
      <c r="CA133" s="926"/>
      <c r="CB133" s="926"/>
      <c r="CC133" s="926"/>
      <c r="CD133" s="926"/>
      <c r="CE133" s="926"/>
      <c r="CF133" s="926"/>
      <c r="CG133" s="926"/>
      <c r="CH133" s="926"/>
      <c r="CI133" s="926"/>
      <c r="CJ133" s="926"/>
      <c r="CK133" s="926"/>
      <c r="CL133" s="926"/>
      <c r="CM133" s="926"/>
      <c r="CN133" s="926"/>
      <c r="CO133" s="926"/>
      <c r="CP133" s="926"/>
      <c r="CQ133" s="926"/>
      <c r="CR133" s="926"/>
      <c r="CS133" s="926"/>
      <c r="CT133" s="926"/>
      <c r="CU133" s="926"/>
      <c r="CV133" s="926"/>
      <c r="CW133" s="926"/>
      <c r="CX133" s="926"/>
      <c r="CY133" s="926"/>
      <c r="CZ133" s="926"/>
      <c r="DA133" s="926"/>
      <c r="DB133" s="926"/>
      <c r="DC133" s="926"/>
      <c r="DD133" s="926"/>
      <c r="DE133" s="926"/>
      <c r="DF133" s="926"/>
      <c r="DG133" s="926"/>
      <c r="DH133" s="926"/>
      <c r="DI133" s="926"/>
      <c r="DJ133" s="926"/>
      <c r="DK133" s="926"/>
      <c r="DL133" s="926"/>
      <c r="DM133" s="926"/>
      <c r="DN133" s="926"/>
      <c r="DO133" s="926"/>
      <c r="DP133" s="926"/>
      <c r="DQ133" s="926"/>
      <c r="DR133" s="926"/>
      <c r="DS133" s="926"/>
      <c r="DT133" s="926"/>
      <c r="DU133" s="926"/>
      <c r="DV133" s="926"/>
      <c r="DW133" s="926"/>
      <c r="DX133" s="926"/>
      <c r="DY133" s="926"/>
      <c r="DZ133" s="926"/>
      <c r="EA133" s="926"/>
      <c r="EB133" s="926"/>
      <c r="EC133" s="926"/>
      <c r="ED133" s="926"/>
      <c r="EE133" s="926"/>
      <c r="EF133" s="926"/>
      <c r="EG133" s="926"/>
      <c r="EH133" s="926"/>
      <c r="EI133" s="926"/>
      <c r="EJ133" s="926"/>
      <c r="EK133" s="926"/>
      <c r="EL133" s="926"/>
      <c r="EM133" s="926"/>
      <c r="EN133" s="926"/>
      <c r="EO133" s="926"/>
      <c r="EP133" s="926"/>
      <c r="EQ133" s="926"/>
      <c r="ER133" s="926"/>
      <c r="ES133" s="926"/>
      <c r="ET133" s="926"/>
      <c r="EU133" s="926"/>
      <c r="EV133" s="926"/>
      <c r="EW133" s="926"/>
      <c r="EX133" s="926"/>
      <c r="EY133" s="926"/>
      <c r="EZ133" s="926"/>
      <c r="FA133" s="926"/>
      <c r="FB133" s="926"/>
      <c r="FC133" s="926"/>
      <c r="FD133" s="926"/>
      <c r="FE133" s="926"/>
      <c r="FF133" s="926"/>
      <c r="FG133" s="926"/>
      <c r="FH133" s="926"/>
      <c r="FI133" s="926"/>
      <c r="FJ133" s="926"/>
      <c r="FK133" s="926"/>
      <c r="FL133" s="926"/>
      <c r="FM133" s="926"/>
      <c r="FN133" s="926"/>
      <c r="FO133" s="926"/>
      <c r="FP133" s="926"/>
      <c r="FQ133" s="926"/>
      <c r="FR133" s="926"/>
      <c r="FS133" s="926"/>
      <c r="FT133" s="926"/>
      <c r="FU133" s="926"/>
      <c r="FV133" s="926"/>
      <c r="FW133" s="926"/>
      <c r="FX133" s="926"/>
      <c r="FY133" s="926"/>
      <c r="FZ133" s="926"/>
      <c r="GA133" s="926"/>
      <c r="GB133" s="926"/>
      <c r="GC133" s="926"/>
      <c r="GD133" s="926"/>
      <c r="GE133" s="926"/>
      <c r="GF133" s="926"/>
      <c r="GG133" s="926"/>
      <c r="GH133" s="926"/>
      <c r="GI133" s="926"/>
      <c r="GJ133" s="926"/>
      <c r="GK133" s="926"/>
      <c r="GL133" s="926"/>
      <c r="GM133" s="926"/>
      <c r="GN133" s="926"/>
      <c r="GO133" s="926"/>
      <c r="GP133" s="926"/>
      <c r="GQ133" s="926"/>
      <c r="GR133" s="926"/>
      <c r="GS133" s="926"/>
      <c r="GT133" s="926"/>
      <c r="GU133" s="926"/>
      <c r="GV133" s="926"/>
      <c r="GW133" s="926"/>
      <c r="GX133" s="926"/>
      <c r="GY133" s="926"/>
      <c r="GZ133" s="926"/>
      <c r="HA133" s="926"/>
      <c r="HB133" s="926"/>
      <c r="HC133" s="926"/>
      <c r="HD133" s="926"/>
      <c r="HE133" s="926"/>
      <c r="HF133" s="926"/>
      <c r="HG133" s="926"/>
      <c r="HH133" s="926"/>
      <c r="HI133" s="926"/>
      <c r="HJ133" s="926"/>
      <c r="HK133" s="926"/>
      <c r="HL133" s="926"/>
      <c r="HM133" s="926"/>
      <c r="HN133" s="926"/>
      <c r="HO133" s="926"/>
      <c r="HP133" s="926"/>
      <c r="HQ133" s="926"/>
      <c r="HR133" s="926"/>
      <c r="HS133" s="926"/>
      <c r="HT133" s="926"/>
      <c r="HU133" s="926"/>
      <c r="HV133" s="926"/>
      <c r="HW133" s="926"/>
      <c r="HX133" s="926"/>
      <c r="HY133" s="926"/>
      <c r="HZ133" s="926"/>
      <c r="IA133" s="926"/>
      <c r="IB133" s="926"/>
      <c r="IC133" s="926"/>
      <c r="ID133" s="926"/>
      <c r="IE133" s="926"/>
      <c r="IF133" s="926"/>
      <c r="IG133" s="926"/>
      <c r="IH133" s="926"/>
      <c r="II133" s="926"/>
      <c r="IJ133" s="926"/>
      <c r="IK133" s="926"/>
      <c r="IL133" s="926"/>
      <c r="IM133" s="926"/>
    </row>
    <row r="134" spans="1:247" x14ac:dyDescent="0.45">
      <c r="A134" s="441">
        <v>7142</v>
      </c>
      <c r="B134" s="939" t="s">
        <v>2669</v>
      </c>
      <c r="C134" s="47" t="s">
        <v>35</v>
      </c>
      <c r="D134" s="449" t="s">
        <v>2545</v>
      </c>
      <c r="E134" s="946"/>
      <c r="F134" s="941">
        <f t="shared" si="29"/>
        <v>1.0209999999999999</v>
      </c>
      <c r="G134" s="947"/>
      <c r="H134" s="946"/>
      <c r="I134" s="948"/>
      <c r="J134" s="948"/>
      <c r="K134" s="948"/>
      <c r="L134" s="948"/>
      <c r="M134" s="948"/>
      <c r="N134" s="947"/>
      <c r="O134" s="949"/>
      <c r="P134" s="946"/>
      <c r="Q134" s="947"/>
      <c r="R134" s="950">
        <f t="shared" si="30"/>
        <v>1.0209999999999999</v>
      </c>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6"/>
      <c r="AV134" s="926"/>
      <c r="AW134" s="926"/>
      <c r="AX134" s="926"/>
      <c r="AY134" s="926"/>
      <c r="AZ134" s="926"/>
      <c r="BA134" s="926"/>
      <c r="BB134" s="926"/>
      <c r="BC134" s="926"/>
      <c r="BD134" s="926"/>
      <c r="BE134" s="926"/>
      <c r="BF134" s="926"/>
      <c r="BG134" s="926"/>
      <c r="BH134" s="926"/>
      <c r="BI134" s="926"/>
      <c r="BJ134" s="926"/>
      <c r="BK134" s="926"/>
      <c r="BL134" s="926"/>
      <c r="BM134" s="926"/>
      <c r="BN134" s="926"/>
      <c r="BO134" s="926"/>
      <c r="BP134" s="926"/>
      <c r="BQ134" s="926"/>
      <c r="BR134" s="926"/>
      <c r="BS134" s="926"/>
      <c r="BT134" s="926"/>
      <c r="BU134" s="926"/>
      <c r="BV134" s="926"/>
      <c r="BW134" s="926"/>
      <c r="BX134" s="926"/>
      <c r="BY134" s="926"/>
      <c r="BZ134" s="926"/>
      <c r="CA134" s="926"/>
      <c r="CB134" s="926"/>
      <c r="CC134" s="926"/>
      <c r="CD134" s="926"/>
      <c r="CE134" s="926"/>
      <c r="CF134" s="926"/>
      <c r="CG134" s="926"/>
      <c r="CH134" s="926"/>
      <c r="CI134" s="926"/>
      <c r="CJ134" s="926"/>
      <c r="CK134" s="926"/>
      <c r="CL134" s="926"/>
      <c r="CM134" s="926"/>
      <c r="CN134" s="926"/>
      <c r="CO134" s="926"/>
      <c r="CP134" s="926"/>
      <c r="CQ134" s="926"/>
      <c r="CR134" s="926"/>
      <c r="CS134" s="926"/>
      <c r="CT134" s="926"/>
      <c r="CU134" s="926"/>
      <c r="CV134" s="926"/>
      <c r="CW134" s="926"/>
      <c r="CX134" s="926"/>
      <c r="CY134" s="926"/>
      <c r="CZ134" s="926"/>
      <c r="DA134" s="926"/>
      <c r="DB134" s="926"/>
      <c r="DC134" s="926"/>
      <c r="DD134" s="926"/>
      <c r="DE134" s="926"/>
      <c r="DF134" s="926"/>
      <c r="DG134" s="926"/>
      <c r="DH134" s="926"/>
      <c r="DI134" s="926"/>
      <c r="DJ134" s="926"/>
      <c r="DK134" s="926"/>
      <c r="DL134" s="926"/>
      <c r="DM134" s="926"/>
      <c r="DN134" s="926"/>
      <c r="DO134" s="926"/>
      <c r="DP134" s="926"/>
      <c r="DQ134" s="926"/>
      <c r="DR134" s="926"/>
      <c r="DS134" s="926"/>
      <c r="DT134" s="926"/>
      <c r="DU134" s="926"/>
      <c r="DV134" s="926"/>
      <c r="DW134" s="926"/>
      <c r="DX134" s="926"/>
      <c r="DY134" s="926"/>
      <c r="DZ134" s="926"/>
      <c r="EA134" s="926"/>
      <c r="EB134" s="926"/>
      <c r="EC134" s="926"/>
      <c r="ED134" s="926"/>
      <c r="EE134" s="926"/>
      <c r="EF134" s="926"/>
      <c r="EG134" s="926"/>
      <c r="EH134" s="926"/>
      <c r="EI134" s="926"/>
      <c r="EJ134" s="926"/>
      <c r="EK134" s="926"/>
      <c r="EL134" s="926"/>
      <c r="EM134" s="926"/>
      <c r="EN134" s="926"/>
      <c r="EO134" s="926"/>
      <c r="EP134" s="926"/>
      <c r="EQ134" s="926"/>
      <c r="ER134" s="926"/>
      <c r="ES134" s="926"/>
      <c r="ET134" s="926"/>
      <c r="EU134" s="926"/>
      <c r="EV134" s="926"/>
      <c r="EW134" s="926"/>
      <c r="EX134" s="926"/>
      <c r="EY134" s="926"/>
      <c r="EZ134" s="926"/>
      <c r="FA134" s="926"/>
      <c r="FB134" s="926"/>
      <c r="FC134" s="926"/>
      <c r="FD134" s="926"/>
      <c r="FE134" s="926"/>
      <c r="FF134" s="926"/>
      <c r="FG134" s="926"/>
      <c r="FH134" s="926"/>
      <c r="FI134" s="926"/>
      <c r="FJ134" s="926"/>
      <c r="FK134" s="926"/>
      <c r="FL134" s="926"/>
      <c r="FM134" s="926"/>
      <c r="FN134" s="926"/>
      <c r="FO134" s="926"/>
      <c r="FP134" s="926"/>
      <c r="FQ134" s="926"/>
      <c r="FR134" s="926"/>
      <c r="FS134" s="926"/>
      <c r="FT134" s="926"/>
      <c r="FU134" s="926"/>
      <c r="FV134" s="926"/>
      <c r="FW134" s="926"/>
      <c r="FX134" s="926"/>
      <c r="FY134" s="926"/>
      <c r="FZ134" s="926"/>
      <c r="GA134" s="926"/>
      <c r="GB134" s="926"/>
      <c r="GC134" s="926"/>
      <c r="GD134" s="926"/>
      <c r="GE134" s="926"/>
      <c r="GF134" s="926"/>
      <c r="GG134" s="926"/>
      <c r="GH134" s="926"/>
      <c r="GI134" s="926"/>
      <c r="GJ134" s="926"/>
      <c r="GK134" s="926"/>
      <c r="GL134" s="926"/>
      <c r="GM134" s="926"/>
      <c r="GN134" s="926"/>
      <c r="GO134" s="926"/>
      <c r="GP134" s="926"/>
      <c r="GQ134" s="926"/>
      <c r="GR134" s="926"/>
      <c r="GS134" s="926"/>
      <c r="GT134" s="926"/>
      <c r="GU134" s="926"/>
      <c r="GV134" s="926"/>
      <c r="GW134" s="926"/>
      <c r="GX134" s="926"/>
      <c r="GY134" s="926"/>
      <c r="GZ134" s="926"/>
      <c r="HA134" s="926"/>
      <c r="HB134" s="926"/>
      <c r="HC134" s="926"/>
      <c r="HD134" s="926"/>
      <c r="HE134" s="926"/>
      <c r="HF134" s="926"/>
      <c r="HG134" s="926"/>
      <c r="HH134" s="926"/>
      <c r="HI134" s="926"/>
      <c r="HJ134" s="926"/>
      <c r="HK134" s="926"/>
      <c r="HL134" s="926"/>
      <c r="HM134" s="926"/>
      <c r="HN134" s="926"/>
      <c r="HO134" s="926"/>
      <c r="HP134" s="926"/>
      <c r="HQ134" s="926"/>
      <c r="HR134" s="926"/>
      <c r="HS134" s="926"/>
      <c r="HT134" s="926"/>
      <c r="HU134" s="926"/>
      <c r="HV134" s="926"/>
      <c r="HW134" s="926"/>
      <c r="HX134" s="926"/>
      <c r="HY134" s="926"/>
      <c r="HZ134" s="926"/>
      <c r="IA134" s="926"/>
      <c r="IB134" s="926"/>
      <c r="IC134" s="926"/>
      <c r="ID134" s="926"/>
      <c r="IE134" s="926"/>
      <c r="IF134" s="926"/>
      <c r="IG134" s="926"/>
      <c r="IH134" s="926"/>
      <c r="II134" s="926"/>
      <c r="IJ134" s="926"/>
      <c r="IK134" s="926"/>
      <c r="IL134" s="926"/>
      <c r="IM134" s="926"/>
    </row>
    <row r="135" spans="1:247" x14ac:dyDescent="0.45">
      <c r="A135" s="441">
        <v>7143</v>
      </c>
      <c r="B135" s="939" t="s">
        <v>2670</v>
      </c>
      <c r="C135" s="47" t="s">
        <v>35</v>
      </c>
      <c r="D135" s="449" t="s">
        <v>2545</v>
      </c>
      <c r="E135" s="946"/>
      <c r="F135" s="941">
        <f t="shared" si="29"/>
        <v>1.0209999999999999</v>
      </c>
      <c r="G135" s="947"/>
      <c r="H135" s="946"/>
      <c r="I135" s="948"/>
      <c r="J135" s="948"/>
      <c r="K135" s="948"/>
      <c r="L135" s="948"/>
      <c r="M135" s="948"/>
      <c r="N135" s="947"/>
      <c r="O135" s="949"/>
      <c r="P135" s="946"/>
      <c r="Q135" s="947"/>
      <c r="R135" s="950">
        <f t="shared" si="30"/>
        <v>1.0209999999999999</v>
      </c>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6"/>
      <c r="AV135" s="926"/>
      <c r="AW135" s="926"/>
      <c r="AX135" s="926"/>
      <c r="AY135" s="926"/>
      <c r="AZ135" s="926"/>
      <c r="BA135" s="926"/>
      <c r="BB135" s="926"/>
      <c r="BC135" s="926"/>
      <c r="BD135" s="926"/>
      <c r="BE135" s="926"/>
      <c r="BF135" s="926"/>
      <c r="BG135" s="926"/>
      <c r="BH135" s="926"/>
      <c r="BI135" s="926"/>
      <c r="BJ135" s="926"/>
      <c r="BK135" s="926"/>
      <c r="BL135" s="926"/>
      <c r="BM135" s="926"/>
      <c r="BN135" s="926"/>
      <c r="BO135" s="926"/>
      <c r="BP135" s="926"/>
      <c r="BQ135" s="926"/>
      <c r="BR135" s="926"/>
      <c r="BS135" s="926"/>
      <c r="BT135" s="926"/>
      <c r="BU135" s="926"/>
      <c r="BV135" s="926"/>
      <c r="BW135" s="926"/>
      <c r="BX135" s="926"/>
      <c r="BY135" s="926"/>
      <c r="BZ135" s="926"/>
      <c r="CA135" s="926"/>
      <c r="CB135" s="926"/>
      <c r="CC135" s="926"/>
      <c r="CD135" s="926"/>
      <c r="CE135" s="926"/>
      <c r="CF135" s="926"/>
      <c r="CG135" s="926"/>
      <c r="CH135" s="926"/>
      <c r="CI135" s="926"/>
      <c r="CJ135" s="926"/>
      <c r="CK135" s="926"/>
      <c r="CL135" s="926"/>
      <c r="CM135" s="926"/>
      <c r="CN135" s="926"/>
      <c r="CO135" s="926"/>
      <c r="CP135" s="926"/>
      <c r="CQ135" s="926"/>
      <c r="CR135" s="926"/>
      <c r="CS135" s="926"/>
      <c r="CT135" s="926"/>
      <c r="CU135" s="926"/>
      <c r="CV135" s="926"/>
      <c r="CW135" s="926"/>
      <c r="CX135" s="926"/>
      <c r="CY135" s="926"/>
      <c r="CZ135" s="926"/>
      <c r="DA135" s="926"/>
      <c r="DB135" s="926"/>
      <c r="DC135" s="926"/>
      <c r="DD135" s="926"/>
      <c r="DE135" s="926"/>
      <c r="DF135" s="926"/>
      <c r="DG135" s="926"/>
      <c r="DH135" s="926"/>
      <c r="DI135" s="926"/>
      <c r="DJ135" s="926"/>
      <c r="DK135" s="926"/>
      <c r="DL135" s="926"/>
      <c r="DM135" s="926"/>
      <c r="DN135" s="926"/>
      <c r="DO135" s="926"/>
      <c r="DP135" s="926"/>
      <c r="DQ135" s="926"/>
      <c r="DR135" s="926"/>
      <c r="DS135" s="926"/>
      <c r="DT135" s="926"/>
      <c r="DU135" s="926"/>
      <c r="DV135" s="926"/>
      <c r="DW135" s="926"/>
      <c r="DX135" s="926"/>
      <c r="DY135" s="926"/>
      <c r="DZ135" s="926"/>
      <c r="EA135" s="926"/>
      <c r="EB135" s="926"/>
      <c r="EC135" s="926"/>
      <c r="ED135" s="926"/>
      <c r="EE135" s="926"/>
      <c r="EF135" s="926"/>
      <c r="EG135" s="926"/>
      <c r="EH135" s="926"/>
      <c r="EI135" s="926"/>
      <c r="EJ135" s="926"/>
      <c r="EK135" s="926"/>
      <c r="EL135" s="926"/>
      <c r="EM135" s="926"/>
      <c r="EN135" s="926"/>
      <c r="EO135" s="926"/>
      <c r="EP135" s="926"/>
      <c r="EQ135" s="926"/>
      <c r="ER135" s="926"/>
      <c r="ES135" s="926"/>
      <c r="ET135" s="926"/>
      <c r="EU135" s="926"/>
      <c r="EV135" s="926"/>
      <c r="EW135" s="926"/>
      <c r="EX135" s="926"/>
      <c r="EY135" s="926"/>
      <c r="EZ135" s="926"/>
      <c r="FA135" s="926"/>
      <c r="FB135" s="926"/>
      <c r="FC135" s="926"/>
      <c r="FD135" s="926"/>
      <c r="FE135" s="926"/>
      <c r="FF135" s="926"/>
      <c r="FG135" s="926"/>
      <c r="FH135" s="926"/>
      <c r="FI135" s="926"/>
      <c r="FJ135" s="926"/>
      <c r="FK135" s="926"/>
      <c r="FL135" s="926"/>
      <c r="FM135" s="926"/>
      <c r="FN135" s="926"/>
      <c r="FO135" s="926"/>
      <c r="FP135" s="926"/>
      <c r="FQ135" s="926"/>
      <c r="FR135" s="926"/>
      <c r="FS135" s="926"/>
      <c r="FT135" s="926"/>
      <c r="FU135" s="926"/>
      <c r="FV135" s="926"/>
      <c r="FW135" s="926"/>
      <c r="FX135" s="926"/>
      <c r="FY135" s="926"/>
      <c r="FZ135" s="926"/>
      <c r="GA135" s="926"/>
      <c r="GB135" s="926"/>
      <c r="GC135" s="926"/>
      <c r="GD135" s="926"/>
      <c r="GE135" s="926"/>
      <c r="GF135" s="926"/>
      <c r="GG135" s="926"/>
      <c r="GH135" s="926"/>
      <c r="GI135" s="926"/>
      <c r="GJ135" s="926"/>
      <c r="GK135" s="926"/>
      <c r="GL135" s="926"/>
      <c r="GM135" s="926"/>
      <c r="GN135" s="926"/>
      <c r="GO135" s="926"/>
      <c r="GP135" s="926"/>
      <c r="GQ135" s="926"/>
      <c r="GR135" s="926"/>
      <c r="GS135" s="926"/>
      <c r="GT135" s="926"/>
      <c r="GU135" s="926"/>
      <c r="GV135" s="926"/>
      <c r="GW135" s="926"/>
      <c r="GX135" s="926"/>
      <c r="GY135" s="926"/>
      <c r="GZ135" s="926"/>
      <c r="HA135" s="926"/>
      <c r="HB135" s="926"/>
      <c r="HC135" s="926"/>
      <c r="HD135" s="926"/>
      <c r="HE135" s="926"/>
      <c r="HF135" s="926"/>
      <c r="HG135" s="926"/>
      <c r="HH135" s="926"/>
      <c r="HI135" s="926"/>
      <c r="HJ135" s="926"/>
      <c r="HK135" s="926"/>
      <c r="HL135" s="926"/>
      <c r="HM135" s="926"/>
      <c r="HN135" s="926"/>
      <c r="HO135" s="926"/>
      <c r="HP135" s="926"/>
      <c r="HQ135" s="926"/>
      <c r="HR135" s="926"/>
      <c r="HS135" s="926"/>
      <c r="HT135" s="926"/>
      <c r="HU135" s="926"/>
      <c r="HV135" s="926"/>
      <c r="HW135" s="926"/>
      <c r="HX135" s="926"/>
      <c r="HY135" s="926"/>
      <c r="HZ135" s="926"/>
      <c r="IA135" s="926"/>
      <c r="IB135" s="926"/>
      <c r="IC135" s="926"/>
      <c r="ID135" s="926"/>
      <c r="IE135" s="926"/>
      <c r="IF135" s="926"/>
      <c r="IG135" s="926"/>
      <c r="IH135" s="926"/>
      <c r="II135" s="926"/>
      <c r="IJ135" s="926"/>
      <c r="IK135" s="926"/>
      <c r="IL135" s="926"/>
      <c r="IM135" s="926"/>
    </row>
    <row r="136" spans="1:247" x14ac:dyDescent="0.45">
      <c r="A136" s="441">
        <v>7145</v>
      </c>
      <c r="B136" s="939" t="s">
        <v>2671</v>
      </c>
      <c r="C136" s="47" t="s">
        <v>35</v>
      </c>
      <c r="D136" s="449" t="s">
        <v>2545</v>
      </c>
      <c r="E136" s="946"/>
      <c r="F136" s="941">
        <f t="shared" si="29"/>
        <v>1.0209999999999999</v>
      </c>
      <c r="G136" s="947"/>
      <c r="H136" s="946"/>
      <c r="I136" s="948"/>
      <c r="J136" s="948"/>
      <c r="K136" s="948"/>
      <c r="L136" s="948"/>
      <c r="M136" s="948"/>
      <c r="N136" s="947"/>
      <c r="O136" s="949"/>
      <c r="P136" s="946"/>
      <c r="Q136" s="947"/>
      <c r="R136" s="950">
        <f t="shared" si="30"/>
        <v>1.0209999999999999</v>
      </c>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6"/>
      <c r="AV136" s="926"/>
      <c r="AW136" s="926"/>
      <c r="AX136" s="926"/>
      <c r="AY136" s="926"/>
      <c r="AZ136" s="926"/>
      <c r="BA136" s="926"/>
      <c r="BB136" s="926"/>
      <c r="BC136" s="926"/>
      <c r="BD136" s="926"/>
      <c r="BE136" s="926"/>
      <c r="BF136" s="926"/>
      <c r="BG136" s="926"/>
      <c r="BH136" s="926"/>
      <c r="BI136" s="926"/>
      <c r="BJ136" s="926"/>
      <c r="BK136" s="926"/>
      <c r="BL136" s="926"/>
      <c r="BM136" s="926"/>
      <c r="BN136" s="926"/>
      <c r="BO136" s="926"/>
      <c r="BP136" s="926"/>
      <c r="BQ136" s="926"/>
      <c r="BR136" s="926"/>
      <c r="BS136" s="926"/>
      <c r="BT136" s="926"/>
      <c r="BU136" s="926"/>
      <c r="BV136" s="926"/>
      <c r="BW136" s="926"/>
      <c r="BX136" s="926"/>
      <c r="BY136" s="926"/>
      <c r="BZ136" s="926"/>
      <c r="CA136" s="926"/>
      <c r="CB136" s="926"/>
      <c r="CC136" s="926"/>
      <c r="CD136" s="926"/>
      <c r="CE136" s="926"/>
      <c r="CF136" s="926"/>
      <c r="CG136" s="926"/>
      <c r="CH136" s="926"/>
      <c r="CI136" s="926"/>
      <c r="CJ136" s="926"/>
      <c r="CK136" s="926"/>
      <c r="CL136" s="926"/>
      <c r="CM136" s="926"/>
      <c r="CN136" s="926"/>
      <c r="CO136" s="926"/>
      <c r="CP136" s="926"/>
      <c r="CQ136" s="926"/>
      <c r="CR136" s="926"/>
      <c r="CS136" s="926"/>
      <c r="CT136" s="926"/>
      <c r="CU136" s="926"/>
      <c r="CV136" s="926"/>
      <c r="CW136" s="926"/>
      <c r="CX136" s="926"/>
      <c r="CY136" s="926"/>
      <c r="CZ136" s="926"/>
      <c r="DA136" s="926"/>
      <c r="DB136" s="926"/>
      <c r="DC136" s="926"/>
      <c r="DD136" s="926"/>
      <c r="DE136" s="926"/>
      <c r="DF136" s="926"/>
      <c r="DG136" s="926"/>
      <c r="DH136" s="926"/>
      <c r="DI136" s="926"/>
      <c r="DJ136" s="926"/>
      <c r="DK136" s="926"/>
      <c r="DL136" s="926"/>
      <c r="DM136" s="926"/>
      <c r="DN136" s="926"/>
      <c r="DO136" s="926"/>
      <c r="DP136" s="926"/>
      <c r="DQ136" s="926"/>
      <c r="DR136" s="926"/>
      <c r="DS136" s="926"/>
      <c r="DT136" s="926"/>
      <c r="DU136" s="926"/>
      <c r="DV136" s="926"/>
      <c r="DW136" s="926"/>
      <c r="DX136" s="926"/>
      <c r="DY136" s="926"/>
      <c r="DZ136" s="926"/>
      <c r="EA136" s="926"/>
      <c r="EB136" s="926"/>
      <c r="EC136" s="926"/>
      <c r="ED136" s="926"/>
      <c r="EE136" s="926"/>
      <c r="EF136" s="926"/>
      <c r="EG136" s="926"/>
      <c r="EH136" s="926"/>
      <c r="EI136" s="926"/>
      <c r="EJ136" s="926"/>
      <c r="EK136" s="926"/>
      <c r="EL136" s="926"/>
      <c r="EM136" s="926"/>
      <c r="EN136" s="926"/>
      <c r="EO136" s="926"/>
      <c r="EP136" s="926"/>
      <c r="EQ136" s="926"/>
      <c r="ER136" s="926"/>
      <c r="ES136" s="926"/>
      <c r="ET136" s="926"/>
      <c r="EU136" s="926"/>
      <c r="EV136" s="926"/>
      <c r="EW136" s="926"/>
      <c r="EX136" s="926"/>
      <c r="EY136" s="926"/>
      <c r="EZ136" s="926"/>
      <c r="FA136" s="926"/>
      <c r="FB136" s="926"/>
      <c r="FC136" s="926"/>
      <c r="FD136" s="926"/>
      <c r="FE136" s="926"/>
      <c r="FF136" s="926"/>
      <c r="FG136" s="926"/>
      <c r="FH136" s="926"/>
      <c r="FI136" s="926"/>
      <c r="FJ136" s="926"/>
      <c r="FK136" s="926"/>
      <c r="FL136" s="926"/>
      <c r="FM136" s="926"/>
      <c r="FN136" s="926"/>
      <c r="FO136" s="926"/>
      <c r="FP136" s="926"/>
      <c r="FQ136" s="926"/>
      <c r="FR136" s="926"/>
      <c r="FS136" s="926"/>
      <c r="FT136" s="926"/>
      <c r="FU136" s="926"/>
      <c r="FV136" s="926"/>
      <c r="FW136" s="926"/>
      <c r="FX136" s="926"/>
      <c r="FY136" s="926"/>
      <c r="FZ136" s="926"/>
      <c r="GA136" s="926"/>
      <c r="GB136" s="926"/>
      <c r="GC136" s="926"/>
      <c r="GD136" s="926"/>
      <c r="GE136" s="926"/>
      <c r="GF136" s="926"/>
      <c r="GG136" s="926"/>
      <c r="GH136" s="926"/>
      <c r="GI136" s="926"/>
      <c r="GJ136" s="926"/>
      <c r="GK136" s="926"/>
      <c r="GL136" s="926"/>
      <c r="GM136" s="926"/>
      <c r="GN136" s="926"/>
      <c r="GO136" s="926"/>
      <c r="GP136" s="926"/>
      <c r="GQ136" s="926"/>
      <c r="GR136" s="926"/>
      <c r="GS136" s="926"/>
      <c r="GT136" s="926"/>
      <c r="GU136" s="926"/>
      <c r="GV136" s="926"/>
      <c r="GW136" s="926"/>
      <c r="GX136" s="926"/>
      <c r="GY136" s="926"/>
      <c r="GZ136" s="926"/>
      <c r="HA136" s="926"/>
      <c r="HB136" s="926"/>
      <c r="HC136" s="926"/>
      <c r="HD136" s="926"/>
      <c r="HE136" s="926"/>
      <c r="HF136" s="926"/>
      <c r="HG136" s="926"/>
      <c r="HH136" s="926"/>
      <c r="HI136" s="926"/>
      <c r="HJ136" s="926"/>
      <c r="HK136" s="926"/>
      <c r="HL136" s="926"/>
      <c r="HM136" s="926"/>
      <c r="HN136" s="926"/>
      <c r="HO136" s="926"/>
      <c r="HP136" s="926"/>
      <c r="HQ136" s="926"/>
      <c r="HR136" s="926"/>
      <c r="HS136" s="926"/>
      <c r="HT136" s="926"/>
      <c r="HU136" s="926"/>
      <c r="HV136" s="926"/>
      <c r="HW136" s="926"/>
      <c r="HX136" s="926"/>
      <c r="HY136" s="926"/>
      <c r="HZ136" s="926"/>
      <c r="IA136" s="926"/>
      <c r="IB136" s="926"/>
      <c r="IC136" s="926"/>
      <c r="ID136" s="926"/>
      <c r="IE136" s="926"/>
      <c r="IF136" s="926"/>
      <c r="IG136" s="926"/>
      <c r="IH136" s="926"/>
      <c r="II136" s="926"/>
      <c r="IJ136" s="926"/>
      <c r="IK136" s="926"/>
      <c r="IL136" s="926"/>
      <c r="IM136" s="926"/>
    </row>
    <row r="137" spans="1:247" x14ac:dyDescent="0.45">
      <c r="A137" s="441">
        <v>7147</v>
      </c>
      <c r="B137" s="939" t="s">
        <v>2672</v>
      </c>
      <c r="C137" s="47" t="s">
        <v>35</v>
      </c>
      <c r="D137" s="449" t="s">
        <v>2537</v>
      </c>
      <c r="E137" s="946"/>
      <c r="F137" s="941">
        <f t="shared" si="29"/>
        <v>1.0209999999999999</v>
      </c>
      <c r="G137" s="947"/>
      <c r="H137" s="946"/>
      <c r="I137" s="948"/>
      <c r="J137" s="948"/>
      <c r="K137" s="948"/>
      <c r="L137" s="948"/>
      <c r="M137" s="948"/>
      <c r="N137" s="947"/>
      <c r="O137" s="949"/>
      <c r="P137" s="946">
        <f>+$P$3</f>
        <v>1.032</v>
      </c>
      <c r="Q137" s="947">
        <f>+$Q$3</f>
        <v>1.0349999999999999</v>
      </c>
      <c r="R137" s="950">
        <f t="shared" si="30"/>
        <v>1.0905505199999999</v>
      </c>
      <c r="S137" s="926"/>
      <c r="T137" s="926"/>
      <c r="U137" s="926"/>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6"/>
      <c r="AV137" s="926"/>
      <c r="AW137" s="926"/>
      <c r="AX137" s="926"/>
      <c r="AY137" s="926"/>
      <c r="AZ137" s="926"/>
      <c r="BA137" s="926"/>
      <c r="BB137" s="926"/>
      <c r="BC137" s="926"/>
      <c r="BD137" s="926"/>
      <c r="BE137" s="926"/>
      <c r="BF137" s="926"/>
      <c r="BG137" s="926"/>
      <c r="BH137" s="926"/>
      <c r="BI137" s="926"/>
      <c r="BJ137" s="926"/>
      <c r="BK137" s="926"/>
      <c r="BL137" s="926"/>
      <c r="BM137" s="926"/>
      <c r="BN137" s="926"/>
      <c r="BO137" s="926"/>
      <c r="BP137" s="926"/>
      <c r="BQ137" s="926"/>
      <c r="BR137" s="926"/>
      <c r="BS137" s="926"/>
      <c r="BT137" s="926"/>
      <c r="BU137" s="926"/>
      <c r="BV137" s="926"/>
      <c r="BW137" s="926"/>
      <c r="BX137" s="926"/>
      <c r="BY137" s="926"/>
      <c r="BZ137" s="926"/>
      <c r="CA137" s="926"/>
      <c r="CB137" s="926"/>
      <c r="CC137" s="926"/>
      <c r="CD137" s="926"/>
      <c r="CE137" s="926"/>
      <c r="CF137" s="926"/>
      <c r="CG137" s="926"/>
      <c r="CH137" s="926"/>
      <c r="CI137" s="926"/>
      <c r="CJ137" s="926"/>
      <c r="CK137" s="926"/>
      <c r="CL137" s="926"/>
      <c r="CM137" s="926"/>
      <c r="CN137" s="926"/>
      <c r="CO137" s="926"/>
      <c r="CP137" s="926"/>
      <c r="CQ137" s="926"/>
      <c r="CR137" s="926"/>
      <c r="CS137" s="926"/>
      <c r="CT137" s="926"/>
      <c r="CU137" s="926"/>
      <c r="CV137" s="926"/>
      <c r="CW137" s="926"/>
      <c r="CX137" s="926"/>
      <c r="CY137" s="926"/>
      <c r="CZ137" s="926"/>
      <c r="DA137" s="926"/>
      <c r="DB137" s="926"/>
      <c r="DC137" s="926"/>
      <c r="DD137" s="926"/>
      <c r="DE137" s="926"/>
      <c r="DF137" s="926"/>
      <c r="DG137" s="926"/>
      <c r="DH137" s="926"/>
      <c r="DI137" s="926"/>
      <c r="DJ137" s="926"/>
      <c r="DK137" s="926"/>
      <c r="DL137" s="926"/>
      <c r="DM137" s="926"/>
      <c r="DN137" s="926"/>
      <c r="DO137" s="926"/>
      <c r="DP137" s="926"/>
      <c r="DQ137" s="926"/>
      <c r="DR137" s="926"/>
      <c r="DS137" s="926"/>
      <c r="DT137" s="926"/>
      <c r="DU137" s="926"/>
      <c r="DV137" s="926"/>
      <c r="DW137" s="926"/>
      <c r="DX137" s="926"/>
      <c r="DY137" s="926"/>
      <c r="DZ137" s="926"/>
      <c r="EA137" s="926"/>
      <c r="EB137" s="926"/>
      <c r="EC137" s="926"/>
      <c r="ED137" s="926"/>
      <c r="EE137" s="926"/>
      <c r="EF137" s="926"/>
      <c r="EG137" s="926"/>
      <c r="EH137" s="926"/>
      <c r="EI137" s="926"/>
      <c r="EJ137" s="926"/>
      <c r="EK137" s="926"/>
      <c r="EL137" s="926"/>
      <c r="EM137" s="926"/>
      <c r="EN137" s="926"/>
      <c r="EO137" s="926"/>
      <c r="EP137" s="926"/>
      <c r="EQ137" s="926"/>
      <c r="ER137" s="926"/>
      <c r="ES137" s="926"/>
      <c r="ET137" s="926"/>
      <c r="EU137" s="926"/>
      <c r="EV137" s="926"/>
      <c r="EW137" s="926"/>
      <c r="EX137" s="926"/>
      <c r="EY137" s="926"/>
      <c r="EZ137" s="926"/>
      <c r="FA137" s="926"/>
      <c r="FB137" s="926"/>
      <c r="FC137" s="926"/>
      <c r="FD137" s="926"/>
      <c r="FE137" s="926"/>
      <c r="FF137" s="926"/>
      <c r="FG137" s="926"/>
      <c r="FH137" s="926"/>
      <c r="FI137" s="926"/>
      <c r="FJ137" s="926"/>
      <c r="FK137" s="926"/>
      <c r="FL137" s="926"/>
      <c r="FM137" s="926"/>
      <c r="FN137" s="926"/>
      <c r="FO137" s="926"/>
      <c r="FP137" s="926"/>
      <c r="FQ137" s="926"/>
      <c r="FR137" s="926"/>
      <c r="FS137" s="926"/>
      <c r="FT137" s="926"/>
      <c r="FU137" s="926"/>
      <c r="FV137" s="926"/>
      <c r="FW137" s="926"/>
      <c r="FX137" s="926"/>
      <c r="FY137" s="926"/>
      <c r="FZ137" s="926"/>
      <c r="GA137" s="926"/>
      <c r="GB137" s="926"/>
      <c r="GC137" s="926"/>
      <c r="GD137" s="926"/>
      <c r="GE137" s="926"/>
      <c r="GF137" s="926"/>
      <c r="GG137" s="926"/>
      <c r="GH137" s="926"/>
      <c r="GI137" s="926"/>
      <c r="GJ137" s="926"/>
      <c r="GK137" s="926"/>
      <c r="GL137" s="926"/>
      <c r="GM137" s="926"/>
      <c r="GN137" s="926"/>
      <c r="GO137" s="926"/>
      <c r="GP137" s="926"/>
      <c r="GQ137" s="926"/>
      <c r="GR137" s="926"/>
      <c r="GS137" s="926"/>
      <c r="GT137" s="926"/>
      <c r="GU137" s="926"/>
      <c r="GV137" s="926"/>
      <c r="GW137" s="926"/>
      <c r="GX137" s="926"/>
      <c r="GY137" s="926"/>
      <c r="GZ137" s="926"/>
      <c r="HA137" s="926"/>
      <c r="HB137" s="926"/>
      <c r="HC137" s="926"/>
      <c r="HD137" s="926"/>
      <c r="HE137" s="926"/>
      <c r="HF137" s="926"/>
      <c r="HG137" s="926"/>
      <c r="HH137" s="926"/>
      <c r="HI137" s="926"/>
      <c r="HJ137" s="926"/>
      <c r="HK137" s="926"/>
      <c r="HL137" s="926"/>
      <c r="HM137" s="926"/>
      <c r="HN137" s="926"/>
      <c r="HO137" s="926"/>
      <c r="HP137" s="926"/>
      <c r="HQ137" s="926"/>
      <c r="HR137" s="926"/>
      <c r="HS137" s="926"/>
      <c r="HT137" s="926"/>
      <c r="HU137" s="926"/>
      <c r="HV137" s="926"/>
      <c r="HW137" s="926"/>
      <c r="HX137" s="926"/>
      <c r="HY137" s="926"/>
      <c r="HZ137" s="926"/>
      <c r="IA137" s="926"/>
      <c r="IB137" s="926"/>
      <c r="IC137" s="926"/>
      <c r="ID137" s="926"/>
      <c r="IE137" s="926"/>
      <c r="IF137" s="926"/>
      <c r="IG137" s="926"/>
      <c r="IH137" s="926"/>
      <c r="II137" s="926"/>
      <c r="IJ137" s="926"/>
      <c r="IK137" s="926"/>
      <c r="IL137" s="926"/>
      <c r="IM137" s="926"/>
    </row>
    <row r="138" spans="1:247" x14ac:dyDescent="0.45">
      <c r="A138" s="441">
        <v>7215</v>
      </c>
      <c r="B138" s="939" t="s">
        <v>2673</v>
      </c>
      <c r="C138" s="47" t="s">
        <v>35</v>
      </c>
      <c r="D138" s="449" t="s">
        <v>2545</v>
      </c>
      <c r="E138" s="946">
        <f>+$E$3</f>
        <v>1.0740000000000001</v>
      </c>
      <c r="F138" s="941">
        <f t="shared" si="29"/>
        <v>1.0209999999999999</v>
      </c>
      <c r="G138" s="947">
        <f>+$G$3</f>
        <v>1.0269999999999999</v>
      </c>
      <c r="H138" s="946">
        <f>+$H$3</f>
        <v>1.0029999999999999</v>
      </c>
      <c r="I138" s="948">
        <f>+$I$3</f>
        <v>1.0289999999999999</v>
      </c>
      <c r="J138" s="948">
        <f>+$J$3</f>
        <v>1.0049999999999999</v>
      </c>
      <c r="K138" s="948">
        <f>+$K$3</f>
        <v>1.026</v>
      </c>
      <c r="L138" s="948">
        <f>+$L$3</f>
        <v>1.0129999999999999</v>
      </c>
      <c r="M138" s="948">
        <f>+$M$3</f>
        <v>1.0029999999999999</v>
      </c>
      <c r="N138" s="947">
        <f>+$N$3</f>
        <v>1.0029999999999999</v>
      </c>
      <c r="O138" s="949">
        <f>+$O$3</f>
        <v>1.0209999999999999</v>
      </c>
      <c r="P138" s="946">
        <f>+$P$3</f>
        <v>1.032</v>
      </c>
      <c r="Q138" s="947">
        <f>+$Q$3</f>
        <v>1.0349999999999999</v>
      </c>
      <c r="R138" s="950">
        <f t="shared" si="30"/>
        <v>1.3319480854780448</v>
      </c>
      <c r="S138" s="926"/>
      <c r="T138" s="926"/>
      <c r="U138" s="926"/>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6"/>
      <c r="AV138" s="926"/>
      <c r="AW138" s="926"/>
      <c r="AX138" s="926"/>
      <c r="AY138" s="926"/>
      <c r="AZ138" s="926"/>
      <c r="BA138" s="926"/>
      <c r="BB138" s="926"/>
      <c r="BC138" s="926"/>
      <c r="BD138" s="926"/>
      <c r="BE138" s="926"/>
      <c r="BF138" s="926"/>
      <c r="BG138" s="926"/>
      <c r="BH138" s="926"/>
      <c r="BI138" s="926"/>
      <c r="BJ138" s="926"/>
      <c r="BK138" s="926"/>
      <c r="BL138" s="926"/>
      <c r="BM138" s="926"/>
      <c r="BN138" s="926"/>
      <c r="BO138" s="926"/>
      <c r="BP138" s="926"/>
      <c r="BQ138" s="926"/>
      <c r="BR138" s="926"/>
      <c r="BS138" s="926"/>
      <c r="BT138" s="926"/>
      <c r="BU138" s="926"/>
      <c r="BV138" s="926"/>
      <c r="BW138" s="926"/>
      <c r="BX138" s="926"/>
      <c r="BY138" s="926"/>
      <c r="BZ138" s="926"/>
      <c r="CA138" s="926"/>
      <c r="CB138" s="926"/>
      <c r="CC138" s="926"/>
      <c r="CD138" s="926"/>
      <c r="CE138" s="926"/>
      <c r="CF138" s="926"/>
      <c r="CG138" s="926"/>
      <c r="CH138" s="926"/>
      <c r="CI138" s="926"/>
      <c r="CJ138" s="926"/>
      <c r="CK138" s="926"/>
      <c r="CL138" s="926"/>
      <c r="CM138" s="926"/>
      <c r="CN138" s="926"/>
      <c r="CO138" s="926"/>
      <c r="CP138" s="926"/>
      <c r="CQ138" s="926"/>
      <c r="CR138" s="926"/>
      <c r="CS138" s="926"/>
      <c r="CT138" s="926"/>
      <c r="CU138" s="926"/>
      <c r="CV138" s="926"/>
      <c r="CW138" s="926"/>
      <c r="CX138" s="926"/>
      <c r="CY138" s="926"/>
      <c r="CZ138" s="926"/>
      <c r="DA138" s="926"/>
      <c r="DB138" s="926"/>
      <c r="DC138" s="926"/>
      <c r="DD138" s="926"/>
      <c r="DE138" s="926"/>
      <c r="DF138" s="926"/>
      <c r="DG138" s="926"/>
      <c r="DH138" s="926"/>
      <c r="DI138" s="926"/>
      <c r="DJ138" s="926"/>
      <c r="DK138" s="926"/>
      <c r="DL138" s="926"/>
      <c r="DM138" s="926"/>
      <c r="DN138" s="926"/>
      <c r="DO138" s="926"/>
      <c r="DP138" s="926"/>
      <c r="DQ138" s="926"/>
      <c r="DR138" s="926"/>
      <c r="DS138" s="926"/>
      <c r="DT138" s="926"/>
      <c r="DU138" s="926"/>
      <c r="DV138" s="926"/>
      <c r="DW138" s="926"/>
      <c r="DX138" s="926"/>
      <c r="DY138" s="926"/>
      <c r="DZ138" s="926"/>
      <c r="EA138" s="926"/>
      <c r="EB138" s="926"/>
      <c r="EC138" s="926"/>
      <c r="ED138" s="926"/>
      <c r="EE138" s="926"/>
      <c r="EF138" s="926"/>
      <c r="EG138" s="926"/>
      <c r="EH138" s="926"/>
      <c r="EI138" s="926"/>
      <c r="EJ138" s="926"/>
      <c r="EK138" s="926"/>
      <c r="EL138" s="926"/>
      <c r="EM138" s="926"/>
      <c r="EN138" s="926"/>
      <c r="EO138" s="926"/>
      <c r="EP138" s="926"/>
      <c r="EQ138" s="926"/>
      <c r="ER138" s="926"/>
      <c r="ES138" s="926"/>
      <c r="ET138" s="926"/>
      <c r="EU138" s="926"/>
      <c r="EV138" s="926"/>
      <c r="EW138" s="926"/>
      <c r="EX138" s="926"/>
      <c r="EY138" s="926"/>
      <c r="EZ138" s="926"/>
      <c r="FA138" s="926"/>
      <c r="FB138" s="926"/>
      <c r="FC138" s="926"/>
      <c r="FD138" s="926"/>
      <c r="FE138" s="926"/>
      <c r="FF138" s="926"/>
      <c r="FG138" s="926"/>
      <c r="FH138" s="926"/>
      <c r="FI138" s="926"/>
      <c r="FJ138" s="926"/>
      <c r="FK138" s="926"/>
      <c r="FL138" s="926"/>
      <c r="FM138" s="926"/>
      <c r="FN138" s="926"/>
      <c r="FO138" s="926"/>
      <c r="FP138" s="926"/>
      <c r="FQ138" s="926"/>
      <c r="FR138" s="926"/>
      <c r="FS138" s="926"/>
      <c r="FT138" s="926"/>
      <c r="FU138" s="926"/>
      <c r="FV138" s="926"/>
      <c r="FW138" s="926"/>
      <c r="FX138" s="926"/>
      <c r="FY138" s="926"/>
      <c r="FZ138" s="926"/>
      <c r="GA138" s="926"/>
      <c r="GB138" s="926"/>
      <c r="GC138" s="926"/>
      <c r="GD138" s="926"/>
      <c r="GE138" s="926"/>
      <c r="GF138" s="926"/>
      <c r="GG138" s="926"/>
      <c r="GH138" s="926"/>
      <c r="GI138" s="926"/>
      <c r="GJ138" s="926"/>
      <c r="GK138" s="926"/>
      <c r="GL138" s="926"/>
      <c r="GM138" s="926"/>
      <c r="GN138" s="926"/>
      <c r="GO138" s="926"/>
      <c r="GP138" s="926"/>
      <c r="GQ138" s="926"/>
      <c r="GR138" s="926"/>
      <c r="GS138" s="926"/>
      <c r="GT138" s="926"/>
      <c r="GU138" s="926"/>
      <c r="GV138" s="926"/>
      <c r="GW138" s="926"/>
      <c r="GX138" s="926"/>
      <c r="GY138" s="926"/>
      <c r="GZ138" s="926"/>
      <c r="HA138" s="926"/>
      <c r="HB138" s="926"/>
      <c r="HC138" s="926"/>
      <c r="HD138" s="926"/>
      <c r="HE138" s="926"/>
      <c r="HF138" s="926"/>
      <c r="HG138" s="926"/>
      <c r="HH138" s="926"/>
      <c r="HI138" s="926"/>
      <c r="HJ138" s="926"/>
      <c r="HK138" s="926"/>
      <c r="HL138" s="926"/>
      <c r="HM138" s="926"/>
      <c r="HN138" s="926"/>
      <c r="HO138" s="926"/>
      <c r="HP138" s="926"/>
      <c r="HQ138" s="926"/>
      <c r="HR138" s="926"/>
      <c r="HS138" s="926"/>
      <c r="HT138" s="926"/>
      <c r="HU138" s="926"/>
      <c r="HV138" s="926"/>
      <c r="HW138" s="926"/>
      <c r="HX138" s="926"/>
      <c r="HY138" s="926"/>
      <c r="HZ138" s="926"/>
      <c r="IA138" s="926"/>
      <c r="IB138" s="926"/>
      <c r="IC138" s="926"/>
      <c r="ID138" s="926"/>
      <c r="IE138" s="926"/>
      <c r="IF138" s="926"/>
      <c r="IG138" s="926"/>
      <c r="IH138" s="926"/>
      <c r="II138" s="926"/>
      <c r="IJ138" s="926"/>
      <c r="IK138" s="926"/>
      <c r="IL138" s="926"/>
      <c r="IM138" s="926"/>
    </row>
    <row r="139" spans="1:247" x14ac:dyDescent="0.45">
      <c r="A139" s="441">
        <v>7231</v>
      </c>
      <c r="B139" s="939" t="s">
        <v>2674</v>
      </c>
      <c r="C139" s="47" t="s">
        <v>35</v>
      </c>
      <c r="D139" s="449" t="s">
        <v>2545</v>
      </c>
      <c r="E139" s="946">
        <f>+$E$3</f>
        <v>1.0740000000000001</v>
      </c>
      <c r="F139" s="941">
        <f t="shared" si="29"/>
        <v>1.0209999999999999</v>
      </c>
      <c r="G139" s="947">
        <f>+$G$3</f>
        <v>1.0269999999999999</v>
      </c>
      <c r="H139" s="946"/>
      <c r="I139" s="948"/>
      <c r="J139" s="948"/>
      <c r="K139" s="948"/>
      <c r="L139" s="948"/>
      <c r="M139" s="948">
        <f>+$M$3</f>
        <v>1.0029999999999999</v>
      </c>
      <c r="N139" s="947"/>
      <c r="O139" s="949"/>
      <c r="P139" s="946"/>
      <c r="Q139" s="947">
        <f>+$Q$3</f>
        <v>1.0349999999999999</v>
      </c>
      <c r="R139" s="950">
        <f t="shared" si="30"/>
        <v>1.1690733213045894</v>
      </c>
      <c r="S139" s="926"/>
      <c r="T139" s="926"/>
      <c r="U139" s="926"/>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6"/>
      <c r="AV139" s="926"/>
      <c r="AW139" s="926"/>
      <c r="AX139" s="926"/>
      <c r="AY139" s="926"/>
      <c r="AZ139" s="926"/>
      <c r="BA139" s="926"/>
      <c r="BB139" s="926"/>
      <c r="BC139" s="926"/>
      <c r="BD139" s="926"/>
      <c r="BE139" s="926"/>
      <c r="BF139" s="926"/>
      <c r="BG139" s="926"/>
      <c r="BH139" s="926"/>
      <c r="BI139" s="926"/>
      <c r="BJ139" s="926"/>
      <c r="BK139" s="926"/>
      <c r="BL139" s="926"/>
      <c r="BM139" s="926"/>
      <c r="BN139" s="926"/>
      <c r="BO139" s="926"/>
      <c r="BP139" s="926"/>
      <c r="BQ139" s="926"/>
      <c r="BR139" s="926"/>
      <c r="BS139" s="926"/>
      <c r="BT139" s="926"/>
      <c r="BU139" s="926"/>
      <c r="BV139" s="926"/>
      <c r="BW139" s="926"/>
      <c r="BX139" s="926"/>
      <c r="BY139" s="926"/>
      <c r="BZ139" s="926"/>
      <c r="CA139" s="926"/>
      <c r="CB139" s="926"/>
      <c r="CC139" s="926"/>
      <c r="CD139" s="926"/>
      <c r="CE139" s="926"/>
      <c r="CF139" s="926"/>
      <c r="CG139" s="926"/>
      <c r="CH139" s="926"/>
      <c r="CI139" s="926"/>
      <c r="CJ139" s="926"/>
      <c r="CK139" s="926"/>
      <c r="CL139" s="926"/>
      <c r="CM139" s="926"/>
      <c r="CN139" s="926"/>
      <c r="CO139" s="926"/>
      <c r="CP139" s="926"/>
      <c r="CQ139" s="926"/>
      <c r="CR139" s="926"/>
      <c r="CS139" s="926"/>
      <c r="CT139" s="926"/>
      <c r="CU139" s="926"/>
      <c r="CV139" s="926"/>
      <c r="CW139" s="926"/>
      <c r="CX139" s="926"/>
      <c r="CY139" s="926"/>
      <c r="CZ139" s="926"/>
      <c r="DA139" s="926"/>
      <c r="DB139" s="926"/>
      <c r="DC139" s="926"/>
      <c r="DD139" s="926"/>
      <c r="DE139" s="926"/>
      <c r="DF139" s="926"/>
      <c r="DG139" s="926"/>
      <c r="DH139" s="926"/>
      <c r="DI139" s="926"/>
      <c r="DJ139" s="926"/>
      <c r="DK139" s="926"/>
      <c r="DL139" s="926"/>
      <c r="DM139" s="926"/>
      <c r="DN139" s="926"/>
      <c r="DO139" s="926"/>
      <c r="DP139" s="926"/>
      <c r="DQ139" s="926"/>
      <c r="DR139" s="926"/>
      <c r="DS139" s="926"/>
      <c r="DT139" s="926"/>
      <c r="DU139" s="926"/>
      <c r="DV139" s="926"/>
      <c r="DW139" s="926"/>
      <c r="DX139" s="926"/>
      <c r="DY139" s="926"/>
      <c r="DZ139" s="926"/>
      <c r="EA139" s="926"/>
      <c r="EB139" s="926"/>
      <c r="EC139" s="926"/>
      <c r="ED139" s="926"/>
      <c r="EE139" s="926"/>
      <c r="EF139" s="926"/>
      <c r="EG139" s="926"/>
      <c r="EH139" s="926"/>
      <c r="EI139" s="926"/>
      <c r="EJ139" s="926"/>
      <c r="EK139" s="926"/>
      <c r="EL139" s="926"/>
      <c r="EM139" s="926"/>
      <c r="EN139" s="926"/>
      <c r="EO139" s="926"/>
      <c r="EP139" s="926"/>
      <c r="EQ139" s="926"/>
      <c r="ER139" s="926"/>
      <c r="ES139" s="926"/>
      <c r="ET139" s="926"/>
      <c r="EU139" s="926"/>
      <c r="EV139" s="926"/>
      <c r="EW139" s="926"/>
      <c r="EX139" s="926"/>
      <c r="EY139" s="926"/>
      <c r="EZ139" s="926"/>
      <c r="FA139" s="926"/>
      <c r="FB139" s="926"/>
      <c r="FC139" s="926"/>
      <c r="FD139" s="926"/>
      <c r="FE139" s="926"/>
      <c r="FF139" s="926"/>
      <c r="FG139" s="926"/>
      <c r="FH139" s="926"/>
      <c r="FI139" s="926"/>
      <c r="FJ139" s="926"/>
      <c r="FK139" s="926"/>
      <c r="FL139" s="926"/>
      <c r="FM139" s="926"/>
      <c r="FN139" s="926"/>
      <c r="FO139" s="926"/>
      <c r="FP139" s="926"/>
      <c r="FQ139" s="926"/>
      <c r="FR139" s="926"/>
      <c r="FS139" s="926"/>
      <c r="FT139" s="926"/>
      <c r="FU139" s="926"/>
      <c r="FV139" s="926"/>
      <c r="FW139" s="926"/>
      <c r="FX139" s="926"/>
      <c r="FY139" s="926"/>
      <c r="FZ139" s="926"/>
      <c r="GA139" s="926"/>
      <c r="GB139" s="926"/>
      <c r="GC139" s="926"/>
      <c r="GD139" s="926"/>
      <c r="GE139" s="926"/>
      <c r="GF139" s="926"/>
      <c r="GG139" s="926"/>
      <c r="GH139" s="926"/>
      <c r="GI139" s="926"/>
      <c r="GJ139" s="926"/>
      <c r="GK139" s="926"/>
      <c r="GL139" s="926"/>
      <c r="GM139" s="926"/>
      <c r="GN139" s="926"/>
      <c r="GO139" s="926"/>
      <c r="GP139" s="926"/>
      <c r="GQ139" s="926"/>
      <c r="GR139" s="926"/>
      <c r="GS139" s="926"/>
      <c r="GT139" s="926"/>
      <c r="GU139" s="926"/>
      <c r="GV139" s="926"/>
      <c r="GW139" s="926"/>
      <c r="GX139" s="926"/>
      <c r="GY139" s="926"/>
      <c r="GZ139" s="926"/>
      <c r="HA139" s="926"/>
      <c r="HB139" s="926"/>
      <c r="HC139" s="926"/>
      <c r="HD139" s="926"/>
      <c r="HE139" s="926"/>
      <c r="HF139" s="926"/>
      <c r="HG139" s="926"/>
      <c r="HH139" s="926"/>
      <c r="HI139" s="926"/>
      <c r="HJ139" s="926"/>
      <c r="HK139" s="926"/>
      <c r="HL139" s="926"/>
      <c r="HM139" s="926"/>
      <c r="HN139" s="926"/>
      <c r="HO139" s="926"/>
      <c r="HP139" s="926"/>
      <c r="HQ139" s="926"/>
      <c r="HR139" s="926"/>
      <c r="HS139" s="926"/>
      <c r="HT139" s="926"/>
      <c r="HU139" s="926"/>
      <c r="HV139" s="926"/>
      <c r="HW139" s="926"/>
      <c r="HX139" s="926"/>
      <c r="HY139" s="926"/>
      <c r="HZ139" s="926"/>
      <c r="IA139" s="926"/>
      <c r="IB139" s="926"/>
      <c r="IC139" s="926"/>
      <c r="ID139" s="926"/>
      <c r="IE139" s="926"/>
      <c r="IF139" s="926"/>
      <c r="IG139" s="926"/>
      <c r="IH139" s="926"/>
      <c r="II139" s="926"/>
      <c r="IJ139" s="926"/>
      <c r="IK139" s="926"/>
      <c r="IL139" s="926"/>
      <c r="IM139" s="926"/>
    </row>
    <row r="140" spans="1:247" x14ac:dyDescent="0.45">
      <c r="A140" s="441">
        <v>7232</v>
      </c>
      <c r="B140" s="939" t="s">
        <v>2675</v>
      </c>
      <c r="C140" s="47" t="s">
        <v>35</v>
      </c>
      <c r="D140" s="449" t="s">
        <v>2545</v>
      </c>
      <c r="E140" s="946"/>
      <c r="F140" s="941">
        <f t="shared" si="29"/>
        <v>1.0209999999999999</v>
      </c>
      <c r="G140" s="947"/>
      <c r="H140" s="946">
        <f>+$H$3</f>
        <v>1.0029999999999999</v>
      </c>
      <c r="I140" s="948"/>
      <c r="J140" s="948"/>
      <c r="K140" s="948"/>
      <c r="L140" s="948"/>
      <c r="M140" s="948"/>
      <c r="N140" s="947"/>
      <c r="O140" s="949"/>
      <c r="P140" s="946">
        <f>+$P$3</f>
        <v>1.032</v>
      </c>
      <c r="Q140" s="947">
        <f>+$Q$3</f>
        <v>1.0349999999999999</v>
      </c>
      <c r="R140" s="950">
        <f t="shared" si="30"/>
        <v>1.0938221715599996</v>
      </c>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AX140" s="926"/>
      <c r="AY140" s="926"/>
      <c r="AZ140" s="926"/>
      <c r="BA140" s="926"/>
      <c r="BB140" s="926"/>
      <c r="BC140" s="926"/>
      <c r="BD140" s="926"/>
      <c r="BE140" s="926"/>
      <c r="BF140" s="926"/>
      <c r="BG140" s="926"/>
      <c r="BH140" s="926"/>
      <c r="BI140" s="926"/>
      <c r="BJ140" s="926"/>
      <c r="BK140" s="926"/>
      <c r="BL140" s="926"/>
      <c r="BM140" s="926"/>
      <c r="BN140" s="926"/>
      <c r="BO140" s="926"/>
      <c r="BP140" s="926"/>
      <c r="BQ140" s="926"/>
      <c r="BR140" s="926"/>
      <c r="BS140" s="926"/>
      <c r="BT140" s="926"/>
      <c r="BU140" s="926"/>
      <c r="BV140" s="926"/>
      <c r="BW140" s="926"/>
      <c r="BX140" s="926"/>
      <c r="BY140" s="926"/>
      <c r="BZ140" s="926"/>
      <c r="CA140" s="926"/>
      <c r="CB140" s="926"/>
      <c r="CC140" s="926"/>
      <c r="CD140" s="926"/>
      <c r="CE140" s="926"/>
      <c r="CF140" s="926"/>
      <c r="CG140" s="926"/>
      <c r="CH140" s="926"/>
      <c r="CI140" s="926"/>
      <c r="CJ140" s="926"/>
      <c r="CK140" s="926"/>
      <c r="CL140" s="926"/>
      <c r="CM140" s="926"/>
      <c r="CN140" s="926"/>
      <c r="CO140" s="926"/>
      <c r="CP140" s="926"/>
      <c r="CQ140" s="926"/>
      <c r="CR140" s="926"/>
      <c r="CS140" s="926"/>
      <c r="CT140" s="926"/>
      <c r="CU140" s="926"/>
      <c r="CV140" s="926"/>
      <c r="CW140" s="926"/>
      <c r="CX140" s="926"/>
      <c r="CY140" s="926"/>
      <c r="CZ140" s="926"/>
      <c r="DA140" s="926"/>
      <c r="DB140" s="926"/>
      <c r="DC140" s="926"/>
      <c r="DD140" s="926"/>
      <c r="DE140" s="926"/>
      <c r="DF140" s="926"/>
      <c r="DG140" s="926"/>
      <c r="DH140" s="926"/>
      <c r="DI140" s="926"/>
      <c r="DJ140" s="926"/>
      <c r="DK140" s="926"/>
      <c r="DL140" s="926"/>
      <c r="DM140" s="926"/>
      <c r="DN140" s="926"/>
      <c r="DO140" s="926"/>
      <c r="DP140" s="926"/>
      <c r="DQ140" s="926"/>
      <c r="DR140" s="926"/>
      <c r="DS140" s="926"/>
      <c r="DT140" s="926"/>
      <c r="DU140" s="926"/>
      <c r="DV140" s="926"/>
      <c r="DW140" s="926"/>
      <c r="DX140" s="926"/>
      <c r="DY140" s="926"/>
      <c r="DZ140" s="926"/>
      <c r="EA140" s="926"/>
      <c r="EB140" s="926"/>
      <c r="EC140" s="926"/>
      <c r="ED140" s="926"/>
      <c r="EE140" s="926"/>
      <c r="EF140" s="926"/>
      <c r="EG140" s="926"/>
      <c r="EH140" s="926"/>
      <c r="EI140" s="926"/>
      <c r="EJ140" s="926"/>
      <c r="EK140" s="926"/>
      <c r="EL140" s="926"/>
      <c r="EM140" s="926"/>
      <c r="EN140" s="926"/>
      <c r="EO140" s="926"/>
      <c r="EP140" s="926"/>
      <c r="EQ140" s="926"/>
      <c r="ER140" s="926"/>
      <c r="ES140" s="926"/>
      <c r="ET140" s="926"/>
      <c r="EU140" s="926"/>
      <c r="EV140" s="926"/>
      <c r="EW140" s="926"/>
      <c r="EX140" s="926"/>
      <c r="EY140" s="926"/>
      <c r="EZ140" s="926"/>
      <c r="FA140" s="926"/>
      <c r="FB140" s="926"/>
      <c r="FC140" s="926"/>
      <c r="FD140" s="926"/>
      <c r="FE140" s="926"/>
      <c r="FF140" s="926"/>
      <c r="FG140" s="926"/>
      <c r="FH140" s="926"/>
      <c r="FI140" s="926"/>
      <c r="FJ140" s="926"/>
      <c r="FK140" s="926"/>
      <c r="FL140" s="926"/>
      <c r="FM140" s="926"/>
      <c r="FN140" s="926"/>
      <c r="FO140" s="926"/>
      <c r="FP140" s="926"/>
      <c r="FQ140" s="926"/>
      <c r="FR140" s="926"/>
      <c r="FS140" s="926"/>
      <c r="FT140" s="926"/>
      <c r="FU140" s="926"/>
      <c r="FV140" s="926"/>
      <c r="FW140" s="926"/>
      <c r="FX140" s="926"/>
      <c r="FY140" s="926"/>
      <c r="FZ140" s="926"/>
      <c r="GA140" s="926"/>
      <c r="GB140" s="926"/>
      <c r="GC140" s="926"/>
      <c r="GD140" s="926"/>
      <c r="GE140" s="926"/>
      <c r="GF140" s="926"/>
      <c r="GG140" s="926"/>
      <c r="GH140" s="926"/>
      <c r="GI140" s="926"/>
      <c r="GJ140" s="926"/>
      <c r="GK140" s="926"/>
      <c r="GL140" s="926"/>
      <c r="GM140" s="926"/>
      <c r="GN140" s="926"/>
      <c r="GO140" s="926"/>
      <c r="GP140" s="926"/>
      <c r="GQ140" s="926"/>
      <c r="GR140" s="926"/>
      <c r="GS140" s="926"/>
      <c r="GT140" s="926"/>
      <c r="GU140" s="926"/>
      <c r="GV140" s="926"/>
      <c r="GW140" s="926"/>
      <c r="GX140" s="926"/>
      <c r="GY140" s="926"/>
      <c r="GZ140" s="926"/>
      <c r="HA140" s="926"/>
      <c r="HB140" s="926"/>
      <c r="HC140" s="926"/>
      <c r="HD140" s="926"/>
      <c r="HE140" s="926"/>
      <c r="HF140" s="926"/>
      <c r="HG140" s="926"/>
      <c r="HH140" s="926"/>
      <c r="HI140" s="926"/>
      <c r="HJ140" s="926"/>
      <c r="HK140" s="926"/>
      <c r="HL140" s="926"/>
      <c r="HM140" s="926"/>
      <c r="HN140" s="926"/>
      <c r="HO140" s="926"/>
      <c r="HP140" s="926"/>
      <c r="HQ140" s="926"/>
      <c r="HR140" s="926"/>
      <c r="HS140" s="926"/>
      <c r="HT140" s="926"/>
      <c r="HU140" s="926"/>
      <c r="HV140" s="926"/>
      <c r="HW140" s="926"/>
      <c r="HX140" s="926"/>
      <c r="HY140" s="926"/>
      <c r="HZ140" s="926"/>
      <c r="IA140" s="926"/>
      <c r="IB140" s="926"/>
      <c r="IC140" s="926"/>
      <c r="ID140" s="926"/>
      <c r="IE140" s="926"/>
      <c r="IF140" s="926"/>
      <c r="IG140" s="926"/>
      <c r="IH140" s="926"/>
      <c r="II140" s="926"/>
      <c r="IJ140" s="926"/>
      <c r="IK140" s="926"/>
      <c r="IL140" s="926"/>
      <c r="IM140" s="926"/>
    </row>
    <row r="141" spans="1:247" x14ac:dyDescent="0.45">
      <c r="A141" s="441">
        <v>7233</v>
      </c>
      <c r="B141" s="939" t="s">
        <v>2676</v>
      </c>
      <c r="C141" s="47" t="s">
        <v>35</v>
      </c>
      <c r="D141" s="449" t="s">
        <v>2545</v>
      </c>
      <c r="E141" s="946"/>
      <c r="F141" s="941">
        <f t="shared" si="29"/>
        <v>1.0209999999999999</v>
      </c>
      <c r="G141" s="947">
        <f>+$G$3</f>
        <v>1.0269999999999999</v>
      </c>
      <c r="H141" s="946">
        <f>+$H$3</f>
        <v>1.0029999999999999</v>
      </c>
      <c r="I141" s="948"/>
      <c r="J141" s="948">
        <f>+$J$3</f>
        <v>1.0049999999999999</v>
      </c>
      <c r="K141" s="948"/>
      <c r="L141" s="948"/>
      <c r="M141" s="948"/>
      <c r="N141" s="947"/>
      <c r="O141" s="949"/>
      <c r="P141" s="946"/>
      <c r="Q141" s="947"/>
      <c r="R141" s="950">
        <f t="shared" si="30"/>
        <v>1.0569712645049996</v>
      </c>
      <c r="S141" s="926"/>
      <c r="T141" s="926"/>
      <c r="U141" s="926"/>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6"/>
      <c r="AV141" s="926"/>
      <c r="AW141" s="926"/>
      <c r="AX141" s="926"/>
      <c r="AY141" s="926"/>
      <c r="AZ141" s="926"/>
      <c r="BA141" s="926"/>
      <c r="BB141" s="926"/>
      <c r="BC141" s="926"/>
      <c r="BD141" s="926"/>
      <c r="BE141" s="926"/>
      <c r="BF141" s="926"/>
      <c r="BG141" s="926"/>
      <c r="BH141" s="926"/>
      <c r="BI141" s="926"/>
      <c r="BJ141" s="926"/>
      <c r="BK141" s="926"/>
      <c r="BL141" s="926"/>
      <c r="BM141" s="926"/>
      <c r="BN141" s="926"/>
      <c r="BO141" s="926"/>
      <c r="BP141" s="926"/>
      <c r="BQ141" s="926"/>
      <c r="BR141" s="926"/>
      <c r="BS141" s="926"/>
      <c r="BT141" s="926"/>
      <c r="BU141" s="926"/>
      <c r="BV141" s="926"/>
      <c r="BW141" s="926"/>
      <c r="BX141" s="926"/>
      <c r="BY141" s="926"/>
      <c r="BZ141" s="926"/>
      <c r="CA141" s="926"/>
      <c r="CB141" s="926"/>
      <c r="CC141" s="926"/>
      <c r="CD141" s="926"/>
      <c r="CE141" s="926"/>
      <c r="CF141" s="926"/>
      <c r="CG141" s="926"/>
      <c r="CH141" s="926"/>
      <c r="CI141" s="926"/>
      <c r="CJ141" s="926"/>
      <c r="CK141" s="926"/>
      <c r="CL141" s="926"/>
      <c r="CM141" s="926"/>
      <c r="CN141" s="926"/>
      <c r="CO141" s="926"/>
      <c r="CP141" s="926"/>
      <c r="CQ141" s="926"/>
      <c r="CR141" s="926"/>
      <c r="CS141" s="926"/>
      <c r="CT141" s="926"/>
      <c r="CU141" s="926"/>
      <c r="CV141" s="926"/>
      <c r="CW141" s="926"/>
      <c r="CX141" s="926"/>
      <c r="CY141" s="926"/>
      <c r="CZ141" s="926"/>
      <c r="DA141" s="926"/>
      <c r="DB141" s="926"/>
      <c r="DC141" s="926"/>
      <c r="DD141" s="926"/>
      <c r="DE141" s="926"/>
      <c r="DF141" s="926"/>
      <c r="DG141" s="926"/>
      <c r="DH141" s="926"/>
      <c r="DI141" s="926"/>
      <c r="DJ141" s="926"/>
      <c r="DK141" s="926"/>
      <c r="DL141" s="926"/>
      <c r="DM141" s="926"/>
      <c r="DN141" s="926"/>
      <c r="DO141" s="926"/>
      <c r="DP141" s="926"/>
      <c r="DQ141" s="926"/>
      <c r="DR141" s="926"/>
      <c r="DS141" s="926"/>
      <c r="DT141" s="926"/>
      <c r="DU141" s="926"/>
      <c r="DV141" s="926"/>
      <c r="DW141" s="926"/>
      <c r="DX141" s="926"/>
      <c r="DY141" s="926"/>
      <c r="DZ141" s="926"/>
      <c r="EA141" s="926"/>
      <c r="EB141" s="926"/>
      <c r="EC141" s="926"/>
      <c r="ED141" s="926"/>
      <c r="EE141" s="926"/>
      <c r="EF141" s="926"/>
      <c r="EG141" s="926"/>
      <c r="EH141" s="926"/>
      <c r="EI141" s="926"/>
      <c r="EJ141" s="926"/>
      <c r="EK141" s="926"/>
      <c r="EL141" s="926"/>
      <c r="EM141" s="926"/>
      <c r="EN141" s="926"/>
      <c r="EO141" s="926"/>
      <c r="EP141" s="926"/>
      <c r="EQ141" s="926"/>
      <c r="ER141" s="926"/>
      <c r="ES141" s="926"/>
      <c r="ET141" s="926"/>
      <c r="EU141" s="926"/>
      <c r="EV141" s="926"/>
      <c r="EW141" s="926"/>
      <c r="EX141" s="926"/>
      <c r="EY141" s="926"/>
      <c r="EZ141" s="926"/>
      <c r="FA141" s="926"/>
      <c r="FB141" s="926"/>
      <c r="FC141" s="926"/>
      <c r="FD141" s="926"/>
      <c r="FE141" s="926"/>
      <c r="FF141" s="926"/>
      <c r="FG141" s="926"/>
      <c r="FH141" s="926"/>
      <c r="FI141" s="926"/>
      <c r="FJ141" s="926"/>
      <c r="FK141" s="926"/>
      <c r="FL141" s="926"/>
      <c r="FM141" s="926"/>
      <c r="FN141" s="926"/>
      <c r="FO141" s="926"/>
      <c r="FP141" s="926"/>
      <c r="FQ141" s="926"/>
      <c r="FR141" s="926"/>
      <c r="FS141" s="926"/>
      <c r="FT141" s="926"/>
      <c r="FU141" s="926"/>
      <c r="FV141" s="926"/>
      <c r="FW141" s="926"/>
      <c r="FX141" s="926"/>
      <c r="FY141" s="926"/>
      <c r="FZ141" s="926"/>
      <c r="GA141" s="926"/>
      <c r="GB141" s="926"/>
      <c r="GC141" s="926"/>
      <c r="GD141" s="926"/>
      <c r="GE141" s="926"/>
      <c r="GF141" s="926"/>
      <c r="GG141" s="926"/>
      <c r="GH141" s="926"/>
      <c r="GI141" s="926"/>
      <c r="GJ141" s="926"/>
      <c r="GK141" s="926"/>
      <c r="GL141" s="926"/>
      <c r="GM141" s="926"/>
      <c r="GN141" s="926"/>
      <c r="GO141" s="926"/>
      <c r="GP141" s="926"/>
      <c r="GQ141" s="926"/>
      <c r="GR141" s="926"/>
      <c r="GS141" s="926"/>
      <c r="GT141" s="926"/>
      <c r="GU141" s="926"/>
      <c r="GV141" s="926"/>
      <c r="GW141" s="926"/>
      <c r="GX141" s="926"/>
      <c r="GY141" s="926"/>
      <c r="GZ141" s="926"/>
      <c r="HA141" s="926"/>
      <c r="HB141" s="926"/>
      <c r="HC141" s="926"/>
      <c r="HD141" s="926"/>
      <c r="HE141" s="926"/>
      <c r="HF141" s="926"/>
      <c r="HG141" s="926"/>
      <c r="HH141" s="926"/>
      <c r="HI141" s="926"/>
      <c r="HJ141" s="926"/>
      <c r="HK141" s="926"/>
      <c r="HL141" s="926"/>
      <c r="HM141" s="926"/>
      <c r="HN141" s="926"/>
      <c r="HO141" s="926"/>
      <c r="HP141" s="926"/>
      <c r="HQ141" s="926"/>
      <c r="HR141" s="926"/>
      <c r="HS141" s="926"/>
      <c r="HT141" s="926"/>
      <c r="HU141" s="926"/>
      <c r="HV141" s="926"/>
      <c r="HW141" s="926"/>
      <c r="HX141" s="926"/>
      <c r="HY141" s="926"/>
      <c r="HZ141" s="926"/>
      <c r="IA141" s="926"/>
      <c r="IB141" s="926"/>
      <c r="IC141" s="926"/>
      <c r="ID141" s="926"/>
      <c r="IE141" s="926"/>
      <c r="IF141" s="926"/>
      <c r="IG141" s="926"/>
      <c r="IH141" s="926"/>
      <c r="II141" s="926"/>
      <c r="IJ141" s="926"/>
      <c r="IK141" s="926"/>
      <c r="IL141" s="926"/>
      <c r="IM141" s="926"/>
    </row>
    <row r="142" spans="1:247" x14ac:dyDescent="0.45">
      <c r="A142" s="441">
        <v>7234</v>
      </c>
      <c r="B142" s="939" t="s">
        <v>2677</v>
      </c>
      <c r="C142" s="47" t="s">
        <v>35</v>
      </c>
      <c r="D142" s="449" t="s">
        <v>2545</v>
      </c>
      <c r="E142" s="946"/>
      <c r="F142" s="941">
        <f t="shared" si="29"/>
        <v>1.0209999999999999</v>
      </c>
      <c r="G142" s="947">
        <f>+$G$3</f>
        <v>1.0269999999999999</v>
      </c>
      <c r="H142" s="946"/>
      <c r="I142" s="948"/>
      <c r="J142" s="948"/>
      <c r="K142" s="948">
        <f>+$K$3</f>
        <v>1.026</v>
      </c>
      <c r="L142" s="948">
        <f>+$L$3</f>
        <v>1.0129999999999999</v>
      </c>
      <c r="M142" s="948"/>
      <c r="N142" s="947">
        <f>+$N$3</f>
        <v>1.0029999999999999</v>
      </c>
      <c r="O142" s="949"/>
      <c r="P142" s="946">
        <f>+$P$3</f>
        <v>1.032</v>
      </c>
      <c r="Q142" s="947">
        <f>+$Q$3</f>
        <v>1.0349999999999999</v>
      </c>
      <c r="R142" s="950">
        <f t="shared" si="30"/>
        <v>1.1675459237447372</v>
      </c>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AX142" s="926"/>
      <c r="AY142" s="926"/>
      <c r="AZ142" s="926"/>
      <c r="BA142" s="926"/>
      <c r="BB142" s="926"/>
      <c r="BC142" s="926"/>
      <c r="BD142" s="926"/>
      <c r="BE142" s="926"/>
      <c r="BF142" s="926"/>
      <c r="BG142" s="926"/>
      <c r="BH142" s="926"/>
      <c r="BI142" s="926"/>
      <c r="BJ142" s="926"/>
      <c r="BK142" s="926"/>
      <c r="BL142" s="926"/>
      <c r="BM142" s="926"/>
      <c r="BN142" s="926"/>
      <c r="BO142" s="926"/>
      <c r="BP142" s="926"/>
      <c r="BQ142" s="926"/>
      <c r="BR142" s="926"/>
      <c r="BS142" s="926"/>
      <c r="BT142" s="926"/>
      <c r="BU142" s="926"/>
      <c r="BV142" s="926"/>
      <c r="BW142" s="926"/>
      <c r="BX142" s="926"/>
      <c r="BY142" s="926"/>
      <c r="BZ142" s="926"/>
      <c r="CA142" s="926"/>
      <c r="CB142" s="926"/>
      <c r="CC142" s="926"/>
      <c r="CD142" s="926"/>
      <c r="CE142" s="926"/>
      <c r="CF142" s="926"/>
      <c r="CG142" s="926"/>
      <c r="CH142" s="926"/>
      <c r="CI142" s="926"/>
      <c r="CJ142" s="926"/>
      <c r="CK142" s="926"/>
      <c r="CL142" s="926"/>
      <c r="CM142" s="926"/>
      <c r="CN142" s="926"/>
      <c r="CO142" s="926"/>
      <c r="CP142" s="926"/>
      <c r="CQ142" s="926"/>
      <c r="CR142" s="926"/>
      <c r="CS142" s="926"/>
      <c r="CT142" s="926"/>
      <c r="CU142" s="926"/>
      <c r="CV142" s="926"/>
      <c r="CW142" s="926"/>
      <c r="CX142" s="926"/>
      <c r="CY142" s="926"/>
      <c r="CZ142" s="926"/>
      <c r="DA142" s="926"/>
      <c r="DB142" s="926"/>
      <c r="DC142" s="926"/>
      <c r="DD142" s="926"/>
      <c r="DE142" s="926"/>
      <c r="DF142" s="926"/>
      <c r="DG142" s="926"/>
      <c r="DH142" s="926"/>
      <c r="DI142" s="926"/>
      <c r="DJ142" s="926"/>
      <c r="DK142" s="926"/>
      <c r="DL142" s="926"/>
      <c r="DM142" s="926"/>
      <c r="DN142" s="926"/>
      <c r="DO142" s="926"/>
      <c r="DP142" s="926"/>
      <c r="DQ142" s="926"/>
      <c r="DR142" s="926"/>
      <c r="DS142" s="926"/>
      <c r="DT142" s="926"/>
      <c r="DU142" s="926"/>
      <c r="DV142" s="926"/>
      <c r="DW142" s="926"/>
      <c r="DX142" s="926"/>
      <c r="DY142" s="926"/>
      <c r="DZ142" s="926"/>
      <c r="EA142" s="926"/>
      <c r="EB142" s="926"/>
      <c r="EC142" s="926"/>
      <c r="ED142" s="926"/>
      <c r="EE142" s="926"/>
      <c r="EF142" s="926"/>
      <c r="EG142" s="926"/>
      <c r="EH142" s="926"/>
      <c r="EI142" s="926"/>
      <c r="EJ142" s="926"/>
      <c r="EK142" s="926"/>
      <c r="EL142" s="926"/>
      <c r="EM142" s="926"/>
      <c r="EN142" s="926"/>
      <c r="EO142" s="926"/>
      <c r="EP142" s="926"/>
      <c r="EQ142" s="926"/>
      <c r="ER142" s="926"/>
      <c r="ES142" s="926"/>
      <c r="ET142" s="926"/>
      <c r="EU142" s="926"/>
      <c r="EV142" s="926"/>
      <c r="EW142" s="926"/>
      <c r="EX142" s="926"/>
      <c r="EY142" s="926"/>
      <c r="EZ142" s="926"/>
      <c r="FA142" s="926"/>
      <c r="FB142" s="926"/>
      <c r="FC142" s="926"/>
      <c r="FD142" s="926"/>
      <c r="FE142" s="926"/>
      <c r="FF142" s="926"/>
      <c r="FG142" s="926"/>
      <c r="FH142" s="926"/>
      <c r="FI142" s="926"/>
      <c r="FJ142" s="926"/>
      <c r="FK142" s="926"/>
      <c r="FL142" s="926"/>
      <c r="FM142" s="926"/>
      <c r="FN142" s="926"/>
      <c r="FO142" s="926"/>
      <c r="FP142" s="926"/>
      <c r="FQ142" s="926"/>
      <c r="FR142" s="926"/>
      <c r="FS142" s="926"/>
      <c r="FT142" s="926"/>
      <c r="FU142" s="926"/>
      <c r="FV142" s="926"/>
      <c r="FW142" s="926"/>
      <c r="FX142" s="926"/>
      <c r="FY142" s="926"/>
      <c r="FZ142" s="926"/>
      <c r="GA142" s="926"/>
      <c r="GB142" s="926"/>
      <c r="GC142" s="926"/>
      <c r="GD142" s="926"/>
      <c r="GE142" s="926"/>
      <c r="GF142" s="926"/>
      <c r="GG142" s="926"/>
      <c r="GH142" s="926"/>
      <c r="GI142" s="926"/>
      <c r="GJ142" s="926"/>
      <c r="GK142" s="926"/>
      <c r="GL142" s="926"/>
      <c r="GM142" s="926"/>
      <c r="GN142" s="926"/>
      <c r="GO142" s="926"/>
      <c r="GP142" s="926"/>
      <c r="GQ142" s="926"/>
      <c r="GR142" s="926"/>
      <c r="GS142" s="926"/>
      <c r="GT142" s="926"/>
      <c r="GU142" s="926"/>
      <c r="GV142" s="926"/>
      <c r="GW142" s="926"/>
      <c r="GX142" s="926"/>
      <c r="GY142" s="926"/>
      <c r="GZ142" s="926"/>
      <c r="HA142" s="926"/>
      <c r="HB142" s="926"/>
      <c r="HC142" s="926"/>
      <c r="HD142" s="926"/>
      <c r="HE142" s="926"/>
      <c r="HF142" s="926"/>
      <c r="HG142" s="926"/>
      <c r="HH142" s="926"/>
      <c r="HI142" s="926"/>
      <c r="HJ142" s="926"/>
      <c r="HK142" s="926"/>
      <c r="HL142" s="926"/>
      <c r="HM142" s="926"/>
      <c r="HN142" s="926"/>
      <c r="HO142" s="926"/>
      <c r="HP142" s="926"/>
      <c r="HQ142" s="926"/>
      <c r="HR142" s="926"/>
      <c r="HS142" s="926"/>
      <c r="HT142" s="926"/>
      <c r="HU142" s="926"/>
      <c r="HV142" s="926"/>
      <c r="HW142" s="926"/>
      <c r="HX142" s="926"/>
      <c r="HY142" s="926"/>
      <c r="HZ142" s="926"/>
      <c r="IA142" s="926"/>
      <c r="IB142" s="926"/>
      <c r="IC142" s="926"/>
      <c r="ID142" s="926"/>
      <c r="IE142" s="926"/>
      <c r="IF142" s="926"/>
      <c r="IG142" s="926"/>
      <c r="IH142" s="926"/>
      <c r="II142" s="926"/>
      <c r="IJ142" s="926"/>
      <c r="IK142" s="926"/>
      <c r="IL142" s="926"/>
      <c r="IM142" s="926"/>
    </row>
    <row r="143" spans="1:247" x14ac:dyDescent="0.45">
      <c r="A143" s="441">
        <v>7235</v>
      </c>
      <c r="B143" s="939" t="s">
        <v>2678</v>
      </c>
      <c r="C143" s="47" t="s">
        <v>88</v>
      </c>
      <c r="D143" s="449" t="s">
        <v>2537</v>
      </c>
      <c r="E143" s="946"/>
      <c r="F143" s="941">
        <f t="shared" si="29"/>
        <v>1.0209999999999999</v>
      </c>
      <c r="G143" s="947"/>
      <c r="H143" s="946"/>
      <c r="I143" s="948"/>
      <c r="J143" s="948"/>
      <c r="K143" s="948"/>
      <c r="L143" s="948"/>
      <c r="M143" s="948"/>
      <c r="N143" s="947"/>
      <c r="O143" s="949"/>
      <c r="P143" s="946"/>
      <c r="Q143" s="947"/>
      <c r="R143" s="950">
        <f t="shared" si="30"/>
        <v>1.0209999999999999</v>
      </c>
      <c r="S143" s="926"/>
      <c r="T143" s="926"/>
      <c r="U143" s="926"/>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6"/>
      <c r="AV143" s="926"/>
      <c r="AW143" s="926"/>
      <c r="AX143" s="926"/>
      <c r="AY143" s="926"/>
      <c r="AZ143" s="926"/>
      <c r="BA143" s="926"/>
      <c r="BB143" s="926"/>
      <c r="BC143" s="926"/>
      <c r="BD143" s="926"/>
      <c r="BE143" s="926"/>
      <c r="BF143" s="926"/>
      <c r="BG143" s="926"/>
      <c r="BH143" s="926"/>
      <c r="BI143" s="926"/>
      <c r="BJ143" s="926"/>
      <c r="BK143" s="926"/>
      <c r="BL143" s="926"/>
      <c r="BM143" s="926"/>
      <c r="BN143" s="926"/>
      <c r="BO143" s="926"/>
      <c r="BP143" s="926"/>
      <c r="BQ143" s="926"/>
      <c r="BR143" s="926"/>
      <c r="BS143" s="926"/>
      <c r="BT143" s="926"/>
      <c r="BU143" s="926"/>
      <c r="BV143" s="926"/>
      <c r="BW143" s="926"/>
      <c r="BX143" s="926"/>
      <c r="BY143" s="926"/>
      <c r="BZ143" s="926"/>
      <c r="CA143" s="926"/>
      <c r="CB143" s="926"/>
      <c r="CC143" s="926"/>
      <c r="CD143" s="926"/>
      <c r="CE143" s="926"/>
      <c r="CF143" s="926"/>
      <c r="CG143" s="926"/>
      <c r="CH143" s="926"/>
      <c r="CI143" s="926"/>
      <c r="CJ143" s="926"/>
      <c r="CK143" s="926"/>
      <c r="CL143" s="926"/>
      <c r="CM143" s="926"/>
      <c r="CN143" s="926"/>
      <c r="CO143" s="926"/>
      <c r="CP143" s="926"/>
      <c r="CQ143" s="926"/>
      <c r="CR143" s="926"/>
      <c r="CS143" s="926"/>
      <c r="CT143" s="926"/>
      <c r="CU143" s="926"/>
      <c r="CV143" s="926"/>
      <c r="CW143" s="926"/>
      <c r="CX143" s="926"/>
      <c r="CY143" s="926"/>
      <c r="CZ143" s="926"/>
      <c r="DA143" s="926"/>
      <c r="DB143" s="926"/>
      <c r="DC143" s="926"/>
      <c r="DD143" s="926"/>
      <c r="DE143" s="926"/>
      <c r="DF143" s="926"/>
      <c r="DG143" s="926"/>
      <c r="DH143" s="926"/>
      <c r="DI143" s="926"/>
      <c r="DJ143" s="926"/>
      <c r="DK143" s="926"/>
      <c r="DL143" s="926"/>
      <c r="DM143" s="926"/>
      <c r="DN143" s="926"/>
      <c r="DO143" s="926"/>
      <c r="DP143" s="926"/>
      <c r="DQ143" s="926"/>
      <c r="DR143" s="926"/>
      <c r="DS143" s="926"/>
      <c r="DT143" s="926"/>
      <c r="DU143" s="926"/>
      <c r="DV143" s="926"/>
      <c r="DW143" s="926"/>
      <c r="DX143" s="926"/>
      <c r="DY143" s="926"/>
      <c r="DZ143" s="926"/>
      <c r="EA143" s="926"/>
      <c r="EB143" s="926"/>
      <c r="EC143" s="926"/>
      <c r="ED143" s="926"/>
      <c r="EE143" s="926"/>
      <c r="EF143" s="926"/>
      <c r="EG143" s="926"/>
      <c r="EH143" s="926"/>
      <c r="EI143" s="926"/>
      <c r="EJ143" s="926"/>
      <c r="EK143" s="926"/>
      <c r="EL143" s="926"/>
      <c r="EM143" s="926"/>
      <c r="EN143" s="926"/>
      <c r="EO143" s="926"/>
      <c r="EP143" s="926"/>
      <c r="EQ143" s="926"/>
      <c r="ER143" s="926"/>
      <c r="ES143" s="926"/>
      <c r="ET143" s="926"/>
      <c r="EU143" s="926"/>
      <c r="EV143" s="926"/>
      <c r="EW143" s="926"/>
      <c r="EX143" s="926"/>
      <c r="EY143" s="926"/>
      <c r="EZ143" s="926"/>
      <c r="FA143" s="926"/>
      <c r="FB143" s="926"/>
      <c r="FC143" s="926"/>
      <c r="FD143" s="926"/>
      <c r="FE143" s="926"/>
      <c r="FF143" s="926"/>
      <c r="FG143" s="926"/>
      <c r="FH143" s="926"/>
      <c r="FI143" s="926"/>
      <c r="FJ143" s="926"/>
      <c r="FK143" s="926"/>
      <c r="FL143" s="926"/>
      <c r="FM143" s="926"/>
      <c r="FN143" s="926"/>
      <c r="FO143" s="926"/>
      <c r="FP143" s="926"/>
      <c r="FQ143" s="926"/>
      <c r="FR143" s="926"/>
      <c r="FS143" s="926"/>
      <c r="FT143" s="926"/>
      <c r="FU143" s="926"/>
      <c r="FV143" s="926"/>
      <c r="FW143" s="926"/>
      <c r="FX143" s="926"/>
      <c r="FY143" s="926"/>
      <c r="FZ143" s="926"/>
      <c r="GA143" s="926"/>
      <c r="GB143" s="926"/>
      <c r="GC143" s="926"/>
      <c r="GD143" s="926"/>
      <c r="GE143" s="926"/>
      <c r="GF143" s="926"/>
      <c r="GG143" s="926"/>
      <c r="GH143" s="926"/>
      <c r="GI143" s="926"/>
      <c r="GJ143" s="926"/>
      <c r="GK143" s="926"/>
      <c r="GL143" s="926"/>
      <c r="GM143" s="926"/>
      <c r="GN143" s="926"/>
      <c r="GO143" s="926"/>
      <c r="GP143" s="926"/>
      <c r="GQ143" s="926"/>
      <c r="GR143" s="926"/>
      <c r="GS143" s="926"/>
      <c r="GT143" s="926"/>
      <c r="GU143" s="926"/>
      <c r="GV143" s="926"/>
      <c r="GW143" s="926"/>
      <c r="GX143" s="926"/>
      <c r="GY143" s="926"/>
      <c r="GZ143" s="926"/>
      <c r="HA143" s="926"/>
      <c r="HB143" s="926"/>
      <c r="HC143" s="926"/>
      <c r="HD143" s="926"/>
      <c r="HE143" s="926"/>
      <c r="HF143" s="926"/>
      <c r="HG143" s="926"/>
      <c r="HH143" s="926"/>
      <c r="HI143" s="926"/>
      <c r="HJ143" s="926"/>
      <c r="HK143" s="926"/>
      <c r="HL143" s="926"/>
      <c r="HM143" s="926"/>
      <c r="HN143" s="926"/>
      <c r="HO143" s="926"/>
      <c r="HP143" s="926"/>
      <c r="HQ143" s="926"/>
      <c r="HR143" s="926"/>
      <c r="HS143" s="926"/>
      <c r="HT143" s="926"/>
      <c r="HU143" s="926"/>
      <c r="HV143" s="926"/>
      <c r="HW143" s="926"/>
      <c r="HX143" s="926"/>
      <c r="HY143" s="926"/>
      <c r="HZ143" s="926"/>
      <c r="IA143" s="926"/>
      <c r="IB143" s="926"/>
      <c r="IC143" s="926"/>
      <c r="ID143" s="926"/>
      <c r="IE143" s="926"/>
      <c r="IF143" s="926"/>
      <c r="IG143" s="926"/>
      <c r="IH143" s="926"/>
      <c r="II143" s="926"/>
      <c r="IJ143" s="926"/>
      <c r="IK143" s="926"/>
      <c r="IL143" s="926"/>
      <c r="IM143" s="926"/>
    </row>
    <row r="144" spans="1:247" x14ac:dyDescent="0.45">
      <c r="A144" s="441">
        <v>7236</v>
      </c>
      <c r="B144" s="939" t="s">
        <v>2679</v>
      </c>
      <c r="C144" s="47" t="s">
        <v>35</v>
      </c>
      <c r="D144" s="449" t="s">
        <v>2537</v>
      </c>
      <c r="E144" s="946"/>
      <c r="F144" s="941">
        <f t="shared" si="29"/>
        <v>1.0209999999999999</v>
      </c>
      <c r="G144" s="947"/>
      <c r="H144" s="946"/>
      <c r="I144" s="948"/>
      <c r="J144" s="948"/>
      <c r="K144" s="948"/>
      <c r="L144" s="948"/>
      <c r="M144" s="948"/>
      <c r="N144" s="947"/>
      <c r="O144" s="949"/>
      <c r="P144" s="946">
        <f>+$P$3</f>
        <v>1.032</v>
      </c>
      <c r="Q144" s="947">
        <f>+$Q$3</f>
        <v>1.0349999999999999</v>
      </c>
      <c r="R144" s="950">
        <f>PRODUCT(E144:Q144)</f>
        <v>1.0905505199999999</v>
      </c>
      <c r="S144" s="926"/>
      <c r="T144" s="926"/>
      <c r="U144" s="926"/>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6"/>
      <c r="AV144" s="926"/>
      <c r="AW144" s="926"/>
      <c r="AX144" s="926"/>
      <c r="AY144" s="926"/>
      <c r="AZ144" s="926"/>
      <c r="BA144" s="926"/>
      <c r="BB144" s="926"/>
      <c r="BC144" s="926"/>
      <c r="BD144" s="926"/>
      <c r="BE144" s="926"/>
      <c r="BF144" s="926"/>
      <c r="BG144" s="926"/>
      <c r="BH144" s="926"/>
      <c r="BI144" s="926"/>
      <c r="BJ144" s="926"/>
      <c r="BK144" s="926"/>
      <c r="BL144" s="926"/>
      <c r="BM144" s="926"/>
      <c r="BN144" s="926"/>
      <c r="BO144" s="926"/>
      <c r="BP144" s="926"/>
      <c r="BQ144" s="926"/>
      <c r="BR144" s="926"/>
      <c r="BS144" s="926"/>
      <c r="BT144" s="926"/>
      <c r="BU144" s="926"/>
      <c r="BV144" s="926"/>
      <c r="BW144" s="926"/>
      <c r="BX144" s="926"/>
      <c r="BY144" s="926"/>
      <c r="BZ144" s="926"/>
      <c r="CA144" s="926"/>
      <c r="CB144" s="926"/>
      <c r="CC144" s="926"/>
      <c r="CD144" s="926"/>
      <c r="CE144" s="926"/>
      <c r="CF144" s="926"/>
      <c r="CG144" s="926"/>
      <c r="CH144" s="926"/>
      <c r="CI144" s="926"/>
      <c r="CJ144" s="926"/>
      <c r="CK144" s="926"/>
      <c r="CL144" s="926"/>
      <c r="CM144" s="926"/>
      <c r="CN144" s="926"/>
      <c r="CO144" s="926"/>
      <c r="CP144" s="926"/>
      <c r="CQ144" s="926"/>
      <c r="CR144" s="926"/>
      <c r="CS144" s="926"/>
      <c r="CT144" s="926"/>
      <c r="CU144" s="926"/>
      <c r="CV144" s="926"/>
      <c r="CW144" s="926"/>
      <c r="CX144" s="926"/>
      <c r="CY144" s="926"/>
      <c r="CZ144" s="926"/>
      <c r="DA144" s="926"/>
      <c r="DB144" s="926"/>
      <c r="DC144" s="926"/>
      <c r="DD144" s="926"/>
      <c r="DE144" s="926"/>
      <c r="DF144" s="926"/>
      <c r="DG144" s="926"/>
      <c r="DH144" s="926"/>
      <c r="DI144" s="926"/>
      <c r="DJ144" s="926"/>
      <c r="DK144" s="926"/>
      <c r="DL144" s="926"/>
      <c r="DM144" s="926"/>
      <c r="DN144" s="926"/>
      <c r="DO144" s="926"/>
      <c r="DP144" s="926"/>
      <c r="DQ144" s="926"/>
      <c r="DR144" s="926"/>
      <c r="DS144" s="926"/>
      <c r="DT144" s="926"/>
      <c r="DU144" s="926"/>
      <c r="DV144" s="926"/>
      <c r="DW144" s="926"/>
      <c r="DX144" s="926"/>
      <c r="DY144" s="926"/>
      <c r="DZ144" s="926"/>
      <c r="EA144" s="926"/>
      <c r="EB144" s="926"/>
      <c r="EC144" s="926"/>
      <c r="ED144" s="926"/>
      <c r="EE144" s="926"/>
      <c r="EF144" s="926"/>
      <c r="EG144" s="926"/>
      <c r="EH144" s="926"/>
      <c r="EI144" s="926"/>
      <c r="EJ144" s="926"/>
      <c r="EK144" s="926"/>
      <c r="EL144" s="926"/>
      <c r="EM144" s="926"/>
      <c r="EN144" s="926"/>
      <c r="EO144" s="926"/>
      <c r="EP144" s="926"/>
      <c r="EQ144" s="926"/>
      <c r="ER144" s="926"/>
      <c r="ES144" s="926"/>
      <c r="ET144" s="926"/>
      <c r="EU144" s="926"/>
      <c r="EV144" s="926"/>
      <c r="EW144" s="926"/>
      <c r="EX144" s="926"/>
      <c r="EY144" s="926"/>
      <c r="EZ144" s="926"/>
      <c r="FA144" s="926"/>
      <c r="FB144" s="926"/>
      <c r="FC144" s="926"/>
      <c r="FD144" s="926"/>
      <c r="FE144" s="926"/>
      <c r="FF144" s="926"/>
      <c r="FG144" s="926"/>
      <c r="FH144" s="926"/>
      <c r="FI144" s="926"/>
      <c r="FJ144" s="926"/>
      <c r="FK144" s="926"/>
      <c r="FL144" s="926"/>
      <c r="FM144" s="926"/>
      <c r="FN144" s="926"/>
      <c r="FO144" s="926"/>
      <c r="FP144" s="926"/>
      <c r="FQ144" s="926"/>
      <c r="FR144" s="926"/>
      <c r="FS144" s="926"/>
      <c r="FT144" s="926"/>
      <c r="FU144" s="926"/>
      <c r="FV144" s="926"/>
      <c r="FW144" s="926"/>
      <c r="FX144" s="926"/>
      <c r="FY144" s="926"/>
      <c r="FZ144" s="926"/>
      <c r="GA144" s="926"/>
      <c r="GB144" s="926"/>
      <c r="GC144" s="926"/>
      <c r="GD144" s="926"/>
      <c r="GE144" s="926"/>
      <c r="GF144" s="926"/>
      <c r="GG144" s="926"/>
      <c r="GH144" s="926"/>
      <c r="GI144" s="926"/>
      <c r="GJ144" s="926"/>
      <c r="GK144" s="926"/>
      <c r="GL144" s="926"/>
      <c r="GM144" s="926"/>
      <c r="GN144" s="926"/>
      <c r="GO144" s="926"/>
      <c r="GP144" s="926"/>
      <c r="GQ144" s="926"/>
      <c r="GR144" s="926"/>
      <c r="GS144" s="926"/>
      <c r="GT144" s="926"/>
      <c r="GU144" s="926"/>
      <c r="GV144" s="926"/>
      <c r="GW144" s="926"/>
      <c r="GX144" s="926"/>
      <c r="GY144" s="926"/>
      <c r="GZ144" s="926"/>
      <c r="HA144" s="926"/>
      <c r="HB144" s="926"/>
      <c r="HC144" s="926"/>
      <c r="HD144" s="926"/>
      <c r="HE144" s="926"/>
      <c r="HF144" s="926"/>
      <c r="HG144" s="926"/>
      <c r="HH144" s="926"/>
      <c r="HI144" s="926"/>
      <c r="HJ144" s="926"/>
      <c r="HK144" s="926"/>
      <c r="HL144" s="926"/>
      <c r="HM144" s="926"/>
      <c r="HN144" s="926"/>
      <c r="HO144" s="926"/>
      <c r="HP144" s="926"/>
      <c r="HQ144" s="926"/>
      <c r="HR144" s="926"/>
      <c r="HS144" s="926"/>
      <c r="HT144" s="926"/>
      <c r="HU144" s="926"/>
      <c r="HV144" s="926"/>
      <c r="HW144" s="926"/>
      <c r="HX144" s="926"/>
      <c r="HY144" s="926"/>
      <c r="HZ144" s="926"/>
      <c r="IA144" s="926"/>
      <c r="IB144" s="926"/>
      <c r="IC144" s="926"/>
      <c r="ID144" s="926"/>
      <c r="IE144" s="926"/>
      <c r="IF144" s="926"/>
      <c r="IG144" s="926"/>
      <c r="IH144" s="926"/>
      <c r="II144" s="926"/>
      <c r="IJ144" s="926"/>
      <c r="IK144" s="926"/>
      <c r="IL144" s="926"/>
      <c r="IM144" s="926"/>
    </row>
    <row r="145" spans="1:247" x14ac:dyDescent="0.45">
      <c r="A145" s="441">
        <v>7241</v>
      </c>
      <c r="B145" s="939" t="s">
        <v>2680</v>
      </c>
      <c r="C145" s="47" t="s">
        <v>35</v>
      </c>
      <c r="D145" s="449" t="s">
        <v>2545</v>
      </c>
      <c r="E145" s="946">
        <f t="shared" ref="E145:E150" si="31">+$E$3</f>
        <v>1.0740000000000001</v>
      </c>
      <c r="F145" s="941">
        <f t="shared" si="29"/>
        <v>1.0209999999999999</v>
      </c>
      <c r="G145" s="947">
        <f t="shared" ref="G145:G152" si="32">+$G$3</f>
        <v>1.0269999999999999</v>
      </c>
      <c r="H145" s="946">
        <f t="shared" ref="H145:H152" si="33">+$H$3</f>
        <v>1.0029999999999999</v>
      </c>
      <c r="I145" s="948">
        <f t="shared" ref="I145:I152" si="34">+$I$3</f>
        <v>1.0289999999999999</v>
      </c>
      <c r="J145" s="948">
        <f t="shared" ref="J145:J152" si="35">+$J$3</f>
        <v>1.0049999999999999</v>
      </c>
      <c r="K145" s="948">
        <f t="shared" ref="K145:K150" si="36">+$K$3</f>
        <v>1.026</v>
      </c>
      <c r="L145" s="948">
        <f t="shared" ref="L145:L152" si="37">+$L$3</f>
        <v>1.0129999999999999</v>
      </c>
      <c r="M145" s="948">
        <f t="shared" ref="M145:M152" si="38">+$M$3</f>
        <v>1.0029999999999999</v>
      </c>
      <c r="N145" s="947">
        <f t="shared" ref="N145:N152" si="39">+$N$3</f>
        <v>1.0029999999999999</v>
      </c>
      <c r="O145" s="949">
        <f t="shared" ref="O145:O150" si="40">+$O$3</f>
        <v>1.0209999999999999</v>
      </c>
      <c r="P145" s="946">
        <f t="shared" ref="P145:P152" si="41">+$P$3</f>
        <v>1.032</v>
      </c>
      <c r="Q145" s="947">
        <f t="shared" ref="Q145:Q152" si="42">+$Q$3</f>
        <v>1.0349999999999999</v>
      </c>
      <c r="R145" s="950">
        <f t="shared" si="30"/>
        <v>1.3319480854780448</v>
      </c>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c r="BA145" s="926"/>
      <c r="BB145" s="926"/>
      <c r="BC145" s="926"/>
      <c r="BD145" s="926"/>
      <c r="BE145" s="926"/>
      <c r="BF145" s="926"/>
      <c r="BG145" s="926"/>
      <c r="BH145" s="926"/>
      <c r="BI145" s="926"/>
      <c r="BJ145" s="926"/>
      <c r="BK145" s="926"/>
      <c r="BL145" s="926"/>
      <c r="BM145" s="926"/>
      <c r="BN145" s="926"/>
      <c r="BO145" s="926"/>
      <c r="BP145" s="926"/>
      <c r="BQ145" s="926"/>
      <c r="BR145" s="926"/>
      <c r="BS145" s="926"/>
      <c r="BT145" s="926"/>
      <c r="BU145" s="926"/>
      <c r="BV145" s="926"/>
      <c r="BW145" s="926"/>
      <c r="BX145" s="926"/>
      <c r="BY145" s="926"/>
      <c r="BZ145" s="926"/>
      <c r="CA145" s="926"/>
      <c r="CB145" s="926"/>
      <c r="CC145" s="926"/>
      <c r="CD145" s="926"/>
      <c r="CE145" s="926"/>
      <c r="CF145" s="926"/>
      <c r="CG145" s="926"/>
      <c r="CH145" s="926"/>
      <c r="CI145" s="926"/>
      <c r="CJ145" s="926"/>
      <c r="CK145" s="926"/>
      <c r="CL145" s="926"/>
      <c r="CM145" s="926"/>
      <c r="CN145" s="926"/>
      <c r="CO145" s="926"/>
      <c r="CP145" s="926"/>
      <c r="CQ145" s="926"/>
      <c r="CR145" s="926"/>
      <c r="CS145" s="926"/>
      <c r="CT145" s="926"/>
      <c r="CU145" s="926"/>
      <c r="CV145" s="926"/>
      <c r="CW145" s="926"/>
      <c r="CX145" s="926"/>
      <c r="CY145" s="926"/>
      <c r="CZ145" s="926"/>
      <c r="DA145" s="926"/>
      <c r="DB145" s="926"/>
      <c r="DC145" s="926"/>
      <c r="DD145" s="926"/>
      <c r="DE145" s="926"/>
      <c r="DF145" s="926"/>
      <c r="DG145" s="926"/>
      <c r="DH145" s="926"/>
      <c r="DI145" s="926"/>
      <c r="DJ145" s="926"/>
      <c r="DK145" s="926"/>
      <c r="DL145" s="926"/>
      <c r="DM145" s="926"/>
      <c r="DN145" s="926"/>
      <c r="DO145" s="926"/>
      <c r="DP145" s="926"/>
      <c r="DQ145" s="926"/>
      <c r="DR145" s="926"/>
      <c r="DS145" s="926"/>
      <c r="DT145" s="926"/>
      <c r="DU145" s="926"/>
      <c r="DV145" s="926"/>
      <c r="DW145" s="926"/>
      <c r="DX145" s="926"/>
      <c r="DY145" s="926"/>
      <c r="DZ145" s="926"/>
      <c r="EA145" s="926"/>
      <c r="EB145" s="926"/>
      <c r="EC145" s="926"/>
      <c r="ED145" s="926"/>
      <c r="EE145" s="926"/>
      <c r="EF145" s="926"/>
      <c r="EG145" s="926"/>
      <c r="EH145" s="926"/>
      <c r="EI145" s="926"/>
      <c r="EJ145" s="926"/>
      <c r="EK145" s="926"/>
      <c r="EL145" s="926"/>
      <c r="EM145" s="926"/>
      <c r="EN145" s="926"/>
      <c r="EO145" s="926"/>
      <c r="EP145" s="926"/>
      <c r="EQ145" s="926"/>
      <c r="ER145" s="926"/>
      <c r="ES145" s="926"/>
      <c r="ET145" s="926"/>
      <c r="EU145" s="926"/>
      <c r="EV145" s="926"/>
      <c r="EW145" s="926"/>
      <c r="EX145" s="926"/>
      <c r="EY145" s="926"/>
      <c r="EZ145" s="926"/>
      <c r="FA145" s="926"/>
      <c r="FB145" s="926"/>
      <c r="FC145" s="926"/>
      <c r="FD145" s="926"/>
      <c r="FE145" s="926"/>
      <c r="FF145" s="926"/>
      <c r="FG145" s="926"/>
      <c r="FH145" s="926"/>
      <c r="FI145" s="926"/>
      <c r="FJ145" s="926"/>
      <c r="FK145" s="926"/>
      <c r="FL145" s="926"/>
      <c r="FM145" s="926"/>
      <c r="FN145" s="926"/>
      <c r="FO145" s="926"/>
      <c r="FP145" s="926"/>
      <c r="FQ145" s="926"/>
      <c r="FR145" s="926"/>
      <c r="FS145" s="926"/>
      <c r="FT145" s="926"/>
      <c r="FU145" s="926"/>
      <c r="FV145" s="926"/>
      <c r="FW145" s="926"/>
      <c r="FX145" s="926"/>
      <c r="FY145" s="926"/>
      <c r="FZ145" s="926"/>
      <c r="GA145" s="926"/>
      <c r="GB145" s="926"/>
      <c r="GC145" s="926"/>
      <c r="GD145" s="926"/>
      <c r="GE145" s="926"/>
      <c r="GF145" s="926"/>
      <c r="GG145" s="926"/>
      <c r="GH145" s="926"/>
      <c r="GI145" s="926"/>
      <c r="GJ145" s="926"/>
      <c r="GK145" s="926"/>
      <c r="GL145" s="926"/>
      <c r="GM145" s="926"/>
      <c r="GN145" s="926"/>
      <c r="GO145" s="926"/>
      <c r="GP145" s="926"/>
      <c r="GQ145" s="926"/>
      <c r="GR145" s="926"/>
      <c r="GS145" s="926"/>
      <c r="GT145" s="926"/>
      <c r="GU145" s="926"/>
      <c r="GV145" s="926"/>
      <c r="GW145" s="926"/>
      <c r="GX145" s="926"/>
      <c r="GY145" s="926"/>
      <c r="GZ145" s="926"/>
      <c r="HA145" s="926"/>
      <c r="HB145" s="926"/>
      <c r="HC145" s="926"/>
      <c r="HD145" s="926"/>
      <c r="HE145" s="926"/>
      <c r="HF145" s="926"/>
      <c r="HG145" s="926"/>
      <c r="HH145" s="926"/>
      <c r="HI145" s="926"/>
      <c r="HJ145" s="926"/>
      <c r="HK145" s="926"/>
      <c r="HL145" s="926"/>
      <c r="HM145" s="926"/>
      <c r="HN145" s="926"/>
      <c r="HO145" s="926"/>
      <c r="HP145" s="926"/>
      <c r="HQ145" s="926"/>
      <c r="HR145" s="926"/>
      <c r="HS145" s="926"/>
      <c r="HT145" s="926"/>
      <c r="HU145" s="926"/>
      <c r="HV145" s="926"/>
      <c r="HW145" s="926"/>
      <c r="HX145" s="926"/>
      <c r="HY145" s="926"/>
      <c r="HZ145" s="926"/>
      <c r="IA145" s="926"/>
      <c r="IB145" s="926"/>
      <c r="IC145" s="926"/>
      <c r="ID145" s="926"/>
      <c r="IE145" s="926"/>
      <c r="IF145" s="926"/>
      <c r="IG145" s="926"/>
      <c r="IH145" s="926"/>
      <c r="II145" s="926"/>
      <c r="IJ145" s="926"/>
      <c r="IK145" s="926"/>
      <c r="IL145" s="926"/>
      <c r="IM145" s="926"/>
    </row>
    <row r="146" spans="1:247" x14ac:dyDescent="0.45">
      <c r="A146" s="441">
        <v>7242</v>
      </c>
      <c r="B146" s="939" t="s">
        <v>2681</v>
      </c>
      <c r="C146" s="47" t="s">
        <v>35</v>
      </c>
      <c r="D146" s="449" t="s">
        <v>2545</v>
      </c>
      <c r="E146" s="946">
        <f t="shared" si="31"/>
        <v>1.0740000000000001</v>
      </c>
      <c r="F146" s="941">
        <f t="shared" si="29"/>
        <v>1.0209999999999999</v>
      </c>
      <c r="G146" s="947">
        <f t="shared" si="32"/>
        <v>1.0269999999999999</v>
      </c>
      <c r="H146" s="946">
        <f t="shared" si="33"/>
        <v>1.0029999999999999</v>
      </c>
      <c r="I146" s="948">
        <f t="shared" si="34"/>
        <v>1.0289999999999999</v>
      </c>
      <c r="J146" s="948">
        <f t="shared" si="35"/>
        <v>1.0049999999999999</v>
      </c>
      <c r="K146" s="948">
        <f t="shared" si="36"/>
        <v>1.026</v>
      </c>
      <c r="L146" s="948">
        <f t="shared" si="37"/>
        <v>1.0129999999999999</v>
      </c>
      <c r="M146" s="948">
        <f t="shared" si="38"/>
        <v>1.0029999999999999</v>
      </c>
      <c r="N146" s="947">
        <f t="shared" si="39"/>
        <v>1.0029999999999999</v>
      </c>
      <c r="O146" s="949">
        <f t="shared" si="40"/>
        <v>1.0209999999999999</v>
      </c>
      <c r="P146" s="946">
        <f t="shared" si="41"/>
        <v>1.032</v>
      </c>
      <c r="Q146" s="947">
        <f t="shared" si="42"/>
        <v>1.0349999999999999</v>
      </c>
      <c r="R146" s="950">
        <f t="shared" si="30"/>
        <v>1.3319480854780448</v>
      </c>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926"/>
      <c r="BF146" s="926"/>
      <c r="BG146" s="926"/>
      <c r="BH146" s="926"/>
      <c r="BI146" s="926"/>
      <c r="BJ146" s="926"/>
      <c r="BK146" s="926"/>
      <c r="BL146" s="926"/>
      <c r="BM146" s="926"/>
      <c r="BN146" s="926"/>
      <c r="BO146" s="926"/>
      <c r="BP146" s="926"/>
      <c r="BQ146" s="926"/>
      <c r="BR146" s="926"/>
      <c r="BS146" s="926"/>
      <c r="BT146" s="926"/>
      <c r="BU146" s="926"/>
      <c r="BV146" s="926"/>
      <c r="BW146" s="926"/>
      <c r="BX146" s="926"/>
      <c r="BY146" s="926"/>
      <c r="BZ146" s="926"/>
      <c r="CA146" s="926"/>
      <c r="CB146" s="926"/>
      <c r="CC146" s="926"/>
      <c r="CD146" s="926"/>
      <c r="CE146" s="926"/>
      <c r="CF146" s="926"/>
      <c r="CG146" s="926"/>
      <c r="CH146" s="926"/>
      <c r="CI146" s="926"/>
      <c r="CJ146" s="926"/>
      <c r="CK146" s="926"/>
      <c r="CL146" s="926"/>
      <c r="CM146" s="926"/>
      <c r="CN146" s="926"/>
      <c r="CO146" s="926"/>
      <c r="CP146" s="926"/>
      <c r="CQ146" s="926"/>
      <c r="CR146" s="926"/>
      <c r="CS146" s="926"/>
      <c r="CT146" s="926"/>
      <c r="CU146" s="926"/>
      <c r="CV146" s="926"/>
      <c r="CW146" s="926"/>
      <c r="CX146" s="926"/>
      <c r="CY146" s="926"/>
      <c r="CZ146" s="926"/>
      <c r="DA146" s="926"/>
      <c r="DB146" s="926"/>
      <c r="DC146" s="926"/>
      <c r="DD146" s="926"/>
      <c r="DE146" s="926"/>
      <c r="DF146" s="926"/>
      <c r="DG146" s="926"/>
      <c r="DH146" s="926"/>
      <c r="DI146" s="926"/>
      <c r="DJ146" s="926"/>
      <c r="DK146" s="926"/>
      <c r="DL146" s="926"/>
      <c r="DM146" s="926"/>
      <c r="DN146" s="926"/>
      <c r="DO146" s="926"/>
      <c r="DP146" s="926"/>
      <c r="DQ146" s="926"/>
      <c r="DR146" s="926"/>
      <c r="DS146" s="926"/>
      <c r="DT146" s="926"/>
      <c r="DU146" s="926"/>
      <c r="DV146" s="926"/>
      <c r="DW146" s="926"/>
      <c r="DX146" s="926"/>
      <c r="DY146" s="926"/>
      <c r="DZ146" s="926"/>
      <c r="EA146" s="926"/>
      <c r="EB146" s="926"/>
      <c r="EC146" s="926"/>
      <c r="ED146" s="926"/>
      <c r="EE146" s="926"/>
      <c r="EF146" s="926"/>
      <c r="EG146" s="926"/>
      <c r="EH146" s="926"/>
      <c r="EI146" s="926"/>
      <c r="EJ146" s="926"/>
      <c r="EK146" s="926"/>
      <c r="EL146" s="926"/>
      <c r="EM146" s="926"/>
      <c r="EN146" s="926"/>
      <c r="EO146" s="926"/>
      <c r="EP146" s="926"/>
      <c r="EQ146" s="926"/>
      <c r="ER146" s="926"/>
      <c r="ES146" s="926"/>
      <c r="ET146" s="926"/>
      <c r="EU146" s="926"/>
      <c r="EV146" s="926"/>
      <c r="EW146" s="926"/>
      <c r="EX146" s="926"/>
      <c r="EY146" s="926"/>
      <c r="EZ146" s="926"/>
      <c r="FA146" s="926"/>
      <c r="FB146" s="926"/>
      <c r="FC146" s="926"/>
      <c r="FD146" s="926"/>
      <c r="FE146" s="926"/>
      <c r="FF146" s="926"/>
      <c r="FG146" s="926"/>
      <c r="FH146" s="926"/>
      <c r="FI146" s="926"/>
      <c r="FJ146" s="926"/>
      <c r="FK146" s="926"/>
      <c r="FL146" s="926"/>
      <c r="FM146" s="926"/>
      <c r="FN146" s="926"/>
      <c r="FO146" s="926"/>
      <c r="FP146" s="926"/>
      <c r="FQ146" s="926"/>
      <c r="FR146" s="926"/>
      <c r="FS146" s="926"/>
      <c r="FT146" s="926"/>
      <c r="FU146" s="926"/>
      <c r="FV146" s="926"/>
      <c r="FW146" s="926"/>
      <c r="FX146" s="926"/>
      <c r="FY146" s="926"/>
      <c r="FZ146" s="926"/>
      <c r="GA146" s="926"/>
      <c r="GB146" s="926"/>
      <c r="GC146" s="926"/>
      <c r="GD146" s="926"/>
      <c r="GE146" s="926"/>
      <c r="GF146" s="926"/>
      <c r="GG146" s="926"/>
      <c r="GH146" s="926"/>
      <c r="GI146" s="926"/>
      <c r="GJ146" s="926"/>
      <c r="GK146" s="926"/>
      <c r="GL146" s="926"/>
      <c r="GM146" s="926"/>
      <c r="GN146" s="926"/>
      <c r="GO146" s="926"/>
      <c r="GP146" s="926"/>
      <c r="GQ146" s="926"/>
      <c r="GR146" s="926"/>
      <c r="GS146" s="926"/>
      <c r="GT146" s="926"/>
      <c r="GU146" s="926"/>
      <c r="GV146" s="926"/>
      <c r="GW146" s="926"/>
      <c r="GX146" s="926"/>
      <c r="GY146" s="926"/>
      <c r="GZ146" s="926"/>
      <c r="HA146" s="926"/>
      <c r="HB146" s="926"/>
      <c r="HC146" s="926"/>
      <c r="HD146" s="926"/>
      <c r="HE146" s="926"/>
      <c r="HF146" s="926"/>
      <c r="HG146" s="926"/>
      <c r="HH146" s="926"/>
      <c r="HI146" s="926"/>
      <c r="HJ146" s="926"/>
      <c r="HK146" s="926"/>
      <c r="HL146" s="926"/>
      <c r="HM146" s="926"/>
      <c r="HN146" s="926"/>
      <c r="HO146" s="926"/>
      <c r="HP146" s="926"/>
      <c r="HQ146" s="926"/>
      <c r="HR146" s="926"/>
      <c r="HS146" s="926"/>
      <c r="HT146" s="926"/>
      <c r="HU146" s="926"/>
      <c r="HV146" s="926"/>
      <c r="HW146" s="926"/>
      <c r="HX146" s="926"/>
      <c r="HY146" s="926"/>
      <c r="HZ146" s="926"/>
      <c r="IA146" s="926"/>
      <c r="IB146" s="926"/>
      <c r="IC146" s="926"/>
      <c r="ID146" s="926"/>
      <c r="IE146" s="926"/>
      <c r="IF146" s="926"/>
      <c r="IG146" s="926"/>
      <c r="IH146" s="926"/>
      <c r="II146" s="926"/>
      <c r="IJ146" s="926"/>
      <c r="IK146" s="926"/>
      <c r="IL146" s="926"/>
      <c r="IM146" s="926"/>
    </row>
    <row r="147" spans="1:247" x14ac:dyDescent="0.45">
      <c r="A147" s="441">
        <v>7250</v>
      </c>
      <c r="B147" s="939" t="s">
        <v>2682</v>
      </c>
      <c r="C147" s="47" t="s">
        <v>35</v>
      </c>
      <c r="D147" s="449" t="s">
        <v>2545</v>
      </c>
      <c r="E147" s="946">
        <f t="shared" si="31"/>
        <v>1.0740000000000001</v>
      </c>
      <c r="F147" s="941">
        <f t="shared" si="29"/>
        <v>1.0209999999999999</v>
      </c>
      <c r="G147" s="947">
        <f t="shared" si="32"/>
        <v>1.0269999999999999</v>
      </c>
      <c r="H147" s="946">
        <f t="shared" si="33"/>
        <v>1.0029999999999999</v>
      </c>
      <c r="I147" s="948">
        <f t="shared" si="34"/>
        <v>1.0289999999999999</v>
      </c>
      <c r="J147" s="948">
        <f t="shared" si="35"/>
        <v>1.0049999999999999</v>
      </c>
      <c r="K147" s="948">
        <f t="shared" si="36"/>
        <v>1.026</v>
      </c>
      <c r="L147" s="948">
        <f t="shared" si="37"/>
        <v>1.0129999999999999</v>
      </c>
      <c r="M147" s="948">
        <f t="shared" si="38"/>
        <v>1.0029999999999999</v>
      </c>
      <c r="N147" s="947">
        <f t="shared" si="39"/>
        <v>1.0029999999999999</v>
      </c>
      <c r="O147" s="949">
        <f t="shared" si="40"/>
        <v>1.0209999999999999</v>
      </c>
      <c r="P147" s="946">
        <f t="shared" si="41"/>
        <v>1.032</v>
      </c>
      <c r="Q147" s="947">
        <f t="shared" si="42"/>
        <v>1.0349999999999999</v>
      </c>
      <c r="R147" s="950">
        <f t="shared" si="30"/>
        <v>1.3319480854780448</v>
      </c>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c r="BA147" s="926"/>
      <c r="BB147" s="926"/>
      <c r="BC147" s="926"/>
      <c r="BD147" s="926"/>
      <c r="BE147" s="926"/>
      <c r="BF147" s="926"/>
      <c r="BG147" s="926"/>
      <c r="BH147" s="926"/>
      <c r="BI147" s="926"/>
      <c r="BJ147" s="926"/>
      <c r="BK147" s="926"/>
      <c r="BL147" s="926"/>
      <c r="BM147" s="926"/>
      <c r="BN147" s="926"/>
      <c r="BO147" s="926"/>
      <c r="BP147" s="926"/>
      <c r="BQ147" s="926"/>
      <c r="BR147" s="926"/>
      <c r="BS147" s="926"/>
      <c r="BT147" s="926"/>
      <c r="BU147" s="926"/>
      <c r="BV147" s="926"/>
      <c r="BW147" s="926"/>
      <c r="BX147" s="926"/>
      <c r="BY147" s="926"/>
      <c r="BZ147" s="926"/>
      <c r="CA147" s="926"/>
      <c r="CB147" s="926"/>
      <c r="CC147" s="926"/>
      <c r="CD147" s="926"/>
      <c r="CE147" s="926"/>
      <c r="CF147" s="926"/>
      <c r="CG147" s="926"/>
      <c r="CH147" s="926"/>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6"/>
      <c r="DD147" s="926"/>
      <c r="DE147" s="926"/>
      <c r="DF147" s="926"/>
      <c r="DG147" s="926"/>
      <c r="DH147" s="926"/>
      <c r="DI147" s="926"/>
      <c r="DJ147" s="926"/>
      <c r="DK147" s="926"/>
      <c r="DL147" s="926"/>
      <c r="DM147" s="926"/>
      <c r="DN147" s="926"/>
      <c r="DO147" s="926"/>
      <c r="DP147" s="926"/>
      <c r="DQ147" s="926"/>
      <c r="DR147" s="926"/>
      <c r="DS147" s="926"/>
      <c r="DT147" s="926"/>
      <c r="DU147" s="926"/>
      <c r="DV147" s="926"/>
      <c r="DW147" s="926"/>
      <c r="DX147" s="926"/>
      <c r="DY147" s="926"/>
      <c r="DZ147" s="926"/>
      <c r="EA147" s="926"/>
      <c r="EB147" s="926"/>
      <c r="EC147" s="926"/>
      <c r="ED147" s="926"/>
      <c r="EE147" s="926"/>
      <c r="EF147" s="926"/>
      <c r="EG147" s="926"/>
      <c r="EH147" s="926"/>
      <c r="EI147" s="926"/>
      <c r="EJ147" s="926"/>
      <c r="EK147" s="926"/>
      <c r="EL147" s="926"/>
      <c r="EM147" s="926"/>
      <c r="EN147" s="926"/>
      <c r="EO147" s="926"/>
      <c r="EP147" s="926"/>
      <c r="EQ147" s="926"/>
      <c r="ER147" s="926"/>
      <c r="ES147" s="926"/>
      <c r="ET147" s="926"/>
      <c r="EU147" s="926"/>
      <c r="EV147" s="926"/>
      <c r="EW147" s="926"/>
      <c r="EX147" s="926"/>
      <c r="EY147" s="926"/>
      <c r="EZ147" s="926"/>
      <c r="FA147" s="926"/>
      <c r="FB147" s="926"/>
      <c r="FC147" s="926"/>
      <c r="FD147" s="926"/>
      <c r="FE147" s="926"/>
      <c r="FF147" s="926"/>
      <c r="FG147" s="926"/>
      <c r="FH147" s="926"/>
      <c r="FI147" s="926"/>
      <c r="FJ147" s="926"/>
      <c r="FK147" s="926"/>
      <c r="FL147" s="926"/>
      <c r="FM147" s="926"/>
      <c r="FN147" s="926"/>
      <c r="FO147" s="926"/>
      <c r="FP147" s="926"/>
      <c r="FQ147" s="926"/>
      <c r="FR147" s="926"/>
      <c r="FS147" s="926"/>
      <c r="FT147" s="926"/>
      <c r="FU147" s="926"/>
      <c r="FV147" s="926"/>
      <c r="FW147" s="926"/>
      <c r="FX147" s="926"/>
      <c r="FY147" s="926"/>
      <c r="FZ147" s="926"/>
      <c r="GA147" s="926"/>
      <c r="GB147" s="926"/>
      <c r="GC147" s="926"/>
      <c r="GD147" s="926"/>
      <c r="GE147" s="926"/>
      <c r="GF147" s="926"/>
      <c r="GG147" s="926"/>
      <c r="GH147" s="926"/>
      <c r="GI147" s="926"/>
      <c r="GJ147" s="926"/>
      <c r="GK147" s="926"/>
      <c r="GL147" s="926"/>
      <c r="GM147" s="926"/>
      <c r="GN147" s="926"/>
      <c r="GO147" s="926"/>
      <c r="GP147" s="926"/>
      <c r="GQ147" s="926"/>
      <c r="GR147" s="926"/>
      <c r="GS147" s="926"/>
      <c r="GT147" s="926"/>
      <c r="GU147" s="926"/>
      <c r="GV147" s="926"/>
      <c r="GW147" s="926"/>
      <c r="GX147" s="926"/>
      <c r="GY147" s="926"/>
      <c r="GZ147" s="926"/>
      <c r="HA147" s="926"/>
      <c r="HB147" s="926"/>
      <c r="HC147" s="926"/>
      <c r="HD147" s="926"/>
      <c r="HE147" s="926"/>
      <c r="HF147" s="926"/>
      <c r="HG147" s="926"/>
      <c r="HH147" s="926"/>
      <c r="HI147" s="926"/>
      <c r="HJ147" s="926"/>
      <c r="HK147" s="926"/>
      <c r="HL147" s="926"/>
      <c r="HM147" s="926"/>
      <c r="HN147" s="926"/>
      <c r="HO147" s="926"/>
      <c r="HP147" s="926"/>
      <c r="HQ147" s="926"/>
      <c r="HR147" s="926"/>
      <c r="HS147" s="926"/>
      <c r="HT147" s="926"/>
      <c r="HU147" s="926"/>
      <c r="HV147" s="926"/>
      <c r="HW147" s="926"/>
      <c r="HX147" s="926"/>
      <c r="HY147" s="926"/>
      <c r="HZ147" s="926"/>
      <c r="IA147" s="926"/>
      <c r="IB147" s="926"/>
      <c r="IC147" s="926"/>
      <c r="ID147" s="926"/>
      <c r="IE147" s="926"/>
      <c r="IF147" s="926"/>
      <c r="IG147" s="926"/>
      <c r="IH147" s="926"/>
      <c r="II147" s="926"/>
      <c r="IJ147" s="926"/>
      <c r="IK147" s="926"/>
      <c r="IL147" s="926"/>
      <c r="IM147" s="926"/>
    </row>
    <row r="148" spans="1:247" x14ac:dyDescent="0.45">
      <c r="A148" s="441">
        <v>7312</v>
      </c>
      <c r="B148" s="939" t="s">
        <v>2683</v>
      </c>
      <c r="C148" s="47" t="s">
        <v>35</v>
      </c>
      <c r="D148" s="449" t="s">
        <v>2545</v>
      </c>
      <c r="E148" s="946">
        <f t="shared" si="31"/>
        <v>1.0740000000000001</v>
      </c>
      <c r="F148" s="941">
        <f t="shared" si="29"/>
        <v>1.0209999999999999</v>
      </c>
      <c r="G148" s="947">
        <f t="shared" si="32"/>
        <v>1.0269999999999999</v>
      </c>
      <c r="H148" s="946">
        <f t="shared" si="33"/>
        <v>1.0029999999999999</v>
      </c>
      <c r="I148" s="948">
        <f t="shared" si="34"/>
        <v>1.0289999999999999</v>
      </c>
      <c r="J148" s="948">
        <f t="shared" si="35"/>
        <v>1.0049999999999999</v>
      </c>
      <c r="K148" s="948">
        <f t="shared" si="36"/>
        <v>1.026</v>
      </c>
      <c r="L148" s="948">
        <f t="shared" si="37"/>
        <v>1.0129999999999999</v>
      </c>
      <c r="M148" s="948">
        <f t="shared" si="38"/>
        <v>1.0029999999999999</v>
      </c>
      <c r="N148" s="947">
        <f t="shared" si="39"/>
        <v>1.0029999999999999</v>
      </c>
      <c r="O148" s="949">
        <f t="shared" si="40"/>
        <v>1.0209999999999999</v>
      </c>
      <c r="P148" s="946">
        <f t="shared" si="41"/>
        <v>1.032</v>
      </c>
      <c r="Q148" s="947">
        <f t="shared" si="42"/>
        <v>1.0349999999999999</v>
      </c>
      <c r="R148" s="950">
        <f t="shared" si="30"/>
        <v>1.3319480854780448</v>
      </c>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s="926"/>
      <c r="BA148" s="926"/>
      <c r="BB148" s="926"/>
      <c r="BC148" s="926"/>
      <c r="BD148" s="926"/>
      <c r="BE148" s="926"/>
      <c r="BF148" s="926"/>
      <c r="BG148" s="926"/>
      <c r="BH148" s="926"/>
      <c r="BI148" s="926"/>
      <c r="BJ148" s="926"/>
      <c r="BK148" s="926"/>
      <c r="BL148" s="926"/>
      <c r="BM148" s="926"/>
      <c r="BN148" s="926"/>
      <c r="BO148" s="926"/>
      <c r="BP148" s="926"/>
      <c r="BQ148" s="926"/>
      <c r="BR148" s="926"/>
      <c r="BS148" s="926"/>
      <c r="BT148" s="926"/>
      <c r="BU148" s="926"/>
      <c r="BV148" s="926"/>
      <c r="BW148" s="926"/>
      <c r="BX148" s="926"/>
      <c r="BY148" s="926"/>
      <c r="BZ148" s="926"/>
      <c r="CA148" s="926"/>
      <c r="CB148" s="926"/>
      <c r="CC148" s="926"/>
      <c r="CD148" s="926"/>
      <c r="CE148" s="926"/>
      <c r="CF148" s="926"/>
      <c r="CG148" s="926"/>
      <c r="CH148" s="926"/>
      <c r="CI148" s="926"/>
      <c r="CJ148" s="926"/>
      <c r="CK148" s="926"/>
      <c r="CL148" s="926"/>
      <c r="CM148" s="926"/>
      <c r="CN148" s="926"/>
      <c r="CO148" s="926"/>
      <c r="CP148" s="926"/>
      <c r="CQ148" s="926"/>
      <c r="CR148" s="926"/>
      <c r="CS148" s="926"/>
      <c r="CT148" s="926"/>
      <c r="CU148" s="926"/>
      <c r="CV148" s="926"/>
      <c r="CW148" s="926"/>
      <c r="CX148" s="926"/>
      <c r="CY148" s="926"/>
      <c r="CZ148" s="926"/>
      <c r="DA148" s="926"/>
      <c r="DB148" s="926"/>
      <c r="DC148" s="926"/>
      <c r="DD148" s="926"/>
      <c r="DE148" s="926"/>
      <c r="DF148" s="926"/>
      <c r="DG148" s="926"/>
      <c r="DH148" s="926"/>
      <c r="DI148" s="926"/>
      <c r="DJ148" s="926"/>
      <c r="DK148" s="926"/>
      <c r="DL148" s="926"/>
      <c r="DM148" s="926"/>
      <c r="DN148" s="926"/>
      <c r="DO148" s="926"/>
      <c r="DP148" s="926"/>
      <c r="DQ148" s="926"/>
      <c r="DR148" s="926"/>
      <c r="DS148" s="926"/>
      <c r="DT148" s="926"/>
      <c r="DU148" s="926"/>
      <c r="DV148" s="926"/>
      <c r="DW148" s="926"/>
      <c r="DX148" s="926"/>
      <c r="DY148" s="926"/>
      <c r="DZ148" s="926"/>
      <c r="EA148" s="926"/>
      <c r="EB148" s="926"/>
      <c r="EC148" s="926"/>
      <c r="ED148" s="926"/>
      <c r="EE148" s="926"/>
      <c r="EF148" s="926"/>
      <c r="EG148" s="926"/>
      <c r="EH148" s="926"/>
      <c r="EI148" s="926"/>
      <c r="EJ148" s="926"/>
      <c r="EK148" s="926"/>
      <c r="EL148" s="926"/>
      <c r="EM148" s="926"/>
      <c r="EN148" s="926"/>
      <c r="EO148" s="926"/>
      <c r="EP148" s="926"/>
      <c r="EQ148" s="926"/>
      <c r="ER148" s="926"/>
      <c r="ES148" s="926"/>
      <c r="ET148" s="926"/>
      <c r="EU148" s="926"/>
      <c r="EV148" s="926"/>
      <c r="EW148" s="926"/>
      <c r="EX148" s="926"/>
      <c r="EY148" s="926"/>
      <c r="EZ148" s="926"/>
      <c r="FA148" s="926"/>
      <c r="FB148" s="926"/>
      <c r="FC148" s="926"/>
      <c r="FD148" s="926"/>
      <c r="FE148" s="926"/>
      <c r="FF148" s="926"/>
      <c r="FG148" s="926"/>
      <c r="FH148" s="926"/>
      <c r="FI148" s="926"/>
      <c r="FJ148" s="926"/>
      <c r="FK148" s="926"/>
      <c r="FL148" s="926"/>
      <c r="FM148" s="926"/>
      <c r="FN148" s="926"/>
      <c r="FO148" s="926"/>
      <c r="FP148" s="926"/>
      <c r="FQ148" s="926"/>
      <c r="FR148" s="926"/>
      <c r="FS148" s="926"/>
      <c r="FT148" s="926"/>
      <c r="FU148" s="926"/>
      <c r="FV148" s="926"/>
      <c r="FW148" s="926"/>
      <c r="FX148" s="926"/>
      <c r="FY148" s="926"/>
      <c r="FZ148" s="926"/>
      <c r="GA148" s="926"/>
      <c r="GB148" s="926"/>
      <c r="GC148" s="926"/>
      <c r="GD148" s="926"/>
      <c r="GE148" s="926"/>
      <c r="GF148" s="926"/>
      <c r="GG148" s="926"/>
      <c r="GH148" s="926"/>
      <c r="GI148" s="926"/>
      <c r="GJ148" s="926"/>
      <c r="GK148" s="926"/>
      <c r="GL148" s="926"/>
      <c r="GM148" s="926"/>
      <c r="GN148" s="926"/>
      <c r="GO148" s="926"/>
      <c r="GP148" s="926"/>
      <c r="GQ148" s="926"/>
      <c r="GR148" s="926"/>
      <c r="GS148" s="926"/>
      <c r="GT148" s="926"/>
      <c r="GU148" s="926"/>
      <c r="GV148" s="926"/>
      <c r="GW148" s="926"/>
      <c r="GX148" s="926"/>
      <c r="GY148" s="926"/>
      <c r="GZ148" s="926"/>
      <c r="HA148" s="926"/>
      <c r="HB148" s="926"/>
      <c r="HC148" s="926"/>
      <c r="HD148" s="926"/>
      <c r="HE148" s="926"/>
      <c r="HF148" s="926"/>
      <c r="HG148" s="926"/>
      <c r="HH148" s="926"/>
      <c r="HI148" s="926"/>
      <c r="HJ148" s="926"/>
      <c r="HK148" s="926"/>
      <c r="HL148" s="926"/>
      <c r="HM148" s="926"/>
      <c r="HN148" s="926"/>
      <c r="HO148" s="926"/>
      <c r="HP148" s="926"/>
      <c r="HQ148" s="926"/>
      <c r="HR148" s="926"/>
      <c r="HS148" s="926"/>
      <c r="HT148" s="926"/>
      <c r="HU148" s="926"/>
      <c r="HV148" s="926"/>
      <c r="HW148" s="926"/>
      <c r="HX148" s="926"/>
      <c r="HY148" s="926"/>
      <c r="HZ148" s="926"/>
      <c r="IA148" s="926"/>
      <c r="IB148" s="926"/>
      <c r="IC148" s="926"/>
      <c r="ID148" s="926"/>
      <c r="IE148" s="926"/>
      <c r="IF148" s="926"/>
      <c r="IG148" s="926"/>
      <c r="IH148" s="926"/>
      <c r="II148" s="926"/>
      <c r="IJ148" s="926"/>
      <c r="IK148" s="926"/>
      <c r="IL148" s="926"/>
      <c r="IM148" s="926"/>
    </row>
    <row r="149" spans="1:247" x14ac:dyDescent="0.45">
      <c r="A149" s="441">
        <v>7313</v>
      </c>
      <c r="B149" s="939" t="s">
        <v>2684</v>
      </c>
      <c r="C149" s="47" t="s">
        <v>35</v>
      </c>
      <c r="D149" s="449" t="s">
        <v>2545</v>
      </c>
      <c r="E149" s="946">
        <f t="shared" si="31"/>
        <v>1.0740000000000001</v>
      </c>
      <c r="F149" s="941">
        <f t="shared" si="29"/>
        <v>1.0209999999999999</v>
      </c>
      <c r="G149" s="947">
        <f t="shared" si="32"/>
        <v>1.0269999999999999</v>
      </c>
      <c r="H149" s="946">
        <f t="shared" si="33"/>
        <v>1.0029999999999999</v>
      </c>
      <c r="I149" s="948">
        <f t="shared" si="34"/>
        <v>1.0289999999999999</v>
      </c>
      <c r="J149" s="948">
        <f t="shared" si="35"/>
        <v>1.0049999999999999</v>
      </c>
      <c r="K149" s="948">
        <f t="shared" si="36"/>
        <v>1.026</v>
      </c>
      <c r="L149" s="948">
        <f t="shared" si="37"/>
        <v>1.0129999999999999</v>
      </c>
      <c r="M149" s="948">
        <f t="shared" si="38"/>
        <v>1.0029999999999999</v>
      </c>
      <c r="N149" s="947">
        <f t="shared" si="39"/>
        <v>1.0029999999999999</v>
      </c>
      <c r="O149" s="949">
        <f t="shared" si="40"/>
        <v>1.0209999999999999</v>
      </c>
      <c r="P149" s="946">
        <f t="shared" si="41"/>
        <v>1.032</v>
      </c>
      <c r="Q149" s="947">
        <f t="shared" si="42"/>
        <v>1.0349999999999999</v>
      </c>
      <c r="R149" s="950">
        <f t="shared" si="30"/>
        <v>1.3319480854780448</v>
      </c>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X149" s="926"/>
      <c r="AY149" s="926"/>
      <c r="AZ149" s="926"/>
      <c r="BA149" s="926"/>
      <c r="BB149" s="926"/>
      <c r="BC149" s="926"/>
      <c r="BD149" s="926"/>
      <c r="BE149" s="926"/>
      <c r="BF149" s="926"/>
      <c r="BG149" s="926"/>
      <c r="BH149" s="926"/>
      <c r="BI149" s="926"/>
      <c r="BJ149" s="926"/>
      <c r="BK149" s="926"/>
      <c r="BL149" s="926"/>
      <c r="BM149" s="926"/>
      <c r="BN149" s="926"/>
      <c r="BO149" s="926"/>
      <c r="BP149" s="926"/>
      <c r="BQ149" s="926"/>
      <c r="BR149" s="926"/>
      <c r="BS149" s="926"/>
      <c r="BT149" s="926"/>
      <c r="BU149" s="926"/>
      <c r="BV149" s="926"/>
      <c r="BW149" s="926"/>
      <c r="BX149" s="926"/>
      <c r="BY149" s="926"/>
      <c r="BZ149" s="926"/>
      <c r="CA149" s="926"/>
      <c r="CB149" s="926"/>
      <c r="CC149" s="926"/>
      <c r="CD149" s="926"/>
      <c r="CE149" s="926"/>
      <c r="CF149" s="926"/>
      <c r="CG149" s="926"/>
      <c r="CH149" s="926"/>
      <c r="CI149" s="926"/>
      <c r="CJ149" s="926"/>
      <c r="CK149" s="926"/>
      <c r="CL149" s="926"/>
      <c r="CM149" s="926"/>
      <c r="CN149" s="926"/>
      <c r="CO149" s="926"/>
      <c r="CP149" s="926"/>
      <c r="CQ149" s="926"/>
      <c r="CR149" s="926"/>
      <c r="CS149" s="926"/>
      <c r="CT149" s="926"/>
      <c r="CU149" s="926"/>
      <c r="CV149" s="926"/>
      <c r="CW149" s="926"/>
      <c r="CX149" s="926"/>
      <c r="CY149" s="926"/>
      <c r="CZ149" s="926"/>
      <c r="DA149" s="926"/>
      <c r="DB149" s="926"/>
      <c r="DC149" s="926"/>
      <c r="DD149" s="926"/>
      <c r="DE149" s="926"/>
      <c r="DF149" s="926"/>
      <c r="DG149" s="926"/>
      <c r="DH149" s="926"/>
      <c r="DI149" s="926"/>
      <c r="DJ149" s="926"/>
      <c r="DK149" s="926"/>
      <c r="DL149" s="926"/>
      <c r="DM149" s="926"/>
      <c r="DN149" s="926"/>
      <c r="DO149" s="926"/>
      <c r="DP149" s="926"/>
      <c r="DQ149" s="926"/>
      <c r="DR149" s="926"/>
      <c r="DS149" s="926"/>
      <c r="DT149" s="926"/>
      <c r="DU149" s="926"/>
      <c r="DV149" s="926"/>
      <c r="DW149" s="926"/>
      <c r="DX149" s="926"/>
      <c r="DY149" s="926"/>
      <c r="DZ149" s="926"/>
      <c r="EA149" s="926"/>
      <c r="EB149" s="926"/>
      <c r="EC149" s="926"/>
      <c r="ED149" s="926"/>
      <c r="EE149" s="926"/>
      <c r="EF149" s="926"/>
      <c r="EG149" s="926"/>
      <c r="EH149" s="926"/>
      <c r="EI149" s="926"/>
      <c r="EJ149" s="926"/>
      <c r="EK149" s="926"/>
      <c r="EL149" s="926"/>
      <c r="EM149" s="926"/>
      <c r="EN149" s="926"/>
      <c r="EO149" s="926"/>
      <c r="EP149" s="926"/>
      <c r="EQ149" s="926"/>
      <c r="ER149" s="926"/>
      <c r="ES149" s="926"/>
      <c r="ET149" s="926"/>
      <c r="EU149" s="926"/>
      <c r="EV149" s="926"/>
      <c r="EW149" s="926"/>
      <c r="EX149" s="926"/>
      <c r="EY149" s="926"/>
      <c r="EZ149" s="926"/>
      <c r="FA149" s="926"/>
      <c r="FB149" s="926"/>
      <c r="FC149" s="926"/>
      <c r="FD149" s="926"/>
      <c r="FE149" s="926"/>
      <c r="FF149" s="926"/>
      <c r="FG149" s="926"/>
      <c r="FH149" s="926"/>
      <c r="FI149" s="926"/>
      <c r="FJ149" s="926"/>
      <c r="FK149" s="926"/>
      <c r="FL149" s="926"/>
      <c r="FM149" s="926"/>
      <c r="FN149" s="926"/>
      <c r="FO149" s="926"/>
      <c r="FP149" s="926"/>
      <c r="FQ149" s="926"/>
      <c r="FR149" s="926"/>
      <c r="FS149" s="926"/>
      <c r="FT149" s="926"/>
      <c r="FU149" s="926"/>
      <c r="FV149" s="926"/>
      <c r="FW149" s="926"/>
      <c r="FX149" s="926"/>
      <c r="FY149" s="926"/>
      <c r="FZ149" s="926"/>
      <c r="GA149" s="926"/>
      <c r="GB149" s="926"/>
      <c r="GC149" s="926"/>
      <c r="GD149" s="926"/>
      <c r="GE149" s="926"/>
      <c r="GF149" s="926"/>
      <c r="GG149" s="926"/>
      <c r="GH149" s="926"/>
      <c r="GI149" s="926"/>
      <c r="GJ149" s="926"/>
      <c r="GK149" s="926"/>
      <c r="GL149" s="926"/>
      <c r="GM149" s="926"/>
      <c r="GN149" s="926"/>
      <c r="GO149" s="926"/>
      <c r="GP149" s="926"/>
      <c r="GQ149" s="926"/>
      <c r="GR149" s="926"/>
      <c r="GS149" s="926"/>
      <c r="GT149" s="926"/>
      <c r="GU149" s="926"/>
      <c r="GV149" s="926"/>
      <c r="GW149" s="926"/>
      <c r="GX149" s="926"/>
      <c r="GY149" s="926"/>
      <c r="GZ149" s="926"/>
      <c r="HA149" s="926"/>
      <c r="HB149" s="926"/>
      <c r="HC149" s="926"/>
      <c r="HD149" s="926"/>
      <c r="HE149" s="926"/>
      <c r="HF149" s="926"/>
      <c r="HG149" s="926"/>
      <c r="HH149" s="926"/>
      <c r="HI149" s="926"/>
      <c r="HJ149" s="926"/>
      <c r="HK149" s="926"/>
      <c r="HL149" s="926"/>
      <c r="HM149" s="926"/>
      <c r="HN149" s="926"/>
      <c r="HO149" s="926"/>
      <c r="HP149" s="926"/>
      <c r="HQ149" s="926"/>
      <c r="HR149" s="926"/>
      <c r="HS149" s="926"/>
      <c r="HT149" s="926"/>
      <c r="HU149" s="926"/>
      <c r="HV149" s="926"/>
      <c r="HW149" s="926"/>
      <c r="HX149" s="926"/>
      <c r="HY149" s="926"/>
      <c r="HZ149" s="926"/>
      <c r="IA149" s="926"/>
      <c r="IB149" s="926"/>
      <c r="IC149" s="926"/>
      <c r="ID149" s="926"/>
      <c r="IE149" s="926"/>
      <c r="IF149" s="926"/>
      <c r="IG149" s="926"/>
      <c r="IH149" s="926"/>
      <c r="II149" s="926"/>
      <c r="IJ149" s="926"/>
      <c r="IK149" s="926"/>
      <c r="IL149" s="926"/>
      <c r="IM149" s="926"/>
    </row>
    <row r="150" spans="1:247" x14ac:dyDescent="0.45">
      <c r="A150" s="441">
        <v>7314</v>
      </c>
      <c r="B150" s="939" t="s">
        <v>2685</v>
      </c>
      <c r="C150" s="47" t="s">
        <v>35</v>
      </c>
      <c r="D150" s="449" t="s">
        <v>2545</v>
      </c>
      <c r="E150" s="946">
        <f t="shared" si="31"/>
        <v>1.0740000000000001</v>
      </c>
      <c r="F150" s="941">
        <f t="shared" si="29"/>
        <v>1.0209999999999999</v>
      </c>
      <c r="G150" s="947">
        <f t="shared" si="32"/>
        <v>1.0269999999999999</v>
      </c>
      <c r="H150" s="946">
        <f t="shared" si="33"/>
        <v>1.0029999999999999</v>
      </c>
      <c r="I150" s="948">
        <f t="shared" si="34"/>
        <v>1.0289999999999999</v>
      </c>
      <c r="J150" s="948">
        <f t="shared" si="35"/>
        <v>1.0049999999999999</v>
      </c>
      <c r="K150" s="948">
        <f t="shared" si="36"/>
        <v>1.026</v>
      </c>
      <c r="L150" s="948">
        <f t="shared" si="37"/>
        <v>1.0129999999999999</v>
      </c>
      <c r="M150" s="948">
        <f t="shared" si="38"/>
        <v>1.0029999999999999</v>
      </c>
      <c r="N150" s="947">
        <f t="shared" si="39"/>
        <v>1.0029999999999999</v>
      </c>
      <c r="O150" s="949">
        <f t="shared" si="40"/>
        <v>1.0209999999999999</v>
      </c>
      <c r="P150" s="946">
        <f t="shared" si="41"/>
        <v>1.032</v>
      </c>
      <c r="Q150" s="947">
        <f t="shared" si="42"/>
        <v>1.0349999999999999</v>
      </c>
      <c r="R150" s="950">
        <f t="shared" si="30"/>
        <v>1.3319480854780448</v>
      </c>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926"/>
      <c r="BF150" s="926"/>
      <c r="BG150" s="926"/>
      <c r="BH150" s="926"/>
      <c r="BI150" s="926"/>
      <c r="BJ150" s="926"/>
      <c r="BK150" s="926"/>
      <c r="BL150" s="926"/>
      <c r="BM150" s="926"/>
      <c r="BN150" s="926"/>
      <c r="BO150" s="926"/>
      <c r="BP150" s="926"/>
      <c r="BQ150" s="926"/>
      <c r="BR150" s="926"/>
      <c r="BS150" s="926"/>
      <c r="BT150" s="926"/>
      <c r="BU150" s="926"/>
      <c r="BV150" s="926"/>
      <c r="BW150" s="926"/>
      <c r="BX150" s="926"/>
      <c r="BY150" s="926"/>
      <c r="BZ150" s="926"/>
      <c r="CA150" s="926"/>
      <c r="CB150" s="926"/>
      <c r="CC150" s="926"/>
      <c r="CD150" s="926"/>
      <c r="CE150" s="926"/>
      <c r="CF150" s="926"/>
      <c r="CG150" s="926"/>
      <c r="CH150" s="926"/>
      <c r="CI150" s="926"/>
      <c r="CJ150" s="926"/>
      <c r="CK150" s="926"/>
      <c r="CL150" s="926"/>
      <c r="CM150" s="926"/>
      <c r="CN150" s="926"/>
      <c r="CO150" s="926"/>
      <c r="CP150" s="926"/>
      <c r="CQ150" s="926"/>
      <c r="CR150" s="926"/>
      <c r="CS150" s="926"/>
      <c r="CT150" s="926"/>
      <c r="CU150" s="926"/>
      <c r="CV150" s="926"/>
      <c r="CW150" s="926"/>
      <c r="CX150" s="926"/>
      <c r="CY150" s="926"/>
      <c r="CZ150" s="926"/>
      <c r="DA150" s="926"/>
      <c r="DB150" s="926"/>
      <c r="DC150" s="926"/>
      <c r="DD150" s="926"/>
      <c r="DE150" s="926"/>
      <c r="DF150" s="926"/>
      <c r="DG150" s="926"/>
      <c r="DH150" s="926"/>
      <c r="DI150" s="926"/>
      <c r="DJ150" s="926"/>
      <c r="DK150" s="926"/>
      <c r="DL150" s="926"/>
      <c r="DM150" s="926"/>
      <c r="DN150" s="926"/>
      <c r="DO150" s="926"/>
      <c r="DP150" s="926"/>
      <c r="DQ150" s="926"/>
      <c r="DR150" s="926"/>
      <c r="DS150" s="926"/>
      <c r="DT150" s="926"/>
      <c r="DU150" s="926"/>
      <c r="DV150" s="926"/>
      <c r="DW150" s="926"/>
      <c r="DX150" s="926"/>
      <c r="DY150" s="926"/>
      <c r="DZ150" s="926"/>
      <c r="EA150" s="926"/>
      <c r="EB150" s="926"/>
      <c r="EC150" s="926"/>
      <c r="ED150" s="926"/>
      <c r="EE150" s="926"/>
      <c r="EF150" s="926"/>
      <c r="EG150" s="926"/>
      <c r="EH150" s="926"/>
      <c r="EI150" s="926"/>
      <c r="EJ150" s="926"/>
      <c r="EK150" s="926"/>
      <c r="EL150" s="926"/>
      <c r="EM150" s="926"/>
      <c r="EN150" s="926"/>
      <c r="EO150" s="926"/>
      <c r="EP150" s="926"/>
      <c r="EQ150" s="926"/>
      <c r="ER150" s="926"/>
      <c r="ES150" s="926"/>
      <c r="ET150" s="926"/>
      <c r="EU150" s="926"/>
      <c r="EV150" s="926"/>
      <c r="EW150" s="926"/>
      <c r="EX150" s="926"/>
      <c r="EY150" s="926"/>
      <c r="EZ150" s="926"/>
      <c r="FA150" s="926"/>
      <c r="FB150" s="926"/>
      <c r="FC150" s="926"/>
      <c r="FD150" s="926"/>
      <c r="FE150" s="926"/>
      <c r="FF150" s="926"/>
      <c r="FG150" s="926"/>
      <c r="FH150" s="926"/>
      <c r="FI150" s="926"/>
      <c r="FJ150" s="926"/>
      <c r="FK150" s="926"/>
      <c r="FL150" s="926"/>
      <c r="FM150" s="926"/>
      <c r="FN150" s="926"/>
      <c r="FO150" s="926"/>
      <c r="FP150" s="926"/>
      <c r="FQ150" s="926"/>
      <c r="FR150" s="926"/>
      <c r="FS150" s="926"/>
      <c r="FT150" s="926"/>
      <c r="FU150" s="926"/>
      <c r="FV150" s="926"/>
      <c r="FW150" s="926"/>
      <c r="FX150" s="926"/>
      <c r="FY150" s="926"/>
      <c r="FZ150" s="926"/>
      <c r="GA150" s="926"/>
      <c r="GB150" s="926"/>
      <c r="GC150" s="926"/>
      <c r="GD150" s="926"/>
      <c r="GE150" s="926"/>
      <c r="GF150" s="926"/>
      <c r="GG150" s="926"/>
      <c r="GH150" s="926"/>
      <c r="GI150" s="926"/>
      <c r="GJ150" s="926"/>
      <c r="GK150" s="926"/>
      <c r="GL150" s="926"/>
      <c r="GM150" s="926"/>
      <c r="GN150" s="926"/>
      <c r="GO150" s="926"/>
      <c r="GP150" s="926"/>
      <c r="GQ150" s="926"/>
      <c r="GR150" s="926"/>
      <c r="GS150" s="926"/>
      <c r="GT150" s="926"/>
      <c r="GU150" s="926"/>
      <c r="GV150" s="926"/>
      <c r="GW150" s="926"/>
      <c r="GX150" s="926"/>
      <c r="GY150" s="926"/>
      <c r="GZ150" s="926"/>
      <c r="HA150" s="926"/>
      <c r="HB150" s="926"/>
      <c r="HC150" s="926"/>
      <c r="HD150" s="926"/>
      <c r="HE150" s="926"/>
      <c r="HF150" s="926"/>
      <c r="HG150" s="926"/>
      <c r="HH150" s="926"/>
      <c r="HI150" s="926"/>
      <c r="HJ150" s="926"/>
      <c r="HK150" s="926"/>
      <c r="HL150" s="926"/>
      <c r="HM150" s="926"/>
      <c r="HN150" s="926"/>
      <c r="HO150" s="926"/>
      <c r="HP150" s="926"/>
      <c r="HQ150" s="926"/>
      <c r="HR150" s="926"/>
      <c r="HS150" s="926"/>
      <c r="HT150" s="926"/>
      <c r="HU150" s="926"/>
      <c r="HV150" s="926"/>
      <c r="HW150" s="926"/>
      <c r="HX150" s="926"/>
      <c r="HY150" s="926"/>
      <c r="HZ150" s="926"/>
      <c r="IA150" s="926"/>
      <c r="IB150" s="926"/>
      <c r="IC150" s="926"/>
      <c r="ID150" s="926"/>
      <c r="IE150" s="926"/>
      <c r="IF150" s="926"/>
      <c r="IG150" s="926"/>
      <c r="IH150" s="926"/>
      <c r="II150" s="926"/>
      <c r="IJ150" s="926"/>
      <c r="IK150" s="926"/>
      <c r="IL150" s="926"/>
      <c r="IM150" s="926"/>
    </row>
    <row r="151" spans="1:247" x14ac:dyDescent="0.45">
      <c r="A151" s="441">
        <v>7321</v>
      </c>
      <c r="B151" s="939" t="s">
        <v>2686</v>
      </c>
      <c r="C151" s="47" t="s">
        <v>35</v>
      </c>
      <c r="D151" s="449" t="s">
        <v>2545</v>
      </c>
      <c r="E151" s="946"/>
      <c r="F151" s="941">
        <f t="shared" si="29"/>
        <v>1.0209999999999999</v>
      </c>
      <c r="G151" s="947">
        <f t="shared" si="32"/>
        <v>1.0269999999999999</v>
      </c>
      <c r="H151" s="946">
        <f t="shared" si="33"/>
        <v>1.0029999999999999</v>
      </c>
      <c r="I151" s="948">
        <f t="shared" si="34"/>
        <v>1.0289999999999999</v>
      </c>
      <c r="J151" s="948">
        <f t="shared" si="35"/>
        <v>1.0049999999999999</v>
      </c>
      <c r="K151" s="948"/>
      <c r="L151" s="948">
        <f t="shared" si="37"/>
        <v>1.0129999999999999</v>
      </c>
      <c r="M151" s="948">
        <f t="shared" si="38"/>
        <v>1.0029999999999999</v>
      </c>
      <c r="N151" s="947">
        <f t="shared" si="39"/>
        <v>1.0029999999999999</v>
      </c>
      <c r="O151" s="949"/>
      <c r="P151" s="946">
        <f t="shared" si="41"/>
        <v>1.032</v>
      </c>
      <c r="Q151" s="947">
        <f t="shared" si="42"/>
        <v>1.0349999999999999</v>
      </c>
      <c r="R151" s="950">
        <f t="shared" si="30"/>
        <v>1.1838860786480316</v>
      </c>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926"/>
      <c r="BA151" s="926"/>
      <c r="BB151" s="926"/>
      <c r="BC151" s="926"/>
      <c r="BD151" s="926"/>
      <c r="BE151" s="926"/>
      <c r="BF151" s="926"/>
      <c r="BG151" s="926"/>
      <c r="BH151" s="926"/>
      <c r="BI151" s="926"/>
      <c r="BJ151" s="926"/>
      <c r="BK151" s="926"/>
      <c r="BL151" s="926"/>
      <c r="BM151" s="926"/>
      <c r="BN151" s="926"/>
      <c r="BO151" s="926"/>
      <c r="BP151" s="926"/>
      <c r="BQ151" s="926"/>
      <c r="BR151" s="926"/>
      <c r="BS151" s="926"/>
      <c r="BT151" s="926"/>
      <c r="BU151" s="926"/>
      <c r="BV151" s="926"/>
      <c r="BW151" s="926"/>
      <c r="BX151" s="926"/>
      <c r="BY151" s="926"/>
      <c r="BZ151" s="926"/>
      <c r="CA151" s="926"/>
      <c r="CB151" s="926"/>
      <c r="CC151" s="926"/>
      <c r="CD151" s="926"/>
      <c r="CE151" s="926"/>
      <c r="CF151" s="926"/>
      <c r="CG151" s="926"/>
      <c r="CH151" s="926"/>
      <c r="CI151" s="926"/>
      <c r="CJ151" s="926"/>
      <c r="CK151" s="926"/>
      <c r="CL151" s="926"/>
      <c r="CM151" s="926"/>
      <c r="CN151" s="926"/>
      <c r="CO151" s="926"/>
      <c r="CP151" s="926"/>
      <c r="CQ151" s="926"/>
      <c r="CR151" s="926"/>
      <c r="CS151" s="926"/>
      <c r="CT151" s="926"/>
      <c r="CU151" s="926"/>
      <c r="CV151" s="926"/>
      <c r="CW151" s="926"/>
      <c r="CX151" s="926"/>
      <c r="CY151" s="926"/>
      <c r="CZ151" s="926"/>
      <c r="DA151" s="926"/>
      <c r="DB151" s="926"/>
      <c r="DC151" s="926"/>
      <c r="DD151" s="926"/>
      <c r="DE151" s="926"/>
      <c r="DF151" s="926"/>
      <c r="DG151" s="926"/>
      <c r="DH151" s="926"/>
      <c r="DI151" s="926"/>
      <c r="DJ151" s="926"/>
      <c r="DK151" s="926"/>
      <c r="DL151" s="926"/>
      <c r="DM151" s="926"/>
      <c r="DN151" s="926"/>
      <c r="DO151" s="926"/>
      <c r="DP151" s="926"/>
      <c r="DQ151" s="926"/>
      <c r="DR151" s="926"/>
      <c r="DS151" s="926"/>
      <c r="DT151" s="926"/>
      <c r="DU151" s="926"/>
      <c r="DV151" s="926"/>
      <c r="DW151" s="926"/>
      <c r="DX151" s="926"/>
      <c r="DY151" s="926"/>
      <c r="DZ151" s="926"/>
      <c r="EA151" s="926"/>
      <c r="EB151" s="926"/>
      <c r="EC151" s="926"/>
      <c r="ED151" s="926"/>
      <c r="EE151" s="926"/>
      <c r="EF151" s="926"/>
      <c r="EG151" s="926"/>
      <c r="EH151" s="926"/>
      <c r="EI151" s="926"/>
      <c r="EJ151" s="926"/>
      <c r="EK151" s="926"/>
      <c r="EL151" s="926"/>
      <c r="EM151" s="926"/>
      <c r="EN151" s="926"/>
      <c r="EO151" s="926"/>
      <c r="EP151" s="926"/>
      <c r="EQ151" s="926"/>
      <c r="ER151" s="926"/>
      <c r="ES151" s="926"/>
      <c r="ET151" s="926"/>
      <c r="EU151" s="926"/>
      <c r="EV151" s="926"/>
      <c r="EW151" s="926"/>
      <c r="EX151" s="926"/>
      <c r="EY151" s="926"/>
      <c r="EZ151" s="926"/>
      <c r="FA151" s="926"/>
      <c r="FB151" s="926"/>
      <c r="FC151" s="926"/>
      <c r="FD151" s="926"/>
      <c r="FE151" s="926"/>
      <c r="FF151" s="926"/>
      <c r="FG151" s="926"/>
      <c r="FH151" s="926"/>
      <c r="FI151" s="926"/>
      <c r="FJ151" s="926"/>
      <c r="FK151" s="926"/>
      <c r="FL151" s="926"/>
      <c r="FM151" s="926"/>
      <c r="FN151" s="926"/>
      <c r="FO151" s="926"/>
      <c r="FP151" s="926"/>
      <c r="FQ151" s="926"/>
      <c r="FR151" s="926"/>
      <c r="FS151" s="926"/>
      <c r="FT151" s="926"/>
      <c r="FU151" s="926"/>
      <c r="FV151" s="926"/>
      <c r="FW151" s="926"/>
      <c r="FX151" s="926"/>
      <c r="FY151" s="926"/>
      <c r="FZ151" s="926"/>
      <c r="GA151" s="926"/>
      <c r="GB151" s="926"/>
      <c r="GC151" s="926"/>
      <c r="GD151" s="926"/>
      <c r="GE151" s="926"/>
      <c r="GF151" s="926"/>
      <c r="GG151" s="926"/>
      <c r="GH151" s="926"/>
      <c r="GI151" s="926"/>
      <c r="GJ151" s="926"/>
      <c r="GK151" s="926"/>
      <c r="GL151" s="926"/>
      <c r="GM151" s="926"/>
      <c r="GN151" s="926"/>
      <c r="GO151" s="926"/>
      <c r="GP151" s="926"/>
      <c r="GQ151" s="926"/>
      <c r="GR151" s="926"/>
      <c r="GS151" s="926"/>
      <c r="GT151" s="926"/>
      <c r="GU151" s="926"/>
      <c r="GV151" s="926"/>
      <c r="GW151" s="926"/>
      <c r="GX151" s="926"/>
      <c r="GY151" s="926"/>
      <c r="GZ151" s="926"/>
      <c r="HA151" s="926"/>
      <c r="HB151" s="926"/>
      <c r="HC151" s="926"/>
      <c r="HD151" s="926"/>
      <c r="HE151" s="926"/>
      <c r="HF151" s="926"/>
      <c r="HG151" s="926"/>
      <c r="HH151" s="926"/>
      <c r="HI151" s="926"/>
      <c r="HJ151" s="926"/>
      <c r="HK151" s="926"/>
      <c r="HL151" s="926"/>
      <c r="HM151" s="926"/>
      <c r="HN151" s="926"/>
      <c r="HO151" s="926"/>
      <c r="HP151" s="926"/>
      <c r="HQ151" s="926"/>
      <c r="HR151" s="926"/>
      <c r="HS151" s="926"/>
      <c r="HT151" s="926"/>
      <c r="HU151" s="926"/>
      <c r="HV151" s="926"/>
      <c r="HW151" s="926"/>
      <c r="HX151" s="926"/>
      <c r="HY151" s="926"/>
      <c r="HZ151" s="926"/>
      <c r="IA151" s="926"/>
      <c r="IB151" s="926"/>
      <c r="IC151" s="926"/>
      <c r="ID151" s="926"/>
      <c r="IE151" s="926"/>
      <c r="IF151" s="926"/>
      <c r="IG151" s="926"/>
      <c r="IH151" s="926"/>
      <c r="II151" s="926"/>
      <c r="IJ151" s="926"/>
      <c r="IK151" s="926"/>
      <c r="IL151" s="926"/>
      <c r="IM151" s="926"/>
    </row>
    <row r="152" spans="1:247" x14ac:dyDescent="0.45">
      <c r="A152" s="441">
        <v>7322</v>
      </c>
      <c r="B152" s="939" t="s">
        <v>2687</v>
      </c>
      <c r="C152" s="47" t="s">
        <v>35</v>
      </c>
      <c r="D152" s="449" t="s">
        <v>2545</v>
      </c>
      <c r="E152" s="946"/>
      <c r="F152" s="941">
        <f t="shared" si="29"/>
        <v>1.0209999999999999</v>
      </c>
      <c r="G152" s="947">
        <f t="shared" si="32"/>
        <v>1.0269999999999999</v>
      </c>
      <c r="H152" s="946">
        <f t="shared" si="33"/>
        <v>1.0029999999999999</v>
      </c>
      <c r="I152" s="948">
        <f t="shared" si="34"/>
        <v>1.0289999999999999</v>
      </c>
      <c r="J152" s="948">
        <f t="shared" si="35"/>
        <v>1.0049999999999999</v>
      </c>
      <c r="K152" s="948"/>
      <c r="L152" s="948">
        <f t="shared" si="37"/>
        <v>1.0129999999999999</v>
      </c>
      <c r="M152" s="948">
        <f t="shared" si="38"/>
        <v>1.0029999999999999</v>
      </c>
      <c r="N152" s="947">
        <f t="shared" si="39"/>
        <v>1.0029999999999999</v>
      </c>
      <c r="O152" s="949"/>
      <c r="P152" s="946">
        <f t="shared" si="41"/>
        <v>1.032</v>
      </c>
      <c r="Q152" s="947">
        <f t="shared" si="42"/>
        <v>1.0349999999999999</v>
      </c>
      <c r="R152" s="950">
        <f t="shared" si="30"/>
        <v>1.1838860786480316</v>
      </c>
      <c r="S152" s="926"/>
      <c r="T152" s="926"/>
      <c r="U152" s="926"/>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6"/>
      <c r="AV152" s="926"/>
      <c r="AW152" s="926"/>
      <c r="AX152" s="926"/>
      <c r="AY152" s="926"/>
      <c r="AZ152" s="926"/>
      <c r="BA152" s="926"/>
      <c r="BB152" s="926"/>
      <c r="BC152" s="926"/>
      <c r="BD152" s="926"/>
      <c r="BE152" s="926"/>
      <c r="BF152" s="926"/>
      <c r="BG152" s="926"/>
      <c r="BH152" s="926"/>
      <c r="BI152" s="926"/>
      <c r="BJ152" s="926"/>
      <c r="BK152" s="926"/>
      <c r="BL152" s="926"/>
      <c r="BM152" s="926"/>
      <c r="BN152" s="926"/>
      <c r="BO152" s="926"/>
      <c r="BP152" s="926"/>
      <c r="BQ152" s="926"/>
      <c r="BR152" s="926"/>
      <c r="BS152" s="926"/>
      <c r="BT152" s="926"/>
      <c r="BU152" s="926"/>
      <c r="BV152" s="926"/>
      <c r="BW152" s="926"/>
      <c r="BX152" s="926"/>
      <c r="BY152" s="926"/>
      <c r="BZ152" s="926"/>
      <c r="CA152" s="926"/>
      <c r="CB152" s="926"/>
      <c r="CC152" s="926"/>
      <c r="CD152" s="926"/>
      <c r="CE152" s="926"/>
      <c r="CF152" s="926"/>
      <c r="CG152" s="926"/>
      <c r="CH152" s="926"/>
      <c r="CI152" s="926"/>
      <c r="CJ152" s="926"/>
      <c r="CK152" s="926"/>
      <c r="CL152" s="926"/>
      <c r="CM152" s="926"/>
      <c r="CN152" s="926"/>
      <c r="CO152" s="926"/>
      <c r="CP152" s="926"/>
      <c r="CQ152" s="926"/>
      <c r="CR152" s="926"/>
      <c r="CS152" s="926"/>
      <c r="CT152" s="926"/>
      <c r="CU152" s="926"/>
      <c r="CV152" s="926"/>
      <c r="CW152" s="926"/>
      <c r="CX152" s="926"/>
      <c r="CY152" s="926"/>
      <c r="CZ152" s="926"/>
      <c r="DA152" s="926"/>
      <c r="DB152" s="926"/>
      <c r="DC152" s="926"/>
      <c r="DD152" s="926"/>
      <c r="DE152" s="926"/>
      <c r="DF152" s="926"/>
      <c r="DG152" s="926"/>
      <c r="DH152" s="926"/>
      <c r="DI152" s="926"/>
      <c r="DJ152" s="926"/>
      <c r="DK152" s="926"/>
      <c r="DL152" s="926"/>
      <c r="DM152" s="926"/>
      <c r="DN152" s="926"/>
      <c r="DO152" s="926"/>
      <c r="DP152" s="926"/>
      <c r="DQ152" s="926"/>
      <c r="DR152" s="926"/>
      <c r="DS152" s="926"/>
      <c r="DT152" s="926"/>
      <c r="DU152" s="926"/>
      <c r="DV152" s="926"/>
      <c r="DW152" s="926"/>
      <c r="DX152" s="926"/>
      <c r="DY152" s="926"/>
      <c r="DZ152" s="926"/>
      <c r="EA152" s="926"/>
      <c r="EB152" s="926"/>
      <c r="EC152" s="926"/>
      <c r="ED152" s="926"/>
      <c r="EE152" s="926"/>
      <c r="EF152" s="926"/>
      <c r="EG152" s="926"/>
      <c r="EH152" s="926"/>
      <c r="EI152" s="926"/>
      <c r="EJ152" s="926"/>
      <c r="EK152" s="926"/>
      <c r="EL152" s="926"/>
      <c r="EM152" s="926"/>
      <c r="EN152" s="926"/>
      <c r="EO152" s="926"/>
      <c r="EP152" s="926"/>
      <c r="EQ152" s="926"/>
      <c r="ER152" s="926"/>
      <c r="ES152" s="926"/>
      <c r="ET152" s="926"/>
      <c r="EU152" s="926"/>
      <c r="EV152" s="926"/>
      <c r="EW152" s="926"/>
      <c r="EX152" s="926"/>
      <c r="EY152" s="926"/>
      <c r="EZ152" s="926"/>
      <c r="FA152" s="926"/>
      <c r="FB152" s="926"/>
      <c r="FC152" s="926"/>
      <c r="FD152" s="926"/>
      <c r="FE152" s="926"/>
      <c r="FF152" s="926"/>
      <c r="FG152" s="926"/>
      <c r="FH152" s="926"/>
      <c r="FI152" s="926"/>
      <c r="FJ152" s="926"/>
      <c r="FK152" s="926"/>
      <c r="FL152" s="926"/>
      <c r="FM152" s="926"/>
      <c r="FN152" s="926"/>
      <c r="FO152" s="926"/>
      <c r="FP152" s="926"/>
      <c r="FQ152" s="926"/>
      <c r="FR152" s="926"/>
      <c r="FS152" s="926"/>
      <c r="FT152" s="926"/>
      <c r="FU152" s="926"/>
      <c r="FV152" s="926"/>
      <c r="FW152" s="926"/>
      <c r="FX152" s="926"/>
      <c r="FY152" s="926"/>
      <c r="FZ152" s="926"/>
      <c r="GA152" s="926"/>
      <c r="GB152" s="926"/>
      <c r="GC152" s="926"/>
      <c r="GD152" s="926"/>
      <c r="GE152" s="926"/>
      <c r="GF152" s="926"/>
      <c r="GG152" s="926"/>
      <c r="GH152" s="926"/>
      <c r="GI152" s="926"/>
      <c r="GJ152" s="926"/>
      <c r="GK152" s="926"/>
      <c r="GL152" s="926"/>
      <c r="GM152" s="926"/>
      <c r="GN152" s="926"/>
      <c r="GO152" s="926"/>
      <c r="GP152" s="926"/>
      <c r="GQ152" s="926"/>
      <c r="GR152" s="926"/>
      <c r="GS152" s="926"/>
      <c r="GT152" s="926"/>
      <c r="GU152" s="926"/>
      <c r="GV152" s="926"/>
      <c r="GW152" s="926"/>
      <c r="GX152" s="926"/>
      <c r="GY152" s="926"/>
      <c r="GZ152" s="926"/>
      <c r="HA152" s="926"/>
      <c r="HB152" s="926"/>
      <c r="HC152" s="926"/>
      <c r="HD152" s="926"/>
      <c r="HE152" s="926"/>
      <c r="HF152" s="926"/>
      <c r="HG152" s="926"/>
      <c r="HH152" s="926"/>
      <c r="HI152" s="926"/>
      <c r="HJ152" s="926"/>
      <c r="HK152" s="926"/>
      <c r="HL152" s="926"/>
      <c r="HM152" s="926"/>
      <c r="HN152" s="926"/>
      <c r="HO152" s="926"/>
      <c r="HP152" s="926"/>
      <c r="HQ152" s="926"/>
      <c r="HR152" s="926"/>
      <c r="HS152" s="926"/>
      <c r="HT152" s="926"/>
      <c r="HU152" s="926"/>
      <c r="HV152" s="926"/>
      <c r="HW152" s="926"/>
      <c r="HX152" s="926"/>
      <c r="HY152" s="926"/>
      <c r="HZ152" s="926"/>
      <c r="IA152" s="926"/>
      <c r="IB152" s="926"/>
      <c r="IC152" s="926"/>
      <c r="ID152" s="926"/>
      <c r="IE152" s="926"/>
      <c r="IF152" s="926"/>
      <c r="IG152" s="926"/>
      <c r="IH152" s="926"/>
      <c r="II152" s="926"/>
      <c r="IJ152" s="926"/>
      <c r="IK152" s="926"/>
      <c r="IL152" s="926"/>
      <c r="IM152" s="926"/>
    </row>
    <row r="153" spans="1:247" x14ac:dyDescent="0.45">
      <c r="A153" s="441">
        <v>7323</v>
      </c>
      <c r="B153" s="939" t="s">
        <v>2688</v>
      </c>
      <c r="C153" s="47" t="s">
        <v>35</v>
      </c>
      <c r="D153" s="449" t="s">
        <v>2545</v>
      </c>
      <c r="E153" s="946"/>
      <c r="F153" s="941">
        <f t="shared" si="29"/>
        <v>1.0209999999999999</v>
      </c>
      <c r="G153" s="947"/>
      <c r="H153" s="946"/>
      <c r="I153" s="948"/>
      <c r="J153" s="948"/>
      <c r="K153" s="948"/>
      <c r="L153" s="948"/>
      <c r="M153" s="948"/>
      <c r="N153" s="947"/>
      <c r="O153" s="949"/>
      <c r="P153" s="946"/>
      <c r="Q153" s="947"/>
      <c r="R153" s="950">
        <f t="shared" si="30"/>
        <v>1.0209999999999999</v>
      </c>
      <c r="S153" s="926"/>
      <c r="T153" s="926"/>
      <c r="U153" s="926"/>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6"/>
      <c r="AV153" s="926"/>
      <c r="AW153" s="926"/>
      <c r="AX153" s="926"/>
      <c r="AY153" s="926"/>
      <c r="AZ153" s="926"/>
      <c r="BA153" s="926"/>
      <c r="BB153" s="926"/>
      <c r="BC153" s="926"/>
      <c r="BD153" s="926"/>
      <c r="BE153" s="926"/>
      <c r="BF153" s="926"/>
      <c r="BG153" s="926"/>
      <c r="BH153" s="926"/>
      <c r="BI153" s="926"/>
      <c r="BJ153" s="926"/>
      <c r="BK153" s="926"/>
      <c r="BL153" s="926"/>
      <c r="BM153" s="926"/>
      <c r="BN153" s="926"/>
      <c r="BO153" s="926"/>
      <c r="BP153" s="926"/>
      <c r="BQ153" s="926"/>
      <c r="BR153" s="926"/>
      <c r="BS153" s="926"/>
      <c r="BT153" s="926"/>
      <c r="BU153" s="926"/>
      <c r="BV153" s="926"/>
      <c r="BW153" s="926"/>
      <c r="BX153" s="926"/>
      <c r="BY153" s="926"/>
      <c r="BZ153" s="926"/>
      <c r="CA153" s="926"/>
      <c r="CB153" s="926"/>
      <c r="CC153" s="926"/>
      <c r="CD153" s="926"/>
      <c r="CE153" s="926"/>
      <c r="CF153" s="926"/>
      <c r="CG153" s="926"/>
      <c r="CH153" s="926"/>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6"/>
      <c r="DD153" s="926"/>
      <c r="DE153" s="926"/>
      <c r="DF153" s="926"/>
      <c r="DG153" s="926"/>
      <c r="DH153" s="926"/>
      <c r="DI153" s="926"/>
      <c r="DJ153" s="926"/>
      <c r="DK153" s="926"/>
      <c r="DL153" s="926"/>
      <c r="DM153" s="926"/>
      <c r="DN153" s="926"/>
      <c r="DO153" s="926"/>
      <c r="DP153" s="926"/>
      <c r="DQ153" s="926"/>
      <c r="DR153" s="926"/>
      <c r="DS153" s="926"/>
      <c r="DT153" s="926"/>
      <c r="DU153" s="926"/>
      <c r="DV153" s="926"/>
      <c r="DW153" s="926"/>
      <c r="DX153" s="926"/>
      <c r="DY153" s="926"/>
      <c r="DZ153" s="926"/>
      <c r="EA153" s="926"/>
      <c r="EB153" s="926"/>
      <c r="EC153" s="926"/>
      <c r="ED153" s="926"/>
      <c r="EE153" s="926"/>
      <c r="EF153" s="926"/>
      <c r="EG153" s="926"/>
      <c r="EH153" s="926"/>
      <c r="EI153" s="926"/>
      <c r="EJ153" s="926"/>
      <c r="EK153" s="926"/>
      <c r="EL153" s="926"/>
      <c r="EM153" s="926"/>
      <c r="EN153" s="926"/>
      <c r="EO153" s="926"/>
      <c r="EP153" s="926"/>
      <c r="EQ153" s="926"/>
      <c r="ER153" s="926"/>
      <c r="ES153" s="926"/>
      <c r="ET153" s="926"/>
      <c r="EU153" s="926"/>
      <c r="EV153" s="926"/>
      <c r="EW153" s="926"/>
      <c r="EX153" s="926"/>
      <c r="EY153" s="926"/>
      <c r="EZ153" s="926"/>
      <c r="FA153" s="926"/>
      <c r="FB153" s="926"/>
      <c r="FC153" s="926"/>
      <c r="FD153" s="926"/>
      <c r="FE153" s="926"/>
      <c r="FF153" s="926"/>
      <c r="FG153" s="926"/>
      <c r="FH153" s="926"/>
      <c r="FI153" s="926"/>
      <c r="FJ153" s="926"/>
      <c r="FK153" s="926"/>
      <c r="FL153" s="926"/>
      <c r="FM153" s="926"/>
      <c r="FN153" s="926"/>
      <c r="FO153" s="926"/>
      <c r="FP153" s="926"/>
      <c r="FQ153" s="926"/>
      <c r="FR153" s="926"/>
      <c r="FS153" s="926"/>
      <c r="FT153" s="926"/>
      <c r="FU153" s="926"/>
      <c r="FV153" s="926"/>
      <c r="FW153" s="926"/>
      <c r="FX153" s="926"/>
      <c r="FY153" s="926"/>
      <c r="FZ153" s="926"/>
      <c r="GA153" s="926"/>
      <c r="GB153" s="926"/>
      <c r="GC153" s="926"/>
      <c r="GD153" s="926"/>
      <c r="GE153" s="926"/>
      <c r="GF153" s="926"/>
      <c r="GG153" s="926"/>
      <c r="GH153" s="926"/>
      <c r="GI153" s="926"/>
      <c r="GJ153" s="926"/>
      <c r="GK153" s="926"/>
      <c r="GL153" s="926"/>
      <c r="GM153" s="926"/>
      <c r="GN153" s="926"/>
      <c r="GO153" s="926"/>
      <c r="GP153" s="926"/>
      <c r="GQ153" s="926"/>
      <c r="GR153" s="926"/>
      <c r="GS153" s="926"/>
      <c r="GT153" s="926"/>
      <c r="GU153" s="926"/>
      <c r="GV153" s="926"/>
      <c r="GW153" s="926"/>
      <c r="GX153" s="926"/>
      <c r="GY153" s="926"/>
      <c r="GZ153" s="926"/>
      <c r="HA153" s="926"/>
      <c r="HB153" s="926"/>
      <c r="HC153" s="926"/>
      <c r="HD153" s="926"/>
      <c r="HE153" s="926"/>
      <c r="HF153" s="926"/>
      <c r="HG153" s="926"/>
      <c r="HH153" s="926"/>
      <c r="HI153" s="926"/>
      <c r="HJ153" s="926"/>
      <c r="HK153" s="926"/>
      <c r="HL153" s="926"/>
      <c r="HM153" s="926"/>
      <c r="HN153" s="926"/>
      <c r="HO153" s="926"/>
      <c r="HP153" s="926"/>
      <c r="HQ153" s="926"/>
      <c r="HR153" s="926"/>
      <c r="HS153" s="926"/>
      <c r="HT153" s="926"/>
      <c r="HU153" s="926"/>
      <c r="HV153" s="926"/>
      <c r="HW153" s="926"/>
      <c r="HX153" s="926"/>
      <c r="HY153" s="926"/>
      <c r="HZ153" s="926"/>
      <c r="IA153" s="926"/>
      <c r="IB153" s="926"/>
      <c r="IC153" s="926"/>
      <c r="ID153" s="926"/>
      <c r="IE153" s="926"/>
      <c r="IF153" s="926"/>
      <c r="IG153" s="926"/>
      <c r="IH153" s="926"/>
      <c r="II153" s="926"/>
      <c r="IJ153" s="926"/>
      <c r="IK153" s="926"/>
      <c r="IL153" s="926"/>
      <c r="IM153" s="926"/>
    </row>
    <row r="154" spans="1:247" x14ac:dyDescent="0.45">
      <c r="A154" s="441">
        <v>7331</v>
      </c>
      <c r="B154" s="939" t="s">
        <v>2689</v>
      </c>
      <c r="C154" s="47" t="s">
        <v>35</v>
      </c>
      <c r="D154" s="449" t="s">
        <v>2545</v>
      </c>
      <c r="E154" s="946">
        <f>+$E$3</f>
        <v>1.0740000000000001</v>
      </c>
      <c r="F154" s="941">
        <f t="shared" si="29"/>
        <v>1.0209999999999999</v>
      </c>
      <c r="G154" s="947">
        <f>+$G$3</f>
        <v>1.0269999999999999</v>
      </c>
      <c r="H154" s="946"/>
      <c r="I154" s="948"/>
      <c r="J154" s="948">
        <f>+$J$3</f>
        <v>1.0049999999999999</v>
      </c>
      <c r="K154" s="948">
        <f>+$K$3</f>
        <v>1.026</v>
      </c>
      <c r="L154" s="948">
        <f>+$L$3</f>
        <v>1.0129999999999999</v>
      </c>
      <c r="M154" s="948">
        <f>+$M$3</f>
        <v>1.0029999999999999</v>
      </c>
      <c r="N154" s="947">
        <f t="shared" ref="N154:N167" si="43">+$N$3</f>
        <v>1.0029999999999999</v>
      </c>
      <c r="O154" s="949">
        <f>+$O$3</f>
        <v>1.0209999999999999</v>
      </c>
      <c r="P154" s="946">
        <f>+$P$3</f>
        <v>1.032</v>
      </c>
      <c r="Q154" s="947">
        <f>+$Q$3</f>
        <v>1.0349999999999999</v>
      </c>
      <c r="R154" s="950">
        <f t="shared" si="30"/>
        <v>1.290538574246207</v>
      </c>
      <c r="S154" s="926"/>
      <c r="T154" s="926"/>
      <c r="U154" s="926"/>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6"/>
      <c r="AV154" s="926"/>
      <c r="AW154" s="926"/>
      <c r="AX154" s="926"/>
      <c r="AY154" s="926"/>
      <c r="AZ154" s="926"/>
      <c r="BA154" s="926"/>
      <c r="BB154" s="926"/>
      <c r="BC154" s="926"/>
      <c r="BD154" s="926"/>
      <c r="BE154" s="926"/>
      <c r="BF154" s="926"/>
      <c r="BG154" s="926"/>
      <c r="BH154" s="926"/>
      <c r="BI154" s="926"/>
      <c r="BJ154" s="926"/>
      <c r="BK154" s="926"/>
      <c r="BL154" s="926"/>
      <c r="BM154" s="926"/>
      <c r="BN154" s="926"/>
      <c r="BO154" s="926"/>
      <c r="BP154" s="926"/>
      <c r="BQ154" s="926"/>
      <c r="BR154" s="926"/>
      <c r="BS154" s="926"/>
      <c r="BT154" s="926"/>
      <c r="BU154" s="926"/>
      <c r="BV154" s="926"/>
      <c r="BW154" s="926"/>
      <c r="BX154" s="926"/>
      <c r="BY154" s="926"/>
      <c r="BZ154" s="926"/>
      <c r="CA154" s="926"/>
      <c r="CB154" s="926"/>
      <c r="CC154" s="926"/>
      <c r="CD154" s="926"/>
      <c r="CE154" s="926"/>
      <c r="CF154" s="926"/>
      <c r="CG154" s="926"/>
      <c r="CH154" s="926"/>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6"/>
      <c r="DD154" s="926"/>
      <c r="DE154" s="926"/>
      <c r="DF154" s="926"/>
      <c r="DG154" s="926"/>
      <c r="DH154" s="926"/>
      <c r="DI154" s="926"/>
      <c r="DJ154" s="926"/>
      <c r="DK154" s="926"/>
      <c r="DL154" s="926"/>
      <c r="DM154" s="926"/>
      <c r="DN154" s="926"/>
      <c r="DO154" s="926"/>
      <c r="DP154" s="926"/>
      <c r="DQ154" s="926"/>
      <c r="DR154" s="926"/>
      <c r="DS154" s="926"/>
      <c r="DT154" s="926"/>
      <c r="DU154" s="926"/>
      <c r="DV154" s="926"/>
      <c r="DW154" s="926"/>
      <c r="DX154" s="926"/>
      <c r="DY154" s="926"/>
      <c r="DZ154" s="926"/>
      <c r="EA154" s="926"/>
      <c r="EB154" s="926"/>
      <c r="EC154" s="926"/>
      <c r="ED154" s="926"/>
      <c r="EE154" s="926"/>
      <c r="EF154" s="926"/>
      <c r="EG154" s="926"/>
      <c r="EH154" s="926"/>
      <c r="EI154" s="926"/>
      <c r="EJ154" s="926"/>
      <c r="EK154" s="926"/>
      <c r="EL154" s="926"/>
      <c r="EM154" s="926"/>
      <c r="EN154" s="926"/>
      <c r="EO154" s="926"/>
      <c r="EP154" s="926"/>
      <c r="EQ154" s="926"/>
      <c r="ER154" s="926"/>
      <c r="ES154" s="926"/>
      <c r="ET154" s="926"/>
      <c r="EU154" s="926"/>
      <c r="EV154" s="926"/>
      <c r="EW154" s="926"/>
      <c r="EX154" s="926"/>
      <c r="EY154" s="926"/>
      <c r="EZ154" s="926"/>
      <c r="FA154" s="926"/>
      <c r="FB154" s="926"/>
      <c r="FC154" s="926"/>
      <c r="FD154" s="926"/>
      <c r="FE154" s="926"/>
      <c r="FF154" s="926"/>
      <c r="FG154" s="926"/>
      <c r="FH154" s="926"/>
      <c r="FI154" s="926"/>
      <c r="FJ154" s="926"/>
      <c r="FK154" s="926"/>
      <c r="FL154" s="926"/>
      <c r="FM154" s="926"/>
      <c r="FN154" s="926"/>
      <c r="FO154" s="926"/>
      <c r="FP154" s="926"/>
      <c r="FQ154" s="926"/>
      <c r="FR154" s="926"/>
      <c r="FS154" s="926"/>
      <c r="FT154" s="926"/>
      <c r="FU154" s="926"/>
      <c r="FV154" s="926"/>
      <c r="FW154" s="926"/>
      <c r="FX154" s="926"/>
      <c r="FY154" s="926"/>
      <c r="FZ154" s="926"/>
      <c r="GA154" s="926"/>
      <c r="GB154" s="926"/>
      <c r="GC154" s="926"/>
      <c r="GD154" s="926"/>
      <c r="GE154" s="926"/>
      <c r="GF154" s="926"/>
      <c r="GG154" s="926"/>
      <c r="GH154" s="926"/>
      <c r="GI154" s="926"/>
      <c r="GJ154" s="926"/>
      <c r="GK154" s="926"/>
      <c r="GL154" s="926"/>
      <c r="GM154" s="926"/>
      <c r="GN154" s="926"/>
      <c r="GO154" s="926"/>
      <c r="GP154" s="926"/>
      <c r="GQ154" s="926"/>
      <c r="GR154" s="926"/>
      <c r="GS154" s="926"/>
      <c r="GT154" s="926"/>
      <c r="GU154" s="926"/>
      <c r="GV154" s="926"/>
      <c r="GW154" s="926"/>
      <c r="GX154" s="926"/>
      <c r="GY154" s="926"/>
      <c r="GZ154" s="926"/>
      <c r="HA154" s="926"/>
      <c r="HB154" s="926"/>
      <c r="HC154" s="926"/>
      <c r="HD154" s="926"/>
      <c r="HE154" s="926"/>
      <c r="HF154" s="926"/>
      <c r="HG154" s="926"/>
      <c r="HH154" s="926"/>
      <c r="HI154" s="926"/>
      <c r="HJ154" s="926"/>
      <c r="HK154" s="926"/>
      <c r="HL154" s="926"/>
      <c r="HM154" s="926"/>
      <c r="HN154" s="926"/>
      <c r="HO154" s="926"/>
      <c r="HP154" s="926"/>
      <c r="HQ154" s="926"/>
      <c r="HR154" s="926"/>
      <c r="HS154" s="926"/>
      <c r="HT154" s="926"/>
      <c r="HU154" s="926"/>
      <c r="HV154" s="926"/>
      <c r="HW154" s="926"/>
      <c r="HX154" s="926"/>
      <c r="HY154" s="926"/>
      <c r="HZ154" s="926"/>
      <c r="IA154" s="926"/>
      <c r="IB154" s="926"/>
      <c r="IC154" s="926"/>
      <c r="ID154" s="926"/>
      <c r="IE154" s="926"/>
      <c r="IF154" s="926"/>
      <c r="IG154" s="926"/>
      <c r="IH154" s="926"/>
      <c r="II154" s="926"/>
      <c r="IJ154" s="926"/>
      <c r="IK154" s="926"/>
      <c r="IL154" s="926"/>
      <c r="IM154" s="926"/>
    </row>
    <row r="155" spans="1:247" x14ac:dyDescent="0.45">
      <c r="A155" s="441">
        <v>7333</v>
      </c>
      <c r="B155" s="939" t="s">
        <v>2690</v>
      </c>
      <c r="C155" s="47" t="s">
        <v>35</v>
      </c>
      <c r="D155" s="449" t="s">
        <v>2545</v>
      </c>
      <c r="E155" s="946">
        <f>+$E$3</f>
        <v>1.0740000000000001</v>
      </c>
      <c r="F155" s="941">
        <f t="shared" si="29"/>
        <v>1.0209999999999999</v>
      </c>
      <c r="G155" s="947">
        <f>+$G$3</f>
        <v>1.0269999999999999</v>
      </c>
      <c r="H155" s="946">
        <f>+$H$3</f>
        <v>1.0029999999999999</v>
      </c>
      <c r="I155" s="948">
        <f>+$I$3</f>
        <v>1.0289999999999999</v>
      </c>
      <c r="J155" s="948">
        <f>+$J$3</f>
        <v>1.0049999999999999</v>
      </c>
      <c r="K155" s="948">
        <f>+$K$3</f>
        <v>1.026</v>
      </c>
      <c r="L155" s="948">
        <f>+$L$3</f>
        <v>1.0129999999999999</v>
      </c>
      <c r="M155" s="948">
        <f>+$M$3</f>
        <v>1.0029999999999999</v>
      </c>
      <c r="N155" s="947">
        <f t="shared" si="43"/>
        <v>1.0029999999999999</v>
      </c>
      <c r="O155" s="949">
        <f>+$O$3</f>
        <v>1.0209999999999999</v>
      </c>
      <c r="P155" s="946">
        <f>+$P$3</f>
        <v>1.032</v>
      </c>
      <c r="Q155" s="947">
        <f>+$Q$3</f>
        <v>1.0349999999999999</v>
      </c>
      <c r="R155" s="950">
        <f t="shared" si="30"/>
        <v>1.3319480854780448</v>
      </c>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6"/>
      <c r="BN155" s="926"/>
      <c r="BO155" s="926"/>
      <c r="BP155" s="926"/>
      <c r="BQ155" s="926"/>
      <c r="BR155" s="926"/>
      <c r="BS155" s="926"/>
      <c r="BT155" s="926"/>
      <c r="BU155" s="926"/>
      <c r="BV155" s="926"/>
      <c r="BW155" s="926"/>
      <c r="BX155" s="926"/>
      <c r="BY155" s="926"/>
      <c r="BZ155" s="926"/>
      <c r="CA155" s="926"/>
      <c r="CB155" s="926"/>
      <c r="CC155" s="926"/>
      <c r="CD155" s="926"/>
      <c r="CE155" s="926"/>
      <c r="CF155" s="926"/>
      <c r="CG155" s="926"/>
      <c r="CH155" s="926"/>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6"/>
      <c r="DD155" s="926"/>
      <c r="DE155" s="926"/>
      <c r="DF155" s="926"/>
      <c r="DG155" s="926"/>
      <c r="DH155" s="926"/>
      <c r="DI155" s="926"/>
      <c r="DJ155" s="926"/>
      <c r="DK155" s="926"/>
      <c r="DL155" s="926"/>
      <c r="DM155" s="926"/>
      <c r="DN155" s="926"/>
      <c r="DO155" s="926"/>
      <c r="DP155" s="926"/>
      <c r="DQ155" s="926"/>
      <c r="DR155" s="926"/>
      <c r="DS155" s="926"/>
      <c r="DT155" s="926"/>
      <c r="DU155" s="926"/>
      <c r="DV155" s="926"/>
      <c r="DW155" s="926"/>
      <c r="DX155" s="926"/>
      <c r="DY155" s="926"/>
      <c r="DZ155" s="926"/>
      <c r="EA155" s="926"/>
      <c r="EB155" s="926"/>
      <c r="EC155" s="926"/>
      <c r="ED155" s="926"/>
      <c r="EE155" s="926"/>
      <c r="EF155" s="926"/>
      <c r="EG155" s="926"/>
      <c r="EH155" s="926"/>
      <c r="EI155" s="926"/>
      <c r="EJ155" s="926"/>
      <c r="EK155" s="926"/>
      <c r="EL155" s="926"/>
      <c r="EM155" s="926"/>
      <c r="EN155" s="926"/>
      <c r="EO155" s="926"/>
      <c r="EP155" s="926"/>
      <c r="EQ155" s="926"/>
      <c r="ER155" s="926"/>
      <c r="ES155" s="926"/>
      <c r="ET155" s="926"/>
      <c r="EU155" s="926"/>
      <c r="EV155" s="926"/>
      <c r="EW155" s="926"/>
      <c r="EX155" s="926"/>
      <c r="EY155" s="926"/>
      <c r="EZ155" s="926"/>
      <c r="FA155" s="926"/>
      <c r="FB155" s="926"/>
      <c r="FC155" s="926"/>
      <c r="FD155" s="926"/>
      <c r="FE155" s="926"/>
      <c r="FF155" s="926"/>
      <c r="FG155" s="926"/>
      <c r="FH155" s="926"/>
      <c r="FI155" s="926"/>
      <c r="FJ155" s="926"/>
      <c r="FK155" s="926"/>
      <c r="FL155" s="926"/>
      <c r="FM155" s="926"/>
      <c r="FN155" s="926"/>
      <c r="FO155" s="926"/>
      <c r="FP155" s="926"/>
      <c r="FQ155" s="926"/>
      <c r="FR155" s="926"/>
      <c r="FS155" s="926"/>
      <c r="FT155" s="926"/>
      <c r="FU155" s="926"/>
      <c r="FV155" s="926"/>
      <c r="FW155" s="926"/>
      <c r="FX155" s="926"/>
      <c r="FY155" s="926"/>
      <c r="FZ155" s="926"/>
      <c r="GA155" s="926"/>
      <c r="GB155" s="926"/>
      <c r="GC155" s="926"/>
      <c r="GD155" s="926"/>
      <c r="GE155" s="926"/>
      <c r="GF155" s="926"/>
      <c r="GG155" s="926"/>
      <c r="GH155" s="926"/>
      <c r="GI155" s="926"/>
      <c r="GJ155" s="926"/>
      <c r="GK155" s="926"/>
      <c r="GL155" s="926"/>
      <c r="GM155" s="926"/>
      <c r="GN155" s="926"/>
      <c r="GO155" s="926"/>
      <c r="GP155" s="926"/>
      <c r="GQ155" s="926"/>
      <c r="GR155" s="926"/>
      <c r="GS155" s="926"/>
      <c r="GT155" s="926"/>
      <c r="GU155" s="926"/>
      <c r="GV155" s="926"/>
      <c r="GW155" s="926"/>
      <c r="GX155" s="926"/>
      <c r="GY155" s="926"/>
      <c r="GZ155" s="926"/>
      <c r="HA155" s="926"/>
      <c r="HB155" s="926"/>
      <c r="HC155" s="926"/>
      <c r="HD155" s="926"/>
      <c r="HE155" s="926"/>
      <c r="HF155" s="926"/>
      <c r="HG155" s="926"/>
      <c r="HH155" s="926"/>
      <c r="HI155" s="926"/>
      <c r="HJ155" s="926"/>
      <c r="HK155" s="926"/>
      <c r="HL155" s="926"/>
      <c r="HM155" s="926"/>
      <c r="HN155" s="926"/>
      <c r="HO155" s="926"/>
      <c r="HP155" s="926"/>
      <c r="HQ155" s="926"/>
      <c r="HR155" s="926"/>
      <c r="HS155" s="926"/>
      <c r="HT155" s="926"/>
      <c r="HU155" s="926"/>
      <c r="HV155" s="926"/>
      <c r="HW155" s="926"/>
      <c r="HX155" s="926"/>
      <c r="HY155" s="926"/>
      <c r="HZ155" s="926"/>
      <c r="IA155" s="926"/>
      <c r="IB155" s="926"/>
      <c r="IC155" s="926"/>
      <c r="ID155" s="926"/>
      <c r="IE155" s="926"/>
      <c r="IF155" s="926"/>
      <c r="IG155" s="926"/>
      <c r="IH155" s="926"/>
      <c r="II155" s="926"/>
      <c r="IJ155" s="926"/>
      <c r="IK155" s="926"/>
      <c r="IL155" s="926"/>
      <c r="IM155" s="926"/>
    </row>
    <row r="156" spans="1:247" x14ac:dyDescent="0.45">
      <c r="A156" s="441">
        <v>7340</v>
      </c>
      <c r="B156" s="939" t="s">
        <v>2691</v>
      </c>
      <c r="C156" s="47" t="s">
        <v>35</v>
      </c>
      <c r="D156" s="449" t="s">
        <v>2545</v>
      </c>
      <c r="E156" s="946"/>
      <c r="F156" s="941">
        <f t="shared" si="29"/>
        <v>1.0209999999999999</v>
      </c>
      <c r="G156" s="947"/>
      <c r="H156" s="946"/>
      <c r="I156" s="948"/>
      <c r="J156" s="948">
        <f>+$J$3</f>
        <v>1.0049999999999999</v>
      </c>
      <c r="K156" s="948"/>
      <c r="L156" s="948"/>
      <c r="M156" s="948"/>
      <c r="N156" s="947">
        <f t="shared" si="43"/>
        <v>1.0029999999999999</v>
      </c>
      <c r="O156" s="949"/>
      <c r="P156" s="946"/>
      <c r="Q156" s="947"/>
      <c r="R156" s="950">
        <f t="shared" si="30"/>
        <v>1.0291833149999998</v>
      </c>
      <c r="S156" s="926"/>
      <c r="T156" s="926"/>
      <c r="U156" s="926"/>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6"/>
      <c r="AV156" s="926"/>
      <c r="AW156" s="926"/>
      <c r="AX156" s="926"/>
      <c r="AY156" s="926"/>
      <c r="AZ156" s="926"/>
      <c r="BA156" s="926"/>
      <c r="BB156" s="926"/>
      <c r="BC156" s="926"/>
      <c r="BD156" s="926"/>
      <c r="BE156" s="926"/>
      <c r="BF156" s="926"/>
      <c r="BG156" s="926"/>
      <c r="BH156" s="926"/>
      <c r="BI156" s="926"/>
      <c r="BJ156" s="926"/>
      <c r="BK156" s="926"/>
      <c r="BL156" s="926"/>
      <c r="BM156" s="926"/>
      <c r="BN156" s="926"/>
      <c r="BO156" s="926"/>
      <c r="BP156" s="926"/>
      <c r="BQ156" s="926"/>
      <c r="BR156" s="926"/>
      <c r="BS156" s="926"/>
      <c r="BT156" s="926"/>
      <c r="BU156" s="926"/>
      <c r="BV156" s="926"/>
      <c r="BW156" s="926"/>
      <c r="BX156" s="926"/>
      <c r="BY156" s="926"/>
      <c r="BZ156" s="926"/>
      <c r="CA156" s="926"/>
      <c r="CB156" s="926"/>
      <c r="CC156" s="926"/>
      <c r="CD156" s="926"/>
      <c r="CE156" s="926"/>
      <c r="CF156" s="926"/>
      <c r="CG156" s="926"/>
      <c r="CH156" s="926"/>
      <c r="CI156" s="926"/>
      <c r="CJ156" s="926"/>
      <c r="CK156" s="926"/>
      <c r="CL156" s="926"/>
      <c r="CM156" s="926"/>
      <c r="CN156" s="926"/>
      <c r="CO156" s="926"/>
      <c r="CP156" s="926"/>
      <c r="CQ156" s="926"/>
      <c r="CR156" s="926"/>
      <c r="CS156" s="926"/>
      <c r="CT156" s="926"/>
      <c r="CU156" s="926"/>
      <c r="CV156" s="926"/>
      <c r="CW156" s="926"/>
      <c r="CX156" s="926"/>
      <c r="CY156" s="926"/>
      <c r="CZ156" s="926"/>
      <c r="DA156" s="926"/>
      <c r="DB156" s="926"/>
      <c r="DC156" s="926"/>
      <c r="DD156" s="926"/>
      <c r="DE156" s="926"/>
      <c r="DF156" s="926"/>
      <c r="DG156" s="926"/>
      <c r="DH156" s="926"/>
      <c r="DI156" s="926"/>
      <c r="DJ156" s="926"/>
      <c r="DK156" s="926"/>
      <c r="DL156" s="926"/>
      <c r="DM156" s="926"/>
      <c r="DN156" s="926"/>
      <c r="DO156" s="926"/>
      <c r="DP156" s="926"/>
      <c r="DQ156" s="926"/>
      <c r="DR156" s="926"/>
      <c r="DS156" s="926"/>
      <c r="DT156" s="926"/>
      <c r="DU156" s="926"/>
      <c r="DV156" s="926"/>
      <c r="DW156" s="926"/>
      <c r="DX156" s="926"/>
      <c r="DY156" s="926"/>
      <c r="DZ156" s="926"/>
      <c r="EA156" s="926"/>
      <c r="EB156" s="926"/>
      <c r="EC156" s="926"/>
      <c r="ED156" s="926"/>
      <c r="EE156" s="926"/>
      <c r="EF156" s="926"/>
      <c r="EG156" s="926"/>
      <c r="EH156" s="926"/>
      <c r="EI156" s="926"/>
      <c r="EJ156" s="926"/>
      <c r="EK156" s="926"/>
      <c r="EL156" s="926"/>
      <c r="EM156" s="926"/>
      <c r="EN156" s="926"/>
      <c r="EO156" s="926"/>
      <c r="EP156" s="926"/>
      <c r="EQ156" s="926"/>
      <c r="ER156" s="926"/>
      <c r="ES156" s="926"/>
      <c r="ET156" s="926"/>
      <c r="EU156" s="926"/>
      <c r="EV156" s="926"/>
      <c r="EW156" s="926"/>
      <c r="EX156" s="926"/>
      <c r="EY156" s="926"/>
      <c r="EZ156" s="926"/>
      <c r="FA156" s="926"/>
      <c r="FB156" s="926"/>
      <c r="FC156" s="926"/>
      <c r="FD156" s="926"/>
      <c r="FE156" s="926"/>
      <c r="FF156" s="926"/>
      <c r="FG156" s="926"/>
      <c r="FH156" s="926"/>
      <c r="FI156" s="926"/>
      <c r="FJ156" s="926"/>
      <c r="FK156" s="926"/>
      <c r="FL156" s="926"/>
      <c r="FM156" s="926"/>
      <c r="FN156" s="926"/>
      <c r="FO156" s="926"/>
      <c r="FP156" s="926"/>
      <c r="FQ156" s="926"/>
      <c r="FR156" s="926"/>
      <c r="FS156" s="926"/>
      <c r="FT156" s="926"/>
      <c r="FU156" s="926"/>
      <c r="FV156" s="926"/>
      <c r="FW156" s="926"/>
      <c r="FX156" s="926"/>
      <c r="FY156" s="926"/>
      <c r="FZ156" s="926"/>
      <c r="GA156" s="926"/>
      <c r="GB156" s="926"/>
      <c r="GC156" s="926"/>
      <c r="GD156" s="926"/>
      <c r="GE156" s="926"/>
      <c r="GF156" s="926"/>
      <c r="GG156" s="926"/>
      <c r="GH156" s="926"/>
      <c r="GI156" s="926"/>
      <c r="GJ156" s="926"/>
      <c r="GK156" s="926"/>
      <c r="GL156" s="926"/>
      <c r="GM156" s="926"/>
      <c r="GN156" s="926"/>
      <c r="GO156" s="926"/>
      <c r="GP156" s="926"/>
      <c r="GQ156" s="926"/>
      <c r="GR156" s="926"/>
      <c r="GS156" s="926"/>
      <c r="GT156" s="926"/>
      <c r="GU156" s="926"/>
      <c r="GV156" s="926"/>
      <c r="GW156" s="926"/>
      <c r="GX156" s="926"/>
      <c r="GY156" s="926"/>
      <c r="GZ156" s="926"/>
      <c r="HA156" s="926"/>
      <c r="HB156" s="926"/>
      <c r="HC156" s="926"/>
      <c r="HD156" s="926"/>
      <c r="HE156" s="926"/>
      <c r="HF156" s="926"/>
      <c r="HG156" s="926"/>
      <c r="HH156" s="926"/>
      <c r="HI156" s="926"/>
      <c r="HJ156" s="926"/>
      <c r="HK156" s="926"/>
      <c r="HL156" s="926"/>
      <c r="HM156" s="926"/>
      <c r="HN156" s="926"/>
      <c r="HO156" s="926"/>
      <c r="HP156" s="926"/>
      <c r="HQ156" s="926"/>
      <c r="HR156" s="926"/>
      <c r="HS156" s="926"/>
      <c r="HT156" s="926"/>
      <c r="HU156" s="926"/>
      <c r="HV156" s="926"/>
      <c r="HW156" s="926"/>
      <c r="HX156" s="926"/>
      <c r="HY156" s="926"/>
      <c r="HZ156" s="926"/>
      <c r="IA156" s="926"/>
      <c r="IB156" s="926"/>
      <c r="IC156" s="926"/>
      <c r="ID156" s="926"/>
      <c r="IE156" s="926"/>
      <c r="IF156" s="926"/>
      <c r="IG156" s="926"/>
      <c r="IH156" s="926"/>
      <c r="II156" s="926"/>
      <c r="IJ156" s="926"/>
      <c r="IK156" s="926"/>
      <c r="IL156" s="926"/>
      <c r="IM156" s="926"/>
    </row>
    <row r="157" spans="1:247" x14ac:dyDescent="0.45">
      <c r="A157" s="441">
        <v>7341</v>
      </c>
      <c r="B157" s="939" t="s">
        <v>2692</v>
      </c>
      <c r="C157" s="47" t="s">
        <v>35</v>
      </c>
      <c r="D157" s="449" t="s">
        <v>2545</v>
      </c>
      <c r="E157" s="946"/>
      <c r="F157" s="941">
        <f t="shared" si="29"/>
        <v>1.0209999999999999</v>
      </c>
      <c r="G157" s="947"/>
      <c r="H157" s="946">
        <f>+$H$3</f>
        <v>1.0029999999999999</v>
      </c>
      <c r="I157" s="948">
        <f>+$I$3</f>
        <v>1.0289999999999999</v>
      </c>
      <c r="J157" s="948">
        <f>+$J$3</f>
        <v>1.0049999999999999</v>
      </c>
      <c r="K157" s="948"/>
      <c r="L157" s="948"/>
      <c r="M157" s="948"/>
      <c r="N157" s="947">
        <f t="shared" si="43"/>
        <v>1.0029999999999999</v>
      </c>
      <c r="O157" s="949"/>
      <c r="P157" s="946">
        <f t="shared" ref="P157:P167" si="44">+$P$3</f>
        <v>1.032</v>
      </c>
      <c r="Q157" s="947">
        <f t="shared" ref="Q157:Q167" si="45">+$Q$3</f>
        <v>1.0349999999999999</v>
      </c>
      <c r="R157" s="950">
        <f t="shared" si="30"/>
        <v>1.1345642417967394</v>
      </c>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c r="BA157" s="926"/>
      <c r="BB157" s="926"/>
      <c r="BC157" s="926"/>
      <c r="BD157" s="926"/>
      <c r="BE157" s="926"/>
      <c r="BF157" s="926"/>
      <c r="BG157" s="926"/>
      <c r="BH157" s="926"/>
      <c r="BI157" s="926"/>
      <c r="BJ157" s="926"/>
      <c r="BK157" s="926"/>
      <c r="BL157" s="926"/>
      <c r="BM157" s="926"/>
      <c r="BN157" s="926"/>
      <c r="BO157" s="926"/>
      <c r="BP157" s="926"/>
      <c r="BQ157" s="926"/>
      <c r="BR157" s="926"/>
      <c r="BS157" s="926"/>
      <c r="BT157" s="926"/>
      <c r="BU157" s="926"/>
      <c r="BV157" s="926"/>
      <c r="BW157" s="926"/>
      <c r="BX157" s="926"/>
      <c r="BY157" s="926"/>
      <c r="BZ157" s="926"/>
      <c r="CA157" s="926"/>
      <c r="CB157" s="926"/>
      <c r="CC157" s="926"/>
      <c r="CD157" s="926"/>
      <c r="CE157" s="926"/>
      <c r="CF157" s="926"/>
      <c r="CG157" s="926"/>
      <c r="CH157" s="926"/>
      <c r="CI157" s="926"/>
      <c r="CJ157" s="926"/>
      <c r="CK157" s="926"/>
      <c r="CL157" s="926"/>
      <c r="CM157" s="926"/>
      <c r="CN157" s="926"/>
      <c r="CO157" s="926"/>
      <c r="CP157" s="926"/>
      <c r="CQ157" s="926"/>
      <c r="CR157" s="926"/>
      <c r="CS157" s="926"/>
      <c r="CT157" s="926"/>
      <c r="CU157" s="926"/>
      <c r="CV157" s="926"/>
      <c r="CW157" s="926"/>
      <c r="CX157" s="926"/>
      <c r="CY157" s="926"/>
      <c r="CZ157" s="926"/>
      <c r="DA157" s="926"/>
      <c r="DB157" s="926"/>
      <c r="DC157" s="926"/>
      <c r="DD157" s="926"/>
      <c r="DE157" s="926"/>
      <c r="DF157" s="926"/>
      <c r="DG157" s="926"/>
      <c r="DH157" s="926"/>
      <c r="DI157" s="926"/>
      <c r="DJ157" s="926"/>
      <c r="DK157" s="926"/>
      <c r="DL157" s="926"/>
      <c r="DM157" s="926"/>
      <c r="DN157" s="926"/>
      <c r="DO157" s="926"/>
      <c r="DP157" s="926"/>
      <c r="DQ157" s="926"/>
      <c r="DR157" s="926"/>
      <c r="DS157" s="926"/>
      <c r="DT157" s="926"/>
      <c r="DU157" s="926"/>
      <c r="DV157" s="926"/>
      <c r="DW157" s="926"/>
      <c r="DX157" s="926"/>
      <c r="DY157" s="926"/>
      <c r="DZ157" s="926"/>
      <c r="EA157" s="926"/>
      <c r="EB157" s="926"/>
      <c r="EC157" s="926"/>
      <c r="ED157" s="926"/>
      <c r="EE157" s="926"/>
      <c r="EF157" s="926"/>
      <c r="EG157" s="926"/>
      <c r="EH157" s="926"/>
      <c r="EI157" s="926"/>
      <c r="EJ157" s="926"/>
      <c r="EK157" s="926"/>
      <c r="EL157" s="926"/>
      <c r="EM157" s="926"/>
      <c r="EN157" s="926"/>
      <c r="EO157" s="926"/>
      <c r="EP157" s="926"/>
      <c r="EQ157" s="926"/>
      <c r="ER157" s="926"/>
      <c r="ES157" s="926"/>
      <c r="ET157" s="926"/>
      <c r="EU157" s="926"/>
      <c r="EV157" s="926"/>
      <c r="EW157" s="926"/>
      <c r="EX157" s="926"/>
      <c r="EY157" s="926"/>
      <c r="EZ157" s="926"/>
      <c r="FA157" s="926"/>
      <c r="FB157" s="926"/>
      <c r="FC157" s="926"/>
      <c r="FD157" s="926"/>
      <c r="FE157" s="926"/>
      <c r="FF157" s="926"/>
      <c r="FG157" s="926"/>
      <c r="FH157" s="926"/>
      <c r="FI157" s="926"/>
      <c r="FJ157" s="926"/>
      <c r="FK157" s="926"/>
      <c r="FL157" s="926"/>
      <c r="FM157" s="926"/>
      <c r="FN157" s="926"/>
      <c r="FO157" s="926"/>
      <c r="FP157" s="926"/>
      <c r="FQ157" s="926"/>
      <c r="FR157" s="926"/>
      <c r="FS157" s="926"/>
      <c r="FT157" s="926"/>
      <c r="FU157" s="926"/>
      <c r="FV157" s="926"/>
      <c r="FW157" s="926"/>
      <c r="FX157" s="926"/>
      <c r="FY157" s="926"/>
      <c r="FZ157" s="926"/>
      <c r="GA157" s="926"/>
      <c r="GB157" s="926"/>
      <c r="GC157" s="926"/>
      <c r="GD157" s="926"/>
      <c r="GE157" s="926"/>
      <c r="GF157" s="926"/>
      <c r="GG157" s="926"/>
      <c r="GH157" s="926"/>
      <c r="GI157" s="926"/>
      <c r="GJ157" s="926"/>
      <c r="GK157" s="926"/>
      <c r="GL157" s="926"/>
      <c r="GM157" s="926"/>
      <c r="GN157" s="926"/>
      <c r="GO157" s="926"/>
      <c r="GP157" s="926"/>
      <c r="GQ157" s="926"/>
      <c r="GR157" s="926"/>
      <c r="GS157" s="926"/>
      <c r="GT157" s="926"/>
      <c r="GU157" s="926"/>
      <c r="GV157" s="926"/>
      <c r="GW157" s="926"/>
      <c r="GX157" s="926"/>
      <c r="GY157" s="926"/>
      <c r="GZ157" s="926"/>
      <c r="HA157" s="926"/>
      <c r="HB157" s="926"/>
      <c r="HC157" s="926"/>
      <c r="HD157" s="926"/>
      <c r="HE157" s="926"/>
      <c r="HF157" s="926"/>
      <c r="HG157" s="926"/>
      <c r="HH157" s="926"/>
      <c r="HI157" s="926"/>
      <c r="HJ157" s="926"/>
      <c r="HK157" s="926"/>
      <c r="HL157" s="926"/>
      <c r="HM157" s="926"/>
      <c r="HN157" s="926"/>
      <c r="HO157" s="926"/>
      <c r="HP157" s="926"/>
      <c r="HQ157" s="926"/>
      <c r="HR157" s="926"/>
      <c r="HS157" s="926"/>
      <c r="HT157" s="926"/>
      <c r="HU157" s="926"/>
      <c r="HV157" s="926"/>
      <c r="HW157" s="926"/>
      <c r="HX157" s="926"/>
      <c r="HY157" s="926"/>
      <c r="HZ157" s="926"/>
      <c r="IA157" s="926"/>
      <c r="IB157" s="926"/>
      <c r="IC157" s="926"/>
      <c r="ID157" s="926"/>
      <c r="IE157" s="926"/>
      <c r="IF157" s="926"/>
      <c r="IG157" s="926"/>
      <c r="IH157" s="926"/>
      <c r="II157" s="926"/>
      <c r="IJ157" s="926"/>
      <c r="IK157" s="926"/>
      <c r="IL157" s="926"/>
      <c r="IM157" s="926"/>
    </row>
    <row r="158" spans="1:247" x14ac:dyDescent="0.45">
      <c r="A158" s="441">
        <v>7342</v>
      </c>
      <c r="B158" s="939" t="s">
        <v>2693</v>
      </c>
      <c r="C158" s="47" t="s">
        <v>35</v>
      </c>
      <c r="D158" s="449" t="s">
        <v>2545</v>
      </c>
      <c r="E158" s="946"/>
      <c r="F158" s="941">
        <f t="shared" si="29"/>
        <v>1.0209999999999999</v>
      </c>
      <c r="G158" s="947"/>
      <c r="H158" s="946"/>
      <c r="I158" s="948"/>
      <c r="J158" s="948"/>
      <c r="K158" s="948"/>
      <c r="L158" s="948">
        <f>+$L$3</f>
        <v>1.0129999999999999</v>
      </c>
      <c r="M158" s="948">
        <f>+$M$3</f>
        <v>1.0029999999999999</v>
      </c>
      <c r="N158" s="947">
        <f t="shared" si="43"/>
        <v>1.0029999999999999</v>
      </c>
      <c r="O158" s="949"/>
      <c r="P158" s="946">
        <f t="shared" si="44"/>
        <v>1.032</v>
      </c>
      <c r="Q158" s="947">
        <f t="shared" si="45"/>
        <v>1.0349999999999999</v>
      </c>
      <c r="R158" s="950">
        <f t="shared" si="30"/>
        <v>1.1113659853696505</v>
      </c>
      <c r="S158" s="926"/>
      <c r="T158" s="926"/>
      <c r="U158" s="926"/>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6"/>
      <c r="AV158" s="926"/>
      <c r="AW158" s="926"/>
      <c r="AX158" s="926"/>
      <c r="AY158" s="926"/>
      <c r="AZ158" s="926"/>
      <c r="BA158" s="926"/>
      <c r="BB158" s="926"/>
      <c r="BC158" s="926"/>
      <c r="BD158" s="926"/>
      <c r="BE158" s="926"/>
      <c r="BF158" s="926"/>
      <c r="BG158" s="926"/>
      <c r="BH158" s="926"/>
      <c r="BI158" s="926"/>
      <c r="BJ158" s="926"/>
      <c r="BK158" s="926"/>
      <c r="BL158" s="926"/>
      <c r="BM158" s="926"/>
      <c r="BN158" s="926"/>
      <c r="BO158" s="926"/>
      <c r="BP158" s="926"/>
      <c r="BQ158" s="926"/>
      <c r="BR158" s="926"/>
      <c r="BS158" s="926"/>
      <c r="BT158" s="926"/>
      <c r="BU158" s="926"/>
      <c r="BV158" s="926"/>
      <c r="BW158" s="926"/>
      <c r="BX158" s="926"/>
      <c r="BY158" s="926"/>
      <c r="BZ158" s="926"/>
      <c r="CA158" s="926"/>
      <c r="CB158" s="926"/>
      <c r="CC158" s="926"/>
      <c r="CD158" s="926"/>
      <c r="CE158" s="926"/>
      <c r="CF158" s="926"/>
      <c r="CG158" s="926"/>
      <c r="CH158" s="926"/>
      <c r="CI158" s="926"/>
      <c r="CJ158" s="926"/>
      <c r="CK158" s="926"/>
      <c r="CL158" s="926"/>
      <c r="CM158" s="926"/>
      <c r="CN158" s="926"/>
      <c r="CO158" s="926"/>
      <c r="CP158" s="926"/>
      <c r="CQ158" s="926"/>
      <c r="CR158" s="926"/>
      <c r="CS158" s="926"/>
      <c r="CT158" s="926"/>
      <c r="CU158" s="926"/>
      <c r="CV158" s="926"/>
      <c r="CW158" s="926"/>
      <c r="CX158" s="926"/>
      <c r="CY158" s="926"/>
      <c r="CZ158" s="926"/>
      <c r="DA158" s="926"/>
      <c r="DB158" s="926"/>
      <c r="DC158" s="926"/>
      <c r="DD158" s="926"/>
      <c r="DE158" s="926"/>
      <c r="DF158" s="926"/>
      <c r="DG158" s="926"/>
      <c r="DH158" s="926"/>
      <c r="DI158" s="926"/>
      <c r="DJ158" s="926"/>
      <c r="DK158" s="926"/>
      <c r="DL158" s="926"/>
      <c r="DM158" s="926"/>
      <c r="DN158" s="926"/>
      <c r="DO158" s="926"/>
      <c r="DP158" s="926"/>
      <c r="DQ158" s="926"/>
      <c r="DR158" s="926"/>
      <c r="DS158" s="926"/>
      <c r="DT158" s="926"/>
      <c r="DU158" s="926"/>
      <c r="DV158" s="926"/>
      <c r="DW158" s="926"/>
      <c r="DX158" s="926"/>
      <c r="DY158" s="926"/>
      <c r="DZ158" s="926"/>
      <c r="EA158" s="926"/>
      <c r="EB158" s="926"/>
      <c r="EC158" s="926"/>
      <c r="ED158" s="926"/>
      <c r="EE158" s="926"/>
      <c r="EF158" s="926"/>
      <c r="EG158" s="926"/>
      <c r="EH158" s="926"/>
      <c r="EI158" s="926"/>
      <c r="EJ158" s="926"/>
      <c r="EK158" s="926"/>
      <c r="EL158" s="926"/>
      <c r="EM158" s="926"/>
      <c r="EN158" s="926"/>
      <c r="EO158" s="926"/>
      <c r="EP158" s="926"/>
      <c r="EQ158" s="926"/>
      <c r="ER158" s="926"/>
      <c r="ES158" s="926"/>
      <c r="ET158" s="926"/>
      <c r="EU158" s="926"/>
      <c r="EV158" s="926"/>
      <c r="EW158" s="926"/>
      <c r="EX158" s="926"/>
      <c r="EY158" s="926"/>
      <c r="EZ158" s="926"/>
      <c r="FA158" s="926"/>
      <c r="FB158" s="926"/>
      <c r="FC158" s="926"/>
      <c r="FD158" s="926"/>
      <c r="FE158" s="926"/>
      <c r="FF158" s="926"/>
      <c r="FG158" s="926"/>
      <c r="FH158" s="926"/>
      <c r="FI158" s="926"/>
      <c r="FJ158" s="926"/>
      <c r="FK158" s="926"/>
      <c r="FL158" s="926"/>
      <c r="FM158" s="926"/>
      <c r="FN158" s="926"/>
      <c r="FO158" s="926"/>
      <c r="FP158" s="926"/>
      <c r="FQ158" s="926"/>
      <c r="FR158" s="926"/>
      <c r="FS158" s="926"/>
      <c r="FT158" s="926"/>
      <c r="FU158" s="926"/>
      <c r="FV158" s="926"/>
      <c r="FW158" s="926"/>
      <c r="FX158" s="926"/>
      <c r="FY158" s="926"/>
      <c r="FZ158" s="926"/>
      <c r="GA158" s="926"/>
      <c r="GB158" s="926"/>
      <c r="GC158" s="926"/>
      <c r="GD158" s="926"/>
      <c r="GE158" s="926"/>
      <c r="GF158" s="926"/>
      <c r="GG158" s="926"/>
      <c r="GH158" s="926"/>
      <c r="GI158" s="926"/>
      <c r="GJ158" s="926"/>
      <c r="GK158" s="926"/>
      <c r="GL158" s="926"/>
      <c r="GM158" s="926"/>
      <c r="GN158" s="926"/>
      <c r="GO158" s="926"/>
      <c r="GP158" s="926"/>
      <c r="GQ158" s="926"/>
      <c r="GR158" s="926"/>
      <c r="GS158" s="926"/>
      <c r="GT158" s="926"/>
      <c r="GU158" s="926"/>
      <c r="GV158" s="926"/>
      <c r="GW158" s="926"/>
      <c r="GX158" s="926"/>
      <c r="GY158" s="926"/>
      <c r="GZ158" s="926"/>
      <c r="HA158" s="926"/>
      <c r="HB158" s="926"/>
      <c r="HC158" s="926"/>
      <c r="HD158" s="926"/>
      <c r="HE158" s="926"/>
      <c r="HF158" s="926"/>
      <c r="HG158" s="926"/>
      <c r="HH158" s="926"/>
      <c r="HI158" s="926"/>
      <c r="HJ158" s="926"/>
      <c r="HK158" s="926"/>
      <c r="HL158" s="926"/>
      <c r="HM158" s="926"/>
      <c r="HN158" s="926"/>
      <c r="HO158" s="926"/>
      <c r="HP158" s="926"/>
      <c r="HQ158" s="926"/>
      <c r="HR158" s="926"/>
      <c r="HS158" s="926"/>
      <c r="HT158" s="926"/>
      <c r="HU158" s="926"/>
      <c r="HV158" s="926"/>
      <c r="HW158" s="926"/>
      <c r="HX158" s="926"/>
      <c r="HY158" s="926"/>
      <c r="HZ158" s="926"/>
      <c r="IA158" s="926"/>
      <c r="IB158" s="926"/>
      <c r="IC158" s="926"/>
      <c r="ID158" s="926"/>
      <c r="IE158" s="926"/>
      <c r="IF158" s="926"/>
      <c r="IG158" s="926"/>
      <c r="IH158" s="926"/>
      <c r="II158" s="926"/>
      <c r="IJ158" s="926"/>
      <c r="IK158" s="926"/>
      <c r="IL158" s="926"/>
      <c r="IM158" s="926"/>
    </row>
    <row r="159" spans="1:247" x14ac:dyDescent="0.45">
      <c r="A159" s="441">
        <v>7344</v>
      </c>
      <c r="B159" s="939" t="s">
        <v>2694</v>
      </c>
      <c r="C159" s="47" t="s">
        <v>35</v>
      </c>
      <c r="D159" s="449" t="s">
        <v>2545</v>
      </c>
      <c r="E159" s="946">
        <f>+$E$3</f>
        <v>1.0740000000000001</v>
      </c>
      <c r="F159" s="941">
        <f t="shared" si="29"/>
        <v>1.0209999999999999</v>
      </c>
      <c r="G159" s="947">
        <f>+$G$3</f>
        <v>1.0269999999999999</v>
      </c>
      <c r="H159" s="946">
        <f>+$H$3</f>
        <v>1.0029999999999999</v>
      </c>
      <c r="I159" s="948">
        <f>+$I$3</f>
        <v>1.0289999999999999</v>
      </c>
      <c r="J159" s="948">
        <f>+$J$3</f>
        <v>1.0049999999999999</v>
      </c>
      <c r="K159" s="948">
        <f>+$K$3</f>
        <v>1.026</v>
      </c>
      <c r="L159" s="948">
        <f>+$L$3</f>
        <v>1.0129999999999999</v>
      </c>
      <c r="M159" s="948">
        <f>+$M$3</f>
        <v>1.0029999999999999</v>
      </c>
      <c r="N159" s="947">
        <f t="shared" si="43"/>
        <v>1.0029999999999999</v>
      </c>
      <c r="O159" s="949">
        <f>+$O$3</f>
        <v>1.0209999999999999</v>
      </c>
      <c r="P159" s="946">
        <f t="shared" si="44"/>
        <v>1.032</v>
      </c>
      <c r="Q159" s="947">
        <f t="shared" si="45"/>
        <v>1.0349999999999999</v>
      </c>
      <c r="R159" s="950">
        <f t="shared" si="30"/>
        <v>1.3319480854780448</v>
      </c>
      <c r="S159" s="926"/>
      <c r="T159" s="926"/>
      <c r="U159" s="926"/>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6"/>
      <c r="AV159" s="926"/>
      <c r="AW159" s="926"/>
      <c r="AX159" s="926"/>
      <c r="AY159" s="926"/>
      <c r="AZ159" s="926"/>
      <c r="BA159" s="926"/>
      <c r="BB159" s="926"/>
      <c r="BC159" s="926"/>
      <c r="BD159" s="926"/>
      <c r="BE159" s="926"/>
      <c r="BF159" s="926"/>
      <c r="BG159" s="926"/>
      <c r="BH159" s="926"/>
      <c r="BI159" s="926"/>
      <c r="BJ159" s="926"/>
      <c r="BK159" s="926"/>
      <c r="BL159" s="926"/>
      <c r="BM159" s="926"/>
      <c r="BN159" s="926"/>
      <c r="BO159" s="926"/>
      <c r="BP159" s="926"/>
      <c r="BQ159" s="926"/>
      <c r="BR159" s="926"/>
      <c r="BS159" s="926"/>
      <c r="BT159" s="926"/>
      <c r="BU159" s="926"/>
      <c r="BV159" s="926"/>
      <c r="BW159" s="926"/>
      <c r="BX159" s="926"/>
      <c r="BY159" s="926"/>
      <c r="BZ159" s="926"/>
      <c r="CA159" s="926"/>
      <c r="CB159" s="926"/>
      <c r="CC159" s="926"/>
      <c r="CD159" s="926"/>
      <c r="CE159" s="926"/>
      <c r="CF159" s="926"/>
      <c r="CG159" s="926"/>
      <c r="CH159" s="926"/>
      <c r="CI159" s="926"/>
      <c r="CJ159" s="926"/>
      <c r="CK159" s="926"/>
      <c r="CL159" s="926"/>
      <c r="CM159" s="926"/>
      <c r="CN159" s="926"/>
      <c r="CO159" s="926"/>
      <c r="CP159" s="926"/>
      <c r="CQ159" s="926"/>
      <c r="CR159" s="926"/>
      <c r="CS159" s="926"/>
      <c r="CT159" s="926"/>
      <c r="CU159" s="926"/>
      <c r="CV159" s="926"/>
      <c r="CW159" s="926"/>
      <c r="CX159" s="926"/>
      <c r="CY159" s="926"/>
      <c r="CZ159" s="926"/>
      <c r="DA159" s="926"/>
      <c r="DB159" s="926"/>
      <c r="DC159" s="926"/>
      <c r="DD159" s="926"/>
      <c r="DE159" s="926"/>
      <c r="DF159" s="926"/>
      <c r="DG159" s="926"/>
      <c r="DH159" s="926"/>
      <c r="DI159" s="926"/>
      <c r="DJ159" s="926"/>
      <c r="DK159" s="926"/>
      <c r="DL159" s="926"/>
      <c r="DM159" s="926"/>
      <c r="DN159" s="926"/>
      <c r="DO159" s="926"/>
      <c r="DP159" s="926"/>
      <c r="DQ159" s="926"/>
      <c r="DR159" s="926"/>
      <c r="DS159" s="926"/>
      <c r="DT159" s="926"/>
      <c r="DU159" s="926"/>
      <c r="DV159" s="926"/>
      <c r="DW159" s="926"/>
      <c r="DX159" s="926"/>
      <c r="DY159" s="926"/>
      <c r="DZ159" s="926"/>
      <c r="EA159" s="926"/>
      <c r="EB159" s="926"/>
      <c r="EC159" s="926"/>
      <c r="ED159" s="926"/>
      <c r="EE159" s="926"/>
      <c r="EF159" s="926"/>
      <c r="EG159" s="926"/>
      <c r="EH159" s="926"/>
      <c r="EI159" s="926"/>
      <c r="EJ159" s="926"/>
      <c r="EK159" s="926"/>
      <c r="EL159" s="926"/>
      <c r="EM159" s="926"/>
      <c r="EN159" s="926"/>
      <c r="EO159" s="926"/>
      <c r="EP159" s="926"/>
      <c r="EQ159" s="926"/>
      <c r="ER159" s="926"/>
      <c r="ES159" s="926"/>
      <c r="ET159" s="926"/>
      <c r="EU159" s="926"/>
      <c r="EV159" s="926"/>
      <c r="EW159" s="926"/>
      <c r="EX159" s="926"/>
      <c r="EY159" s="926"/>
      <c r="EZ159" s="926"/>
      <c r="FA159" s="926"/>
      <c r="FB159" s="926"/>
      <c r="FC159" s="926"/>
      <c r="FD159" s="926"/>
      <c r="FE159" s="926"/>
      <c r="FF159" s="926"/>
      <c r="FG159" s="926"/>
      <c r="FH159" s="926"/>
      <c r="FI159" s="926"/>
      <c r="FJ159" s="926"/>
      <c r="FK159" s="926"/>
      <c r="FL159" s="926"/>
      <c r="FM159" s="926"/>
      <c r="FN159" s="926"/>
      <c r="FO159" s="926"/>
      <c r="FP159" s="926"/>
      <c r="FQ159" s="926"/>
      <c r="FR159" s="926"/>
      <c r="FS159" s="926"/>
      <c r="FT159" s="926"/>
      <c r="FU159" s="926"/>
      <c r="FV159" s="926"/>
      <c r="FW159" s="926"/>
      <c r="FX159" s="926"/>
      <c r="FY159" s="926"/>
      <c r="FZ159" s="926"/>
      <c r="GA159" s="926"/>
      <c r="GB159" s="926"/>
      <c r="GC159" s="926"/>
      <c r="GD159" s="926"/>
      <c r="GE159" s="926"/>
      <c r="GF159" s="926"/>
      <c r="GG159" s="926"/>
      <c r="GH159" s="926"/>
      <c r="GI159" s="926"/>
      <c r="GJ159" s="926"/>
      <c r="GK159" s="926"/>
      <c r="GL159" s="926"/>
      <c r="GM159" s="926"/>
      <c r="GN159" s="926"/>
      <c r="GO159" s="926"/>
      <c r="GP159" s="926"/>
      <c r="GQ159" s="926"/>
      <c r="GR159" s="926"/>
      <c r="GS159" s="926"/>
      <c r="GT159" s="926"/>
      <c r="GU159" s="926"/>
      <c r="GV159" s="926"/>
      <c r="GW159" s="926"/>
      <c r="GX159" s="926"/>
      <c r="GY159" s="926"/>
      <c r="GZ159" s="926"/>
      <c r="HA159" s="926"/>
      <c r="HB159" s="926"/>
      <c r="HC159" s="926"/>
      <c r="HD159" s="926"/>
      <c r="HE159" s="926"/>
      <c r="HF159" s="926"/>
      <c r="HG159" s="926"/>
      <c r="HH159" s="926"/>
      <c r="HI159" s="926"/>
      <c r="HJ159" s="926"/>
      <c r="HK159" s="926"/>
      <c r="HL159" s="926"/>
      <c r="HM159" s="926"/>
      <c r="HN159" s="926"/>
      <c r="HO159" s="926"/>
      <c r="HP159" s="926"/>
      <c r="HQ159" s="926"/>
      <c r="HR159" s="926"/>
      <c r="HS159" s="926"/>
      <c r="HT159" s="926"/>
      <c r="HU159" s="926"/>
      <c r="HV159" s="926"/>
      <c r="HW159" s="926"/>
      <c r="HX159" s="926"/>
      <c r="HY159" s="926"/>
      <c r="HZ159" s="926"/>
      <c r="IA159" s="926"/>
      <c r="IB159" s="926"/>
      <c r="IC159" s="926"/>
      <c r="ID159" s="926"/>
      <c r="IE159" s="926"/>
      <c r="IF159" s="926"/>
      <c r="IG159" s="926"/>
      <c r="IH159" s="926"/>
      <c r="II159" s="926"/>
      <c r="IJ159" s="926"/>
      <c r="IK159" s="926"/>
      <c r="IL159" s="926"/>
      <c r="IM159" s="926"/>
    </row>
    <row r="160" spans="1:247" x14ac:dyDescent="0.45">
      <c r="A160" s="441">
        <v>7345</v>
      </c>
      <c r="B160" s="939" t="s">
        <v>2695</v>
      </c>
      <c r="C160" s="47" t="s">
        <v>35</v>
      </c>
      <c r="D160" s="449" t="s">
        <v>2545</v>
      </c>
      <c r="E160" s="946"/>
      <c r="F160" s="941">
        <f t="shared" si="29"/>
        <v>1.0209999999999999</v>
      </c>
      <c r="G160" s="947">
        <f>+$G$3</f>
        <v>1.0269999999999999</v>
      </c>
      <c r="H160" s="946">
        <f>+$H$3</f>
        <v>1.0029999999999999</v>
      </c>
      <c r="I160" s="948">
        <f>+$I$3</f>
        <v>1.0289999999999999</v>
      </c>
      <c r="J160" s="948">
        <f>+$J$3</f>
        <v>1.0049999999999999</v>
      </c>
      <c r="K160" s="948"/>
      <c r="L160" s="948"/>
      <c r="M160" s="948"/>
      <c r="N160" s="947">
        <f t="shared" si="43"/>
        <v>1.0029999999999999</v>
      </c>
      <c r="O160" s="949"/>
      <c r="P160" s="946">
        <f t="shared" si="44"/>
        <v>1.032</v>
      </c>
      <c r="Q160" s="947">
        <f t="shared" si="45"/>
        <v>1.0349999999999999</v>
      </c>
      <c r="R160" s="950">
        <f t="shared" si="30"/>
        <v>1.1651974763252515</v>
      </c>
      <c r="S160" s="926"/>
      <c r="T160" s="926"/>
      <c r="U160" s="926"/>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6"/>
      <c r="AV160" s="926"/>
      <c r="AW160" s="926"/>
      <c r="AX160" s="926"/>
      <c r="AY160" s="926"/>
      <c r="AZ160" s="926"/>
      <c r="BA160" s="926"/>
      <c r="BB160" s="926"/>
      <c r="BC160" s="926"/>
      <c r="BD160" s="926"/>
      <c r="BE160" s="926"/>
      <c r="BF160" s="926"/>
      <c r="BG160" s="926"/>
      <c r="BH160" s="926"/>
      <c r="BI160" s="926"/>
      <c r="BJ160" s="926"/>
      <c r="BK160" s="926"/>
      <c r="BL160" s="926"/>
      <c r="BM160" s="926"/>
      <c r="BN160" s="926"/>
      <c r="BO160" s="926"/>
      <c r="BP160" s="926"/>
      <c r="BQ160" s="926"/>
      <c r="BR160" s="926"/>
      <c r="BS160" s="926"/>
      <c r="BT160" s="926"/>
      <c r="BU160" s="926"/>
      <c r="BV160" s="926"/>
      <c r="BW160" s="926"/>
      <c r="BX160" s="926"/>
      <c r="BY160" s="926"/>
      <c r="BZ160" s="926"/>
      <c r="CA160" s="926"/>
      <c r="CB160" s="926"/>
      <c r="CC160" s="926"/>
      <c r="CD160" s="926"/>
      <c r="CE160" s="926"/>
      <c r="CF160" s="926"/>
      <c r="CG160" s="926"/>
      <c r="CH160" s="926"/>
      <c r="CI160" s="926"/>
      <c r="CJ160" s="926"/>
      <c r="CK160" s="926"/>
      <c r="CL160" s="926"/>
      <c r="CM160" s="926"/>
      <c r="CN160" s="926"/>
      <c r="CO160" s="926"/>
      <c r="CP160" s="926"/>
      <c r="CQ160" s="926"/>
      <c r="CR160" s="926"/>
      <c r="CS160" s="926"/>
      <c r="CT160" s="926"/>
      <c r="CU160" s="926"/>
      <c r="CV160" s="926"/>
      <c r="CW160" s="926"/>
      <c r="CX160" s="926"/>
      <c r="CY160" s="926"/>
      <c r="CZ160" s="926"/>
      <c r="DA160" s="926"/>
      <c r="DB160" s="926"/>
      <c r="DC160" s="926"/>
      <c r="DD160" s="926"/>
      <c r="DE160" s="926"/>
      <c r="DF160" s="926"/>
      <c r="DG160" s="926"/>
      <c r="DH160" s="926"/>
      <c r="DI160" s="926"/>
      <c r="DJ160" s="926"/>
      <c r="DK160" s="926"/>
      <c r="DL160" s="926"/>
      <c r="DM160" s="926"/>
      <c r="DN160" s="926"/>
      <c r="DO160" s="926"/>
      <c r="DP160" s="926"/>
      <c r="DQ160" s="926"/>
      <c r="DR160" s="926"/>
      <c r="DS160" s="926"/>
      <c r="DT160" s="926"/>
      <c r="DU160" s="926"/>
      <c r="DV160" s="926"/>
      <c r="DW160" s="926"/>
      <c r="DX160" s="926"/>
      <c r="DY160" s="926"/>
      <c r="DZ160" s="926"/>
      <c r="EA160" s="926"/>
      <c r="EB160" s="926"/>
      <c r="EC160" s="926"/>
      <c r="ED160" s="926"/>
      <c r="EE160" s="926"/>
      <c r="EF160" s="926"/>
      <c r="EG160" s="926"/>
      <c r="EH160" s="926"/>
      <c r="EI160" s="926"/>
      <c r="EJ160" s="926"/>
      <c r="EK160" s="926"/>
      <c r="EL160" s="926"/>
      <c r="EM160" s="926"/>
      <c r="EN160" s="926"/>
      <c r="EO160" s="926"/>
      <c r="EP160" s="926"/>
      <c r="EQ160" s="926"/>
      <c r="ER160" s="926"/>
      <c r="ES160" s="926"/>
      <c r="ET160" s="926"/>
      <c r="EU160" s="926"/>
      <c r="EV160" s="926"/>
      <c r="EW160" s="926"/>
      <c r="EX160" s="926"/>
      <c r="EY160" s="926"/>
      <c r="EZ160" s="926"/>
      <c r="FA160" s="926"/>
      <c r="FB160" s="926"/>
      <c r="FC160" s="926"/>
      <c r="FD160" s="926"/>
      <c r="FE160" s="926"/>
      <c r="FF160" s="926"/>
      <c r="FG160" s="926"/>
      <c r="FH160" s="926"/>
      <c r="FI160" s="926"/>
      <c r="FJ160" s="926"/>
      <c r="FK160" s="926"/>
      <c r="FL160" s="926"/>
      <c r="FM160" s="926"/>
      <c r="FN160" s="926"/>
      <c r="FO160" s="926"/>
      <c r="FP160" s="926"/>
      <c r="FQ160" s="926"/>
      <c r="FR160" s="926"/>
      <c r="FS160" s="926"/>
      <c r="FT160" s="926"/>
      <c r="FU160" s="926"/>
      <c r="FV160" s="926"/>
      <c r="FW160" s="926"/>
      <c r="FX160" s="926"/>
      <c r="FY160" s="926"/>
      <c r="FZ160" s="926"/>
      <c r="GA160" s="926"/>
      <c r="GB160" s="926"/>
      <c r="GC160" s="926"/>
      <c r="GD160" s="926"/>
      <c r="GE160" s="926"/>
      <c r="GF160" s="926"/>
      <c r="GG160" s="926"/>
      <c r="GH160" s="926"/>
      <c r="GI160" s="926"/>
      <c r="GJ160" s="926"/>
      <c r="GK160" s="926"/>
      <c r="GL160" s="926"/>
      <c r="GM160" s="926"/>
      <c r="GN160" s="926"/>
      <c r="GO160" s="926"/>
      <c r="GP160" s="926"/>
      <c r="GQ160" s="926"/>
      <c r="GR160" s="926"/>
      <c r="GS160" s="926"/>
      <c r="GT160" s="926"/>
      <c r="GU160" s="926"/>
      <c r="GV160" s="926"/>
      <c r="GW160" s="926"/>
      <c r="GX160" s="926"/>
      <c r="GY160" s="926"/>
      <c r="GZ160" s="926"/>
      <c r="HA160" s="926"/>
      <c r="HB160" s="926"/>
      <c r="HC160" s="926"/>
      <c r="HD160" s="926"/>
      <c r="HE160" s="926"/>
      <c r="HF160" s="926"/>
      <c r="HG160" s="926"/>
      <c r="HH160" s="926"/>
      <c r="HI160" s="926"/>
      <c r="HJ160" s="926"/>
      <c r="HK160" s="926"/>
      <c r="HL160" s="926"/>
      <c r="HM160" s="926"/>
      <c r="HN160" s="926"/>
      <c r="HO160" s="926"/>
      <c r="HP160" s="926"/>
      <c r="HQ160" s="926"/>
      <c r="HR160" s="926"/>
      <c r="HS160" s="926"/>
      <c r="HT160" s="926"/>
      <c r="HU160" s="926"/>
      <c r="HV160" s="926"/>
      <c r="HW160" s="926"/>
      <c r="HX160" s="926"/>
      <c r="HY160" s="926"/>
      <c r="HZ160" s="926"/>
      <c r="IA160" s="926"/>
      <c r="IB160" s="926"/>
      <c r="IC160" s="926"/>
      <c r="ID160" s="926"/>
      <c r="IE160" s="926"/>
      <c r="IF160" s="926"/>
      <c r="IG160" s="926"/>
      <c r="IH160" s="926"/>
      <c r="II160" s="926"/>
      <c r="IJ160" s="926"/>
      <c r="IK160" s="926"/>
      <c r="IL160" s="926"/>
      <c r="IM160" s="926"/>
    </row>
    <row r="161" spans="1:247" x14ac:dyDescent="0.45">
      <c r="A161" s="441">
        <v>7346</v>
      </c>
      <c r="B161" s="939" t="s">
        <v>2696</v>
      </c>
      <c r="C161" s="47" t="s">
        <v>35</v>
      </c>
      <c r="D161" s="449" t="s">
        <v>2545</v>
      </c>
      <c r="E161" s="946"/>
      <c r="F161" s="941">
        <f t="shared" si="29"/>
        <v>1.0209999999999999</v>
      </c>
      <c r="G161" s="947">
        <f>+$G$3</f>
        <v>1.0269999999999999</v>
      </c>
      <c r="H161" s="946">
        <f>+$H$3</f>
        <v>1.0029999999999999</v>
      </c>
      <c r="I161" s="948">
        <f>+$I$3</f>
        <v>1.0289999999999999</v>
      </c>
      <c r="J161" s="948">
        <f>+$J$3</f>
        <v>1.0049999999999999</v>
      </c>
      <c r="K161" s="948">
        <f>+$K$3</f>
        <v>1.026</v>
      </c>
      <c r="L161" s="948">
        <f>+$L$3</f>
        <v>1.0129999999999999</v>
      </c>
      <c r="M161" s="948">
        <f>+$M$3</f>
        <v>1.0029999999999999</v>
      </c>
      <c r="N161" s="947">
        <f t="shared" si="43"/>
        <v>1.0029999999999999</v>
      </c>
      <c r="O161" s="949"/>
      <c r="P161" s="946">
        <f t="shared" si="44"/>
        <v>1.032</v>
      </c>
      <c r="Q161" s="947">
        <f t="shared" si="45"/>
        <v>1.0349999999999999</v>
      </c>
      <c r="R161" s="950">
        <f t="shared" si="30"/>
        <v>1.2146671166928804</v>
      </c>
      <c r="S161" s="926"/>
      <c r="T161" s="926"/>
      <c r="U161" s="926"/>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6"/>
      <c r="AV161" s="926"/>
      <c r="AW161" s="926"/>
      <c r="AX161" s="926"/>
      <c r="AY161" s="926"/>
      <c r="AZ161" s="926"/>
      <c r="BA161" s="926"/>
      <c r="BB161" s="926"/>
      <c r="BC161" s="926"/>
      <c r="BD161" s="926"/>
      <c r="BE161" s="926"/>
      <c r="BF161" s="926"/>
      <c r="BG161" s="926"/>
      <c r="BH161" s="926"/>
      <c r="BI161" s="926"/>
      <c r="BJ161" s="926"/>
      <c r="BK161" s="926"/>
      <c r="BL161" s="926"/>
      <c r="BM161" s="926"/>
      <c r="BN161" s="926"/>
      <c r="BO161" s="926"/>
      <c r="BP161" s="926"/>
      <c r="BQ161" s="926"/>
      <c r="BR161" s="926"/>
      <c r="BS161" s="926"/>
      <c r="BT161" s="926"/>
      <c r="BU161" s="926"/>
      <c r="BV161" s="926"/>
      <c r="BW161" s="926"/>
      <c r="BX161" s="926"/>
      <c r="BY161" s="926"/>
      <c r="BZ161" s="926"/>
      <c r="CA161" s="926"/>
      <c r="CB161" s="926"/>
      <c r="CC161" s="926"/>
      <c r="CD161" s="926"/>
      <c r="CE161" s="926"/>
      <c r="CF161" s="926"/>
      <c r="CG161" s="926"/>
      <c r="CH161" s="926"/>
      <c r="CI161" s="926"/>
      <c r="CJ161" s="926"/>
      <c r="CK161" s="926"/>
      <c r="CL161" s="926"/>
      <c r="CM161" s="926"/>
      <c r="CN161" s="926"/>
      <c r="CO161" s="926"/>
      <c r="CP161" s="926"/>
      <c r="CQ161" s="926"/>
      <c r="CR161" s="926"/>
      <c r="CS161" s="926"/>
      <c r="CT161" s="926"/>
      <c r="CU161" s="926"/>
      <c r="CV161" s="926"/>
      <c r="CW161" s="926"/>
      <c r="CX161" s="926"/>
      <c r="CY161" s="926"/>
      <c r="CZ161" s="926"/>
      <c r="DA161" s="926"/>
      <c r="DB161" s="926"/>
      <c r="DC161" s="926"/>
      <c r="DD161" s="926"/>
      <c r="DE161" s="926"/>
      <c r="DF161" s="926"/>
      <c r="DG161" s="926"/>
      <c r="DH161" s="926"/>
      <c r="DI161" s="926"/>
      <c r="DJ161" s="926"/>
      <c r="DK161" s="926"/>
      <c r="DL161" s="926"/>
      <c r="DM161" s="926"/>
      <c r="DN161" s="926"/>
      <c r="DO161" s="926"/>
      <c r="DP161" s="926"/>
      <c r="DQ161" s="926"/>
      <c r="DR161" s="926"/>
      <c r="DS161" s="926"/>
      <c r="DT161" s="926"/>
      <c r="DU161" s="926"/>
      <c r="DV161" s="926"/>
      <c r="DW161" s="926"/>
      <c r="DX161" s="926"/>
      <c r="DY161" s="926"/>
      <c r="DZ161" s="926"/>
      <c r="EA161" s="926"/>
      <c r="EB161" s="926"/>
      <c r="EC161" s="926"/>
      <c r="ED161" s="926"/>
      <c r="EE161" s="926"/>
      <c r="EF161" s="926"/>
      <c r="EG161" s="926"/>
      <c r="EH161" s="926"/>
      <c r="EI161" s="926"/>
      <c r="EJ161" s="926"/>
      <c r="EK161" s="926"/>
      <c r="EL161" s="926"/>
      <c r="EM161" s="926"/>
      <c r="EN161" s="926"/>
      <c r="EO161" s="926"/>
      <c r="EP161" s="926"/>
      <c r="EQ161" s="926"/>
      <c r="ER161" s="926"/>
      <c r="ES161" s="926"/>
      <c r="ET161" s="926"/>
      <c r="EU161" s="926"/>
      <c r="EV161" s="926"/>
      <c r="EW161" s="926"/>
      <c r="EX161" s="926"/>
      <c r="EY161" s="926"/>
      <c r="EZ161" s="926"/>
      <c r="FA161" s="926"/>
      <c r="FB161" s="926"/>
      <c r="FC161" s="926"/>
      <c r="FD161" s="926"/>
      <c r="FE161" s="926"/>
      <c r="FF161" s="926"/>
      <c r="FG161" s="926"/>
      <c r="FH161" s="926"/>
      <c r="FI161" s="926"/>
      <c r="FJ161" s="926"/>
      <c r="FK161" s="926"/>
      <c r="FL161" s="926"/>
      <c r="FM161" s="926"/>
      <c r="FN161" s="926"/>
      <c r="FO161" s="926"/>
      <c r="FP161" s="926"/>
      <c r="FQ161" s="926"/>
      <c r="FR161" s="926"/>
      <c r="FS161" s="926"/>
      <c r="FT161" s="926"/>
      <c r="FU161" s="926"/>
      <c r="FV161" s="926"/>
      <c r="FW161" s="926"/>
      <c r="FX161" s="926"/>
      <c r="FY161" s="926"/>
      <c r="FZ161" s="926"/>
      <c r="GA161" s="926"/>
      <c r="GB161" s="926"/>
      <c r="GC161" s="926"/>
      <c r="GD161" s="926"/>
      <c r="GE161" s="926"/>
      <c r="GF161" s="926"/>
      <c r="GG161" s="926"/>
      <c r="GH161" s="926"/>
      <c r="GI161" s="926"/>
      <c r="GJ161" s="926"/>
      <c r="GK161" s="926"/>
      <c r="GL161" s="926"/>
      <c r="GM161" s="926"/>
      <c r="GN161" s="926"/>
      <c r="GO161" s="926"/>
      <c r="GP161" s="926"/>
      <c r="GQ161" s="926"/>
      <c r="GR161" s="926"/>
      <c r="GS161" s="926"/>
      <c r="GT161" s="926"/>
      <c r="GU161" s="926"/>
      <c r="GV161" s="926"/>
      <c r="GW161" s="926"/>
      <c r="GX161" s="926"/>
      <c r="GY161" s="926"/>
      <c r="GZ161" s="926"/>
      <c r="HA161" s="926"/>
      <c r="HB161" s="926"/>
      <c r="HC161" s="926"/>
      <c r="HD161" s="926"/>
      <c r="HE161" s="926"/>
      <c r="HF161" s="926"/>
      <c r="HG161" s="926"/>
      <c r="HH161" s="926"/>
      <c r="HI161" s="926"/>
      <c r="HJ161" s="926"/>
      <c r="HK161" s="926"/>
      <c r="HL161" s="926"/>
      <c r="HM161" s="926"/>
      <c r="HN161" s="926"/>
      <c r="HO161" s="926"/>
      <c r="HP161" s="926"/>
      <c r="HQ161" s="926"/>
      <c r="HR161" s="926"/>
      <c r="HS161" s="926"/>
      <c r="HT161" s="926"/>
      <c r="HU161" s="926"/>
      <c r="HV161" s="926"/>
      <c r="HW161" s="926"/>
      <c r="HX161" s="926"/>
      <c r="HY161" s="926"/>
      <c r="HZ161" s="926"/>
      <c r="IA161" s="926"/>
      <c r="IB161" s="926"/>
      <c r="IC161" s="926"/>
      <c r="ID161" s="926"/>
      <c r="IE161" s="926"/>
      <c r="IF161" s="926"/>
      <c r="IG161" s="926"/>
      <c r="IH161" s="926"/>
      <c r="II161" s="926"/>
      <c r="IJ161" s="926"/>
      <c r="IK161" s="926"/>
      <c r="IL161" s="926"/>
      <c r="IM161" s="926"/>
    </row>
    <row r="162" spans="1:247" x14ac:dyDescent="0.45">
      <c r="A162" s="441">
        <v>7347</v>
      </c>
      <c r="B162" s="939" t="s">
        <v>2697</v>
      </c>
      <c r="C162" s="47" t="s">
        <v>35</v>
      </c>
      <c r="D162" s="449" t="s">
        <v>2545</v>
      </c>
      <c r="E162" s="946">
        <f>+$E$3</f>
        <v>1.0740000000000001</v>
      </c>
      <c r="F162" s="941">
        <f t="shared" si="29"/>
        <v>1.0209999999999999</v>
      </c>
      <c r="G162" s="947">
        <f>+$G$3</f>
        <v>1.0269999999999999</v>
      </c>
      <c r="H162" s="946">
        <f>+$H$3</f>
        <v>1.0029999999999999</v>
      </c>
      <c r="I162" s="948">
        <f>+$I$3</f>
        <v>1.0289999999999999</v>
      </c>
      <c r="J162" s="948">
        <f>+$J$3</f>
        <v>1.0049999999999999</v>
      </c>
      <c r="K162" s="948">
        <f>+$K$3</f>
        <v>1.026</v>
      </c>
      <c r="L162" s="948"/>
      <c r="M162" s="948">
        <f>+$M$3</f>
        <v>1.0029999999999999</v>
      </c>
      <c r="N162" s="947">
        <f t="shared" si="43"/>
        <v>1.0029999999999999</v>
      </c>
      <c r="O162" s="949">
        <f>+$O$3</f>
        <v>1.0209999999999999</v>
      </c>
      <c r="P162" s="946">
        <f t="shared" si="44"/>
        <v>1.032</v>
      </c>
      <c r="Q162" s="947">
        <f t="shared" si="45"/>
        <v>1.0349999999999999</v>
      </c>
      <c r="R162" s="950">
        <f t="shared" si="30"/>
        <v>1.3148549708569053</v>
      </c>
      <c r="S162" s="926"/>
      <c r="T162" s="926"/>
      <c r="U162" s="926"/>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6"/>
      <c r="AV162" s="926"/>
      <c r="AW162" s="926"/>
      <c r="AX162" s="926"/>
      <c r="AY162" s="926"/>
      <c r="AZ162" s="926"/>
      <c r="BA162" s="926"/>
      <c r="BB162" s="926"/>
      <c r="BC162" s="926"/>
      <c r="BD162" s="926"/>
      <c r="BE162" s="926"/>
      <c r="BF162" s="926"/>
      <c r="BG162" s="926"/>
      <c r="BH162" s="926"/>
      <c r="BI162" s="926"/>
      <c r="BJ162" s="926"/>
      <c r="BK162" s="926"/>
      <c r="BL162" s="926"/>
      <c r="BM162" s="926"/>
      <c r="BN162" s="926"/>
      <c r="BO162" s="926"/>
      <c r="BP162" s="926"/>
      <c r="BQ162" s="926"/>
      <c r="BR162" s="926"/>
      <c r="BS162" s="926"/>
      <c r="BT162" s="926"/>
      <c r="BU162" s="926"/>
      <c r="BV162" s="926"/>
      <c r="BW162" s="926"/>
      <c r="BX162" s="926"/>
      <c r="BY162" s="926"/>
      <c r="BZ162" s="926"/>
      <c r="CA162" s="926"/>
      <c r="CB162" s="926"/>
      <c r="CC162" s="926"/>
      <c r="CD162" s="926"/>
      <c r="CE162" s="926"/>
      <c r="CF162" s="926"/>
      <c r="CG162" s="926"/>
      <c r="CH162" s="926"/>
      <c r="CI162" s="926"/>
      <c r="CJ162" s="926"/>
      <c r="CK162" s="926"/>
      <c r="CL162" s="926"/>
      <c r="CM162" s="926"/>
      <c r="CN162" s="926"/>
      <c r="CO162" s="926"/>
      <c r="CP162" s="926"/>
      <c r="CQ162" s="926"/>
      <c r="CR162" s="926"/>
      <c r="CS162" s="926"/>
      <c r="CT162" s="926"/>
      <c r="CU162" s="926"/>
      <c r="CV162" s="926"/>
      <c r="CW162" s="926"/>
      <c r="CX162" s="926"/>
      <c r="CY162" s="926"/>
      <c r="CZ162" s="926"/>
      <c r="DA162" s="926"/>
      <c r="DB162" s="926"/>
      <c r="DC162" s="926"/>
      <c r="DD162" s="926"/>
      <c r="DE162" s="926"/>
      <c r="DF162" s="926"/>
      <c r="DG162" s="926"/>
      <c r="DH162" s="926"/>
      <c r="DI162" s="926"/>
      <c r="DJ162" s="926"/>
      <c r="DK162" s="926"/>
      <c r="DL162" s="926"/>
      <c r="DM162" s="926"/>
      <c r="DN162" s="926"/>
      <c r="DO162" s="926"/>
      <c r="DP162" s="926"/>
      <c r="DQ162" s="926"/>
      <c r="DR162" s="926"/>
      <c r="DS162" s="926"/>
      <c r="DT162" s="926"/>
      <c r="DU162" s="926"/>
      <c r="DV162" s="926"/>
      <c r="DW162" s="926"/>
      <c r="DX162" s="926"/>
      <c r="DY162" s="926"/>
      <c r="DZ162" s="926"/>
      <c r="EA162" s="926"/>
      <c r="EB162" s="926"/>
      <c r="EC162" s="926"/>
      <c r="ED162" s="926"/>
      <c r="EE162" s="926"/>
      <c r="EF162" s="926"/>
      <c r="EG162" s="926"/>
      <c r="EH162" s="926"/>
      <c r="EI162" s="926"/>
      <c r="EJ162" s="926"/>
      <c r="EK162" s="926"/>
      <c r="EL162" s="926"/>
      <c r="EM162" s="926"/>
      <c r="EN162" s="926"/>
      <c r="EO162" s="926"/>
      <c r="EP162" s="926"/>
      <c r="EQ162" s="926"/>
      <c r="ER162" s="926"/>
      <c r="ES162" s="926"/>
      <c r="ET162" s="926"/>
      <c r="EU162" s="926"/>
      <c r="EV162" s="926"/>
      <c r="EW162" s="926"/>
      <c r="EX162" s="926"/>
      <c r="EY162" s="926"/>
      <c r="EZ162" s="926"/>
      <c r="FA162" s="926"/>
      <c r="FB162" s="926"/>
      <c r="FC162" s="926"/>
      <c r="FD162" s="926"/>
      <c r="FE162" s="926"/>
      <c r="FF162" s="926"/>
      <c r="FG162" s="926"/>
      <c r="FH162" s="926"/>
      <c r="FI162" s="926"/>
      <c r="FJ162" s="926"/>
      <c r="FK162" s="926"/>
      <c r="FL162" s="926"/>
      <c r="FM162" s="926"/>
      <c r="FN162" s="926"/>
      <c r="FO162" s="926"/>
      <c r="FP162" s="926"/>
      <c r="FQ162" s="926"/>
      <c r="FR162" s="926"/>
      <c r="FS162" s="926"/>
      <c r="FT162" s="926"/>
      <c r="FU162" s="926"/>
      <c r="FV162" s="926"/>
      <c r="FW162" s="926"/>
      <c r="FX162" s="926"/>
      <c r="FY162" s="926"/>
      <c r="FZ162" s="926"/>
      <c r="GA162" s="926"/>
      <c r="GB162" s="926"/>
      <c r="GC162" s="926"/>
      <c r="GD162" s="926"/>
      <c r="GE162" s="926"/>
      <c r="GF162" s="926"/>
      <c r="GG162" s="926"/>
      <c r="GH162" s="926"/>
      <c r="GI162" s="926"/>
      <c r="GJ162" s="926"/>
      <c r="GK162" s="926"/>
      <c r="GL162" s="926"/>
      <c r="GM162" s="926"/>
      <c r="GN162" s="926"/>
      <c r="GO162" s="926"/>
      <c r="GP162" s="926"/>
      <c r="GQ162" s="926"/>
      <c r="GR162" s="926"/>
      <c r="GS162" s="926"/>
      <c r="GT162" s="926"/>
      <c r="GU162" s="926"/>
      <c r="GV162" s="926"/>
      <c r="GW162" s="926"/>
      <c r="GX162" s="926"/>
      <c r="GY162" s="926"/>
      <c r="GZ162" s="926"/>
      <c r="HA162" s="926"/>
      <c r="HB162" s="926"/>
      <c r="HC162" s="926"/>
      <c r="HD162" s="926"/>
      <c r="HE162" s="926"/>
      <c r="HF162" s="926"/>
      <c r="HG162" s="926"/>
      <c r="HH162" s="926"/>
      <c r="HI162" s="926"/>
      <c r="HJ162" s="926"/>
      <c r="HK162" s="926"/>
      <c r="HL162" s="926"/>
      <c r="HM162" s="926"/>
      <c r="HN162" s="926"/>
      <c r="HO162" s="926"/>
      <c r="HP162" s="926"/>
      <c r="HQ162" s="926"/>
      <c r="HR162" s="926"/>
      <c r="HS162" s="926"/>
      <c r="HT162" s="926"/>
      <c r="HU162" s="926"/>
      <c r="HV162" s="926"/>
      <c r="HW162" s="926"/>
      <c r="HX162" s="926"/>
      <c r="HY162" s="926"/>
      <c r="HZ162" s="926"/>
      <c r="IA162" s="926"/>
      <c r="IB162" s="926"/>
      <c r="IC162" s="926"/>
      <c r="ID162" s="926"/>
      <c r="IE162" s="926"/>
      <c r="IF162" s="926"/>
      <c r="IG162" s="926"/>
      <c r="IH162" s="926"/>
      <c r="II162" s="926"/>
      <c r="IJ162" s="926"/>
      <c r="IK162" s="926"/>
      <c r="IL162" s="926"/>
      <c r="IM162" s="926"/>
    </row>
    <row r="163" spans="1:247" x14ac:dyDescent="0.45">
      <c r="A163" s="441">
        <v>7348</v>
      </c>
      <c r="B163" s="939" t="s">
        <v>2698</v>
      </c>
      <c r="C163" s="47" t="s">
        <v>35</v>
      </c>
      <c r="D163" s="449" t="s">
        <v>2545</v>
      </c>
      <c r="E163" s="946"/>
      <c r="F163" s="941">
        <f t="shared" si="29"/>
        <v>1.0209999999999999</v>
      </c>
      <c r="G163" s="947"/>
      <c r="H163" s="946"/>
      <c r="I163" s="948"/>
      <c r="J163" s="948"/>
      <c r="K163" s="948"/>
      <c r="L163" s="948">
        <f>+$L$3</f>
        <v>1.0129999999999999</v>
      </c>
      <c r="M163" s="948"/>
      <c r="N163" s="947">
        <f t="shared" si="43"/>
        <v>1.0029999999999999</v>
      </c>
      <c r="O163" s="949"/>
      <c r="P163" s="946">
        <f t="shared" si="44"/>
        <v>1.032</v>
      </c>
      <c r="Q163" s="947">
        <f t="shared" si="45"/>
        <v>1.0349999999999999</v>
      </c>
      <c r="R163" s="950">
        <f t="shared" si="30"/>
        <v>1.1080418597902797</v>
      </c>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c r="BA163" s="926"/>
      <c r="BB163" s="926"/>
      <c r="BC163" s="926"/>
      <c r="BD163" s="926"/>
      <c r="BE163" s="926"/>
      <c r="BF163" s="926"/>
      <c r="BG163" s="926"/>
      <c r="BH163" s="926"/>
      <c r="BI163" s="926"/>
      <c r="BJ163" s="926"/>
      <c r="BK163" s="926"/>
      <c r="BL163" s="926"/>
      <c r="BM163" s="926"/>
      <c r="BN163" s="926"/>
      <c r="BO163" s="926"/>
      <c r="BP163" s="926"/>
      <c r="BQ163" s="926"/>
      <c r="BR163" s="926"/>
      <c r="BS163" s="926"/>
      <c r="BT163" s="926"/>
      <c r="BU163" s="926"/>
      <c r="BV163" s="926"/>
      <c r="BW163" s="926"/>
      <c r="BX163" s="926"/>
      <c r="BY163" s="926"/>
      <c r="BZ163" s="926"/>
      <c r="CA163" s="926"/>
      <c r="CB163" s="926"/>
      <c r="CC163" s="926"/>
      <c r="CD163" s="926"/>
      <c r="CE163" s="926"/>
      <c r="CF163" s="926"/>
      <c r="CG163" s="926"/>
      <c r="CH163" s="926"/>
      <c r="CI163" s="926"/>
      <c r="CJ163" s="926"/>
      <c r="CK163" s="926"/>
      <c r="CL163" s="926"/>
      <c r="CM163" s="926"/>
      <c r="CN163" s="926"/>
      <c r="CO163" s="926"/>
      <c r="CP163" s="926"/>
      <c r="CQ163" s="926"/>
      <c r="CR163" s="926"/>
      <c r="CS163" s="926"/>
      <c r="CT163" s="926"/>
      <c r="CU163" s="926"/>
      <c r="CV163" s="926"/>
      <c r="CW163" s="926"/>
      <c r="CX163" s="926"/>
      <c r="CY163" s="926"/>
      <c r="CZ163" s="926"/>
      <c r="DA163" s="926"/>
      <c r="DB163" s="926"/>
      <c r="DC163" s="926"/>
      <c r="DD163" s="926"/>
      <c r="DE163" s="926"/>
      <c r="DF163" s="926"/>
      <c r="DG163" s="926"/>
      <c r="DH163" s="926"/>
      <c r="DI163" s="926"/>
      <c r="DJ163" s="926"/>
      <c r="DK163" s="926"/>
      <c r="DL163" s="926"/>
      <c r="DM163" s="926"/>
      <c r="DN163" s="926"/>
      <c r="DO163" s="926"/>
      <c r="DP163" s="926"/>
      <c r="DQ163" s="926"/>
      <c r="DR163" s="926"/>
      <c r="DS163" s="926"/>
      <c r="DT163" s="926"/>
      <c r="DU163" s="926"/>
      <c r="DV163" s="926"/>
      <c r="DW163" s="926"/>
      <c r="DX163" s="926"/>
      <c r="DY163" s="926"/>
      <c r="DZ163" s="926"/>
      <c r="EA163" s="926"/>
      <c r="EB163" s="926"/>
      <c r="EC163" s="926"/>
      <c r="ED163" s="926"/>
      <c r="EE163" s="926"/>
      <c r="EF163" s="926"/>
      <c r="EG163" s="926"/>
      <c r="EH163" s="926"/>
      <c r="EI163" s="926"/>
      <c r="EJ163" s="926"/>
      <c r="EK163" s="926"/>
      <c r="EL163" s="926"/>
      <c r="EM163" s="926"/>
      <c r="EN163" s="926"/>
      <c r="EO163" s="926"/>
      <c r="EP163" s="926"/>
      <c r="EQ163" s="926"/>
      <c r="ER163" s="926"/>
      <c r="ES163" s="926"/>
      <c r="ET163" s="926"/>
      <c r="EU163" s="926"/>
      <c r="EV163" s="926"/>
      <c r="EW163" s="926"/>
      <c r="EX163" s="926"/>
      <c r="EY163" s="926"/>
      <c r="EZ163" s="926"/>
      <c r="FA163" s="926"/>
      <c r="FB163" s="926"/>
      <c r="FC163" s="926"/>
      <c r="FD163" s="926"/>
      <c r="FE163" s="926"/>
      <c r="FF163" s="926"/>
      <c r="FG163" s="926"/>
      <c r="FH163" s="926"/>
      <c r="FI163" s="926"/>
      <c r="FJ163" s="926"/>
      <c r="FK163" s="926"/>
      <c r="FL163" s="926"/>
      <c r="FM163" s="926"/>
      <c r="FN163" s="926"/>
      <c r="FO163" s="926"/>
      <c r="FP163" s="926"/>
      <c r="FQ163" s="926"/>
      <c r="FR163" s="926"/>
      <c r="FS163" s="926"/>
      <c r="FT163" s="926"/>
      <c r="FU163" s="926"/>
      <c r="FV163" s="926"/>
      <c r="FW163" s="926"/>
      <c r="FX163" s="926"/>
      <c r="FY163" s="926"/>
      <c r="FZ163" s="926"/>
      <c r="GA163" s="926"/>
      <c r="GB163" s="926"/>
      <c r="GC163" s="926"/>
      <c r="GD163" s="926"/>
      <c r="GE163" s="926"/>
      <c r="GF163" s="926"/>
      <c r="GG163" s="926"/>
      <c r="GH163" s="926"/>
      <c r="GI163" s="926"/>
      <c r="GJ163" s="926"/>
      <c r="GK163" s="926"/>
      <c r="GL163" s="926"/>
      <c r="GM163" s="926"/>
      <c r="GN163" s="926"/>
      <c r="GO163" s="926"/>
      <c r="GP163" s="926"/>
      <c r="GQ163" s="926"/>
      <c r="GR163" s="926"/>
      <c r="GS163" s="926"/>
      <c r="GT163" s="926"/>
      <c r="GU163" s="926"/>
      <c r="GV163" s="926"/>
      <c r="GW163" s="926"/>
      <c r="GX163" s="926"/>
      <c r="GY163" s="926"/>
      <c r="GZ163" s="926"/>
      <c r="HA163" s="926"/>
      <c r="HB163" s="926"/>
      <c r="HC163" s="926"/>
      <c r="HD163" s="926"/>
      <c r="HE163" s="926"/>
      <c r="HF163" s="926"/>
      <c r="HG163" s="926"/>
      <c r="HH163" s="926"/>
      <c r="HI163" s="926"/>
      <c r="HJ163" s="926"/>
      <c r="HK163" s="926"/>
      <c r="HL163" s="926"/>
      <c r="HM163" s="926"/>
      <c r="HN163" s="926"/>
      <c r="HO163" s="926"/>
      <c r="HP163" s="926"/>
      <c r="HQ163" s="926"/>
      <c r="HR163" s="926"/>
      <c r="HS163" s="926"/>
      <c r="HT163" s="926"/>
      <c r="HU163" s="926"/>
      <c r="HV163" s="926"/>
      <c r="HW163" s="926"/>
      <c r="HX163" s="926"/>
      <c r="HY163" s="926"/>
      <c r="HZ163" s="926"/>
      <c r="IA163" s="926"/>
      <c r="IB163" s="926"/>
      <c r="IC163" s="926"/>
      <c r="ID163" s="926"/>
      <c r="IE163" s="926"/>
      <c r="IF163" s="926"/>
      <c r="IG163" s="926"/>
      <c r="IH163" s="926"/>
      <c r="II163" s="926"/>
      <c r="IJ163" s="926"/>
      <c r="IK163" s="926"/>
      <c r="IL163" s="926"/>
      <c r="IM163" s="926"/>
    </row>
    <row r="164" spans="1:247" x14ac:dyDescent="0.45">
      <c r="A164" s="441">
        <v>7349</v>
      </c>
      <c r="B164" s="939" t="s">
        <v>2699</v>
      </c>
      <c r="C164" s="47" t="s">
        <v>35</v>
      </c>
      <c r="D164" s="449" t="s">
        <v>2545</v>
      </c>
      <c r="E164" s="946">
        <f>+$E$3</f>
        <v>1.0740000000000001</v>
      </c>
      <c r="F164" s="941">
        <f t="shared" si="29"/>
        <v>1.0209999999999999</v>
      </c>
      <c r="G164" s="947">
        <f>+$G$3</f>
        <v>1.0269999999999999</v>
      </c>
      <c r="H164" s="946">
        <f>+$H$3</f>
        <v>1.0029999999999999</v>
      </c>
      <c r="I164" s="948">
        <f>+$I$3</f>
        <v>1.0289999999999999</v>
      </c>
      <c r="J164" s="948">
        <f>+$J$3</f>
        <v>1.0049999999999999</v>
      </c>
      <c r="K164" s="948"/>
      <c r="L164" s="948">
        <f>+$L$3</f>
        <v>1.0129999999999999</v>
      </c>
      <c r="M164" s="948">
        <f>+$M$3</f>
        <v>1.0029999999999999</v>
      </c>
      <c r="N164" s="947">
        <f t="shared" si="43"/>
        <v>1.0029999999999999</v>
      </c>
      <c r="O164" s="949">
        <f>+$O$3</f>
        <v>1.0209999999999999</v>
      </c>
      <c r="P164" s="946">
        <f t="shared" si="44"/>
        <v>1.032</v>
      </c>
      <c r="Q164" s="947">
        <f t="shared" si="45"/>
        <v>1.0349999999999999</v>
      </c>
      <c r="R164" s="950">
        <f t="shared" si="30"/>
        <v>1.2981950150858137</v>
      </c>
      <c r="S164" s="926"/>
      <c r="T164" s="926"/>
      <c r="U164" s="926"/>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6"/>
      <c r="AV164" s="926"/>
      <c r="AW164" s="926"/>
      <c r="AX164" s="926"/>
      <c r="AY164" s="926"/>
      <c r="AZ164" s="926"/>
      <c r="BA164" s="926"/>
      <c r="BB164" s="926"/>
      <c r="BC164" s="926"/>
      <c r="BD164" s="926"/>
      <c r="BE164" s="926"/>
      <c r="BF164" s="926"/>
      <c r="BG164" s="926"/>
      <c r="BH164" s="926"/>
      <c r="BI164" s="926"/>
      <c r="BJ164" s="926"/>
      <c r="BK164" s="926"/>
      <c r="BL164" s="926"/>
      <c r="BM164" s="926"/>
      <c r="BN164" s="926"/>
      <c r="BO164" s="926"/>
      <c r="BP164" s="926"/>
      <c r="BQ164" s="926"/>
      <c r="BR164" s="926"/>
      <c r="BS164" s="926"/>
      <c r="BT164" s="926"/>
      <c r="BU164" s="926"/>
      <c r="BV164" s="926"/>
      <c r="BW164" s="926"/>
      <c r="BX164" s="926"/>
      <c r="BY164" s="926"/>
      <c r="BZ164" s="926"/>
      <c r="CA164" s="926"/>
      <c r="CB164" s="926"/>
      <c r="CC164" s="926"/>
      <c r="CD164" s="926"/>
      <c r="CE164" s="926"/>
      <c r="CF164" s="926"/>
      <c r="CG164" s="926"/>
      <c r="CH164" s="926"/>
      <c r="CI164" s="926"/>
      <c r="CJ164" s="926"/>
      <c r="CK164" s="926"/>
      <c r="CL164" s="926"/>
      <c r="CM164" s="926"/>
      <c r="CN164" s="926"/>
      <c r="CO164" s="926"/>
      <c r="CP164" s="926"/>
      <c r="CQ164" s="926"/>
      <c r="CR164" s="926"/>
      <c r="CS164" s="926"/>
      <c r="CT164" s="926"/>
      <c r="CU164" s="926"/>
      <c r="CV164" s="926"/>
      <c r="CW164" s="926"/>
      <c r="CX164" s="926"/>
      <c r="CY164" s="926"/>
      <c r="CZ164" s="926"/>
      <c r="DA164" s="926"/>
      <c r="DB164" s="926"/>
      <c r="DC164" s="926"/>
      <c r="DD164" s="926"/>
      <c r="DE164" s="926"/>
      <c r="DF164" s="926"/>
      <c r="DG164" s="926"/>
      <c r="DH164" s="926"/>
      <c r="DI164" s="926"/>
      <c r="DJ164" s="926"/>
      <c r="DK164" s="926"/>
      <c r="DL164" s="926"/>
      <c r="DM164" s="926"/>
      <c r="DN164" s="926"/>
      <c r="DO164" s="926"/>
      <c r="DP164" s="926"/>
      <c r="DQ164" s="926"/>
      <c r="DR164" s="926"/>
      <c r="DS164" s="926"/>
      <c r="DT164" s="926"/>
      <c r="DU164" s="926"/>
      <c r="DV164" s="926"/>
      <c r="DW164" s="926"/>
      <c r="DX164" s="926"/>
      <c r="DY164" s="926"/>
      <c r="DZ164" s="926"/>
      <c r="EA164" s="926"/>
      <c r="EB164" s="926"/>
      <c r="EC164" s="926"/>
      <c r="ED164" s="926"/>
      <c r="EE164" s="926"/>
      <c r="EF164" s="926"/>
      <c r="EG164" s="926"/>
      <c r="EH164" s="926"/>
      <c r="EI164" s="926"/>
      <c r="EJ164" s="926"/>
      <c r="EK164" s="926"/>
      <c r="EL164" s="926"/>
      <c r="EM164" s="926"/>
      <c r="EN164" s="926"/>
      <c r="EO164" s="926"/>
      <c r="EP164" s="926"/>
      <c r="EQ164" s="926"/>
      <c r="ER164" s="926"/>
      <c r="ES164" s="926"/>
      <c r="ET164" s="926"/>
      <c r="EU164" s="926"/>
      <c r="EV164" s="926"/>
      <c r="EW164" s="926"/>
      <c r="EX164" s="926"/>
      <c r="EY164" s="926"/>
      <c r="EZ164" s="926"/>
      <c r="FA164" s="926"/>
      <c r="FB164" s="926"/>
      <c r="FC164" s="926"/>
      <c r="FD164" s="926"/>
      <c r="FE164" s="926"/>
      <c r="FF164" s="926"/>
      <c r="FG164" s="926"/>
      <c r="FH164" s="926"/>
      <c r="FI164" s="926"/>
      <c r="FJ164" s="926"/>
      <c r="FK164" s="926"/>
      <c r="FL164" s="926"/>
      <c r="FM164" s="926"/>
      <c r="FN164" s="926"/>
      <c r="FO164" s="926"/>
      <c r="FP164" s="926"/>
      <c r="FQ164" s="926"/>
      <c r="FR164" s="926"/>
      <c r="FS164" s="926"/>
      <c r="FT164" s="926"/>
      <c r="FU164" s="926"/>
      <c r="FV164" s="926"/>
      <c r="FW164" s="926"/>
      <c r="FX164" s="926"/>
      <c r="FY164" s="926"/>
      <c r="FZ164" s="926"/>
      <c r="GA164" s="926"/>
      <c r="GB164" s="926"/>
      <c r="GC164" s="926"/>
      <c r="GD164" s="926"/>
      <c r="GE164" s="926"/>
      <c r="GF164" s="926"/>
      <c r="GG164" s="926"/>
      <c r="GH164" s="926"/>
      <c r="GI164" s="926"/>
      <c r="GJ164" s="926"/>
      <c r="GK164" s="926"/>
      <c r="GL164" s="926"/>
      <c r="GM164" s="926"/>
      <c r="GN164" s="926"/>
      <c r="GO164" s="926"/>
      <c r="GP164" s="926"/>
      <c r="GQ164" s="926"/>
      <c r="GR164" s="926"/>
      <c r="GS164" s="926"/>
      <c r="GT164" s="926"/>
      <c r="GU164" s="926"/>
      <c r="GV164" s="926"/>
      <c r="GW164" s="926"/>
      <c r="GX164" s="926"/>
      <c r="GY164" s="926"/>
      <c r="GZ164" s="926"/>
      <c r="HA164" s="926"/>
      <c r="HB164" s="926"/>
      <c r="HC164" s="926"/>
      <c r="HD164" s="926"/>
      <c r="HE164" s="926"/>
      <c r="HF164" s="926"/>
      <c r="HG164" s="926"/>
      <c r="HH164" s="926"/>
      <c r="HI164" s="926"/>
      <c r="HJ164" s="926"/>
      <c r="HK164" s="926"/>
      <c r="HL164" s="926"/>
      <c r="HM164" s="926"/>
      <c r="HN164" s="926"/>
      <c r="HO164" s="926"/>
      <c r="HP164" s="926"/>
      <c r="HQ164" s="926"/>
      <c r="HR164" s="926"/>
      <c r="HS164" s="926"/>
      <c r="HT164" s="926"/>
      <c r="HU164" s="926"/>
      <c r="HV164" s="926"/>
      <c r="HW164" s="926"/>
      <c r="HX164" s="926"/>
      <c r="HY164" s="926"/>
      <c r="HZ164" s="926"/>
      <c r="IA164" s="926"/>
      <c r="IB164" s="926"/>
      <c r="IC164" s="926"/>
      <c r="ID164" s="926"/>
      <c r="IE164" s="926"/>
      <c r="IF164" s="926"/>
      <c r="IG164" s="926"/>
      <c r="IH164" s="926"/>
      <c r="II164" s="926"/>
      <c r="IJ164" s="926"/>
      <c r="IK164" s="926"/>
      <c r="IL164" s="926"/>
      <c r="IM164" s="926"/>
    </row>
    <row r="165" spans="1:247" x14ac:dyDescent="0.45">
      <c r="A165" s="441">
        <v>7350</v>
      </c>
      <c r="B165" s="939" t="s">
        <v>2700</v>
      </c>
      <c r="C165" s="47" t="s">
        <v>35</v>
      </c>
      <c r="D165" s="449" t="s">
        <v>2537</v>
      </c>
      <c r="E165" s="946"/>
      <c r="F165" s="941">
        <f t="shared" si="29"/>
        <v>1.0209999999999999</v>
      </c>
      <c r="G165" s="947"/>
      <c r="H165" s="946"/>
      <c r="I165" s="948"/>
      <c r="J165" s="948"/>
      <c r="K165" s="948"/>
      <c r="L165" s="948">
        <f>+$L$3</f>
        <v>1.0129999999999999</v>
      </c>
      <c r="M165" s="948"/>
      <c r="N165" s="947">
        <f t="shared" si="43"/>
        <v>1.0029999999999999</v>
      </c>
      <c r="O165" s="949"/>
      <c r="P165" s="946">
        <f t="shared" si="44"/>
        <v>1.032</v>
      </c>
      <c r="Q165" s="947">
        <f t="shared" si="45"/>
        <v>1.0349999999999999</v>
      </c>
      <c r="R165" s="950">
        <f>PRODUCT(E165:Q165)</f>
        <v>1.1080418597902797</v>
      </c>
      <c r="S165" s="926"/>
      <c r="T165" s="926"/>
      <c r="U165" s="926"/>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6"/>
      <c r="AV165" s="926"/>
      <c r="AW165" s="926"/>
      <c r="AX165" s="926"/>
      <c r="AY165" s="926"/>
      <c r="AZ165" s="926"/>
      <c r="BA165" s="926"/>
      <c r="BB165" s="926"/>
      <c r="BC165" s="926"/>
      <c r="BD165" s="926"/>
      <c r="BE165" s="926"/>
      <c r="BF165" s="926"/>
      <c r="BG165" s="926"/>
      <c r="BH165" s="926"/>
      <c r="BI165" s="926"/>
      <c r="BJ165" s="926"/>
      <c r="BK165" s="926"/>
      <c r="BL165" s="926"/>
      <c r="BM165" s="926"/>
      <c r="BN165" s="926"/>
      <c r="BO165" s="926"/>
      <c r="BP165" s="926"/>
      <c r="BQ165" s="926"/>
      <c r="BR165" s="926"/>
      <c r="BS165" s="926"/>
      <c r="BT165" s="926"/>
      <c r="BU165" s="926"/>
      <c r="BV165" s="926"/>
      <c r="BW165" s="926"/>
      <c r="BX165" s="926"/>
      <c r="BY165" s="926"/>
      <c r="BZ165" s="926"/>
      <c r="CA165" s="926"/>
      <c r="CB165" s="926"/>
      <c r="CC165" s="926"/>
      <c r="CD165" s="926"/>
      <c r="CE165" s="926"/>
      <c r="CF165" s="926"/>
      <c r="CG165" s="926"/>
      <c r="CH165" s="926"/>
      <c r="CI165" s="926"/>
      <c r="CJ165" s="926"/>
      <c r="CK165" s="926"/>
      <c r="CL165" s="926"/>
      <c r="CM165" s="926"/>
      <c r="CN165" s="926"/>
      <c r="CO165" s="926"/>
      <c r="CP165" s="926"/>
      <c r="CQ165" s="926"/>
      <c r="CR165" s="926"/>
      <c r="CS165" s="926"/>
      <c r="CT165" s="926"/>
      <c r="CU165" s="926"/>
      <c r="CV165" s="926"/>
      <c r="CW165" s="926"/>
      <c r="CX165" s="926"/>
      <c r="CY165" s="926"/>
      <c r="CZ165" s="926"/>
      <c r="DA165" s="926"/>
      <c r="DB165" s="926"/>
      <c r="DC165" s="926"/>
      <c r="DD165" s="926"/>
      <c r="DE165" s="926"/>
      <c r="DF165" s="926"/>
      <c r="DG165" s="926"/>
      <c r="DH165" s="926"/>
      <c r="DI165" s="926"/>
      <c r="DJ165" s="926"/>
      <c r="DK165" s="926"/>
      <c r="DL165" s="926"/>
      <c r="DM165" s="926"/>
      <c r="DN165" s="926"/>
      <c r="DO165" s="926"/>
      <c r="DP165" s="926"/>
      <c r="DQ165" s="926"/>
      <c r="DR165" s="926"/>
      <c r="DS165" s="926"/>
      <c r="DT165" s="926"/>
      <c r="DU165" s="926"/>
      <c r="DV165" s="926"/>
      <c r="DW165" s="926"/>
      <c r="DX165" s="926"/>
      <c r="DY165" s="926"/>
      <c r="DZ165" s="926"/>
      <c r="EA165" s="926"/>
      <c r="EB165" s="926"/>
      <c r="EC165" s="926"/>
      <c r="ED165" s="926"/>
      <c r="EE165" s="926"/>
      <c r="EF165" s="926"/>
      <c r="EG165" s="926"/>
      <c r="EH165" s="926"/>
      <c r="EI165" s="926"/>
      <c r="EJ165" s="926"/>
      <c r="EK165" s="926"/>
      <c r="EL165" s="926"/>
      <c r="EM165" s="926"/>
      <c r="EN165" s="926"/>
      <c r="EO165" s="926"/>
      <c r="EP165" s="926"/>
      <c r="EQ165" s="926"/>
      <c r="ER165" s="926"/>
      <c r="ES165" s="926"/>
      <c r="ET165" s="926"/>
      <c r="EU165" s="926"/>
      <c r="EV165" s="926"/>
      <c r="EW165" s="926"/>
      <c r="EX165" s="926"/>
      <c r="EY165" s="926"/>
      <c r="EZ165" s="926"/>
      <c r="FA165" s="926"/>
      <c r="FB165" s="926"/>
      <c r="FC165" s="926"/>
      <c r="FD165" s="926"/>
      <c r="FE165" s="926"/>
      <c r="FF165" s="926"/>
      <c r="FG165" s="926"/>
      <c r="FH165" s="926"/>
      <c r="FI165" s="926"/>
      <c r="FJ165" s="926"/>
      <c r="FK165" s="926"/>
      <c r="FL165" s="926"/>
      <c r="FM165" s="926"/>
      <c r="FN165" s="926"/>
      <c r="FO165" s="926"/>
      <c r="FP165" s="926"/>
      <c r="FQ165" s="926"/>
      <c r="FR165" s="926"/>
      <c r="FS165" s="926"/>
      <c r="FT165" s="926"/>
      <c r="FU165" s="926"/>
      <c r="FV165" s="926"/>
      <c r="FW165" s="926"/>
      <c r="FX165" s="926"/>
      <c r="FY165" s="926"/>
      <c r="FZ165" s="926"/>
      <c r="GA165" s="926"/>
      <c r="GB165" s="926"/>
      <c r="GC165" s="926"/>
      <c r="GD165" s="926"/>
      <c r="GE165" s="926"/>
      <c r="GF165" s="926"/>
      <c r="GG165" s="926"/>
      <c r="GH165" s="926"/>
      <c r="GI165" s="926"/>
      <c r="GJ165" s="926"/>
      <c r="GK165" s="926"/>
      <c r="GL165" s="926"/>
      <c r="GM165" s="926"/>
      <c r="GN165" s="926"/>
      <c r="GO165" s="926"/>
      <c r="GP165" s="926"/>
      <c r="GQ165" s="926"/>
      <c r="GR165" s="926"/>
      <c r="GS165" s="926"/>
      <c r="GT165" s="926"/>
      <c r="GU165" s="926"/>
      <c r="GV165" s="926"/>
      <c r="GW165" s="926"/>
      <c r="GX165" s="926"/>
      <c r="GY165" s="926"/>
      <c r="GZ165" s="926"/>
      <c r="HA165" s="926"/>
      <c r="HB165" s="926"/>
      <c r="HC165" s="926"/>
      <c r="HD165" s="926"/>
      <c r="HE165" s="926"/>
      <c r="HF165" s="926"/>
      <c r="HG165" s="926"/>
      <c r="HH165" s="926"/>
      <c r="HI165" s="926"/>
      <c r="HJ165" s="926"/>
      <c r="HK165" s="926"/>
      <c r="HL165" s="926"/>
      <c r="HM165" s="926"/>
      <c r="HN165" s="926"/>
      <c r="HO165" s="926"/>
      <c r="HP165" s="926"/>
      <c r="HQ165" s="926"/>
      <c r="HR165" s="926"/>
      <c r="HS165" s="926"/>
      <c r="HT165" s="926"/>
      <c r="HU165" s="926"/>
      <c r="HV165" s="926"/>
      <c r="HW165" s="926"/>
      <c r="HX165" s="926"/>
      <c r="HY165" s="926"/>
      <c r="HZ165" s="926"/>
      <c r="IA165" s="926"/>
      <c r="IB165" s="926"/>
      <c r="IC165" s="926"/>
      <c r="ID165" s="926"/>
      <c r="IE165" s="926"/>
      <c r="IF165" s="926"/>
      <c r="IG165" s="926"/>
      <c r="IH165" s="926"/>
      <c r="II165" s="926"/>
      <c r="IJ165" s="926"/>
      <c r="IK165" s="926"/>
      <c r="IL165" s="926"/>
      <c r="IM165" s="926"/>
    </row>
    <row r="166" spans="1:247" x14ac:dyDescent="0.45">
      <c r="A166" s="441">
        <v>7351</v>
      </c>
      <c r="B166" s="939" t="s">
        <v>2701</v>
      </c>
      <c r="C166" s="47" t="s">
        <v>35</v>
      </c>
      <c r="D166" s="449" t="s">
        <v>2545</v>
      </c>
      <c r="E166" s="946">
        <f>+$E$3</f>
        <v>1.0740000000000001</v>
      </c>
      <c r="F166" s="941">
        <f t="shared" si="29"/>
        <v>1.0209999999999999</v>
      </c>
      <c r="G166" s="947">
        <f>+$G$3</f>
        <v>1.0269999999999999</v>
      </c>
      <c r="H166" s="946">
        <f>+$H$3</f>
        <v>1.0029999999999999</v>
      </c>
      <c r="I166" s="948">
        <f>+$I$3</f>
        <v>1.0289999999999999</v>
      </c>
      <c r="J166" s="948">
        <f>+$J$3</f>
        <v>1.0049999999999999</v>
      </c>
      <c r="K166" s="948">
        <f>+$K$3</f>
        <v>1.026</v>
      </c>
      <c r="L166" s="948">
        <f>+$L$3</f>
        <v>1.0129999999999999</v>
      </c>
      <c r="M166" s="948">
        <f>+$M$3</f>
        <v>1.0029999999999999</v>
      </c>
      <c r="N166" s="947">
        <f t="shared" si="43"/>
        <v>1.0029999999999999</v>
      </c>
      <c r="O166" s="949">
        <f>+$O$3</f>
        <v>1.0209999999999999</v>
      </c>
      <c r="P166" s="946">
        <f t="shared" si="44"/>
        <v>1.032</v>
      </c>
      <c r="Q166" s="947">
        <f t="shared" si="45"/>
        <v>1.0349999999999999</v>
      </c>
      <c r="R166" s="950">
        <f t="shared" si="30"/>
        <v>1.3319480854780448</v>
      </c>
      <c r="S166" s="926"/>
      <c r="T166" s="926"/>
      <c r="U166" s="926"/>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6"/>
      <c r="AV166" s="926"/>
      <c r="AW166" s="926"/>
      <c r="AX166" s="926"/>
      <c r="AY166" s="926"/>
      <c r="AZ166" s="926"/>
      <c r="BA166" s="926"/>
      <c r="BB166" s="926"/>
      <c r="BC166" s="926"/>
      <c r="BD166" s="926"/>
      <c r="BE166" s="926"/>
      <c r="BF166" s="926"/>
      <c r="BG166" s="926"/>
      <c r="BH166" s="926"/>
      <c r="BI166" s="926"/>
      <c r="BJ166" s="926"/>
      <c r="BK166" s="926"/>
      <c r="BL166" s="926"/>
      <c r="BM166" s="926"/>
      <c r="BN166" s="926"/>
      <c r="BO166" s="926"/>
      <c r="BP166" s="926"/>
      <c r="BQ166" s="926"/>
      <c r="BR166" s="926"/>
      <c r="BS166" s="926"/>
      <c r="BT166" s="926"/>
      <c r="BU166" s="926"/>
      <c r="BV166" s="926"/>
      <c r="BW166" s="926"/>
      <c r="BX166" s="926"/>
      <c r="BY166" s="926"/>
      <c r="BZ166" s="926"/>
      <c r="CA166" s="926"/>
      <c r="CB166" s="926"/>
      <c r="CC166" s="926"/>
      <c r="CD166" s="926"/>
      <c r="CE166" s="926"/>
      <c r="CF166" s="926"/>
      <c r="CG166" s="926"/>
      <c r="CH166" s="926"/>
      <c r="CI166" s="926"/>
      <c r="CJ166" s="926"/>
      <c r="CK166" s="926"/>
      <c r="CL166" s="926"/>
      <c r="CM166" s="926"/>
      <c r="CN166" s="926"/>
      <c r="CO166" s="926"/>
      <c r="CP166" s="926"/>
      <c r="CQ166" s="926"/>
      <c r="CR166" s="926"/>
      <c r="CS166" s="926"/>
      <c r="CT166" s="926"/>
      <c r="CU166" s="926"/>
      <c r="CV166" s="926"/>
      <c r="CW166" s="926"/>
      <c r="CX166" s="926"/>
      <c r="CY166" s="926"/>
      <c r="CZ166" s="926"/>
      <c r="DA166" s="926"/>
      <c r="DB166" s="926"/>
      <c r="DC166" s="926"/>
      <c r="DD166" s="926"/>
      <c r="DE166" s="926"/>
      <c r="DF166" s="926"/>
      <c r="DG166" s="926"/>
      <c r="DH166" s="926"/>
      <c r="DI166" s="926"/>
      <c r="DJ166" s="926"/>
      <c r="DK166" s="926"/>
      <c r="DL166" s="926"/>
      <c r="DM166" s="926"/>
      <c r="DN166" s="926"/>
      <c r="DO166" s="926"/>
      <c r="DP166" s="926"/>
      <c r="DQ166" s="926"/>
      <c r="DR166" s="926"/>
      <c r="DS166" s="926"/>
      <c r="DT166" s="926"/>
      <c r="DU166" s="926"/>
      <c r="DV166" s="926"/>
      <c r="DW166" s="926"/>
      <c r="DX166" s="926"/>
      <c r="DY166" s="926"/>
      <c r="DZ166" s="926"/>
      <c r="EA166" s="926"/>
      <c r="EB166" s="926"/>
      <c r="EC166" s="926"/>
      <c r="ED166" s="926"/>
      <c r="EE166" s="926"/>
      <c r="EF166" s="926"/>
      <c r="EG166" s="926"/>
      <c r="EH166" s="926"/>
      <c r="EI166" s="926"/>
      <c r="EJ166" s="926"/>
      <c r="EK166" s="926"/>
      <c r="EL166" s="926"/>
      <c r="EM166" s="926"/>
      <c r="EN166" s="926"/>
      <c r="EO166" s="926"/>
      <c r="EP166" s="926"/>
      <c r="EQ166" s="926"/>
      <c r="ER166" s="926"/>
      <c r="ES166" s="926"/>
      <c r="ET166" s="926"/>
      <c r="EU166" s="926"/>
      <c r="EV166" s="926"/>
      <c r="EW166" s="926"/>
      <c r="EX166" s="926"/>
      <c r="EY166" s="926"/>
      <c r="EZ166" s="926"/>
      <c r="FA166" s="926"/>
      <c r="FB166" s="926"/>
      <c r="FC166" s="926"/>
      <c r="FD166" s="926"/>
      <c r="FE166" s="926"/>
      <c r="FF166" s="926"/>
      <c r="FG166" s="926"/>
      <c r="FH166" s="926"/>
      <c r="FI166" s="926"/>
      <c r="FJ166" s="926"/>
      <c r="FK166" s="926"/>
      <c r="FL166" s="926"/>
      <c r="FM166" s="926"/>
      <c r="FN166" s="926"/>
      <c r="FO166" s="926"/>
      <c r="FP166" s="926"/>
      <c r="FQ166" s="926"/>
      <c r="FR166" s="926"/>
      <c r="FS166" s="926"/>
      <c r="FT166" s="926"/>
      <c r="FU166" s="926"/>
      <c r="FV166" s="926"/>
      <c r="FW166" s="926"/>
      <c r="FX166" s="926"/>
      <c r="FY166" s="926"/>
      <c r="FZ166" s="926"/>
      <c r="GA166" s="926"/>
      <c r="GB166" s="926"/>
      <c r="GC166" s="926"/>
      <c r="GD166" s="926"/>
      <c r="GE166" s="926"/>
      <c r="GF166" s="926"/>
      <c r="GG166" s="926"/>
      <c r="GH166" s="926"/>
      <c r="GI166" s="926"/>
      <c r="GJ166" s="926"/>
      <c r="GK166" s="926"/>
      <c r="GL166" s="926"/>
      <c r="GM166" s="926"/>
      <c r="GN166" s="926"/>
      <c r="GO166" s="926"/>
      <c r="GP166" s="926"/>
      <c r="GQ166" s="926"/>
      <c r="GR166" s="926"/>
      <c r="GS166" s="926"/>
      <c r="GT166" s="926"/>
      <c r="GU166" s="926"/>
      <c r="GV166" s="926"/>
      <c r="GW166" s="926"/>
      <c r="GX166" s="926"/>
      <c r="GY166" s="926"/>
      <c r="GZ166" s="926"/>
      <c r="HA166" s="926"/>
      <c r="HB166" s="926"/>
      <c r="HC166" s="926"/>
      <c r="HD166" s="926"/>
      <c r="HE166" s="926"/>
      <c r="HF166" s="926"/>
      <c r="HG166" s="926"/>
      <c r="HH166" s="926"/>
      <c r="HI166" s="926"/>
      <c r="HJ166" s="926"/>
      <c r="HK166" s="926"/>
      <c r="HL166" s="926"/>
      <c r="HM166" s="926"/>
      <c r="HN166" s="926"/>
      <c r="HO166" s="926"/>
      <c r="HP166" s="926"/>
      <c r="HQ166" s="926"/>
      <c r="HR166" s="926"/>
      <c r="HS166" s="926"/>
      <c r="HT166" s="926"/>
      <c r="HU166" s="926"/>
      <c r="HV166" s="926"/>
      <c r="HW166" s="926"/>
      <c r="HX166" s="926"/>
      <c r="HY166" s="926"/>
      <c r="HZ166" s="926"/>
      <c r="IA166" s="926"/>
      <c r="IB166" s="926"/>
      <c r="IC166" s="926"/>
      <c r="ID166" s="926"/>
      <c r="IE166" s="926"/>
      <c r="IF166" s="926"/>
      <c r="IG166" s="926"/>
      <c r="IH166" s="926"/>
      <c r="II166" s="926"/>
      <c r="IJ166" s="926"/>
      <c r="IK166" s="926"/>
      <c r="IL166" s="926"/>
      <c r="IM166" s="926"/>
    </row>
    <row r="167" spans="1:247" x14ac:dyDescent="0.45">
      <c r="A167" s="441">
        <v>7353</v>
      </c>
      <c r="B167" s="939" t="s">
        <v>2702</v>
      </c>
      <c r="C167" s="47" t="s">
        <v>35</v>
      </c>
      <c r="D167" s="449" t="s">
        <v>2545</v>
      </c>
      <c r="E167" s="946">
        <f>+$E$3</f>
        <v>1.0740000000000001</v>
      </c>
      <c r="F167" s="941">
        <f t="shared" si="29"/>
        <v>1.0209999999999999</v>
      </c>
      <c r="G167" s="947">
        <f>+$G$3</f>
        <v>1.0269999999999999</v>
      </c>
      <c r="H167" s="946"/>
      <c r="I167" s="948"/>
      <c r="J167" s="948"/>
      <c r="K167" s="948">
        <f>+$K$3</f>
        <v>1.026</v>
      </c>
      <c r="L167" s="948">
        <f>+$L$3</f>
        <v>1.0129999999999999</v>
      </c>
      <c r="M167" s="948">
        <f>+$M$3</f>
        <v>1.0029999999999999</v>
      </c>
      <c r="N167" s="947">
        <f t="shared" si="43"/>
        <v>1.0029999999999999</v>
      </c>
      <c r="O167" s="949">
        <f>+$O$3</f>
        <v>1.0209999999999999</v>
      </c>
      <c r="P167" s="946">
        <f t="shared" si="44"/>
        <v>1.032</v>
      </c>
      <c r="Q167" s="947">
        <f t="shared" si="45"/>
        <v>1.0349999999999999</v>
      </c>
      <c r="R167" s="950">
        <f>PRODUCT(E167:Q167)</f>
        <v>1.2841179843245845</v>
      </c>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6"/>
      <c r="AV167" s="926"/>
      <c r="AW167" s="926"/>
      <c r="AX167" s="926"/>
      <c r="AY167" s="926"/>
      <c r="AZ167" s="926"/>
      <c r="BA167" s="926"/>
      <c r="BB167" s="926"/>
      <c r="BC167" s="926"/>
      <c r="BD167" s="926"/>
      <c r="BE167" s="926"/>
      <c r="BF167" s="926"/>
      <c r="BG167" s="926"/>
      <c r="BH167" s="926"/>
      <c r="BI167" s="926"/>
      <c r="BJ167" s="926"/>
      <c r="BK167" s="926"/>
      <c r="BL167" s="926"/>
      <c r="BM167" s="926"/>
      <c r="BN167" s="926"/>
      <c r="BO167" s="926"/>
      <c r="BP167" s="926"/>
      <c r="BQ167" s="926"/>
      <c r="BR167" s="926"/>
      <c r="BS167" s="926"/>
      <c r="BT167" s="926"/>
      <c r="BU167" s="926"/>
      <c r="BV167" s="926"/>
      <c r="BW167" s="926"/>
      <c r="BX167" s="926"/>
      <c r="BY167" s="926"/>
      <c r="BZ167" s="926"/>
      <c r="CA167" s="926"/>
      <c r="CB167" s="926"/>
      <c r="CC167" s="926"/>
      <c r="CD167" s="926"/>
      <c r="CE167" s="926"/>
      <c r="CF167" s="926"/>
      <c r="CG167" s="926"/>
      <c r="CH167" s="926"/>
      <c r="CI167" s="926"/>
      <c r="CJ167" s="926"/>
      <c r="CK167" s="926"/>
      <c r="CL167" s="926"/>
      <c r="CM167" s="926"/>
      <c r="CN167" s="926"/>
      <c r="CO167" s="926"/>
      <c r="CP167" s="926"/>
      <c r="CQ167" s="926"/>
      <c r="CR167" s="926"/>
      <c r="CS167" s="926"/>
      <c r="CT167" s="926"/>
      <c r="CU167" s="926"/>
      <c r="CV167" s="926"/>
      <c r="CW167" s="926"/>
      <c r="CX167" s="926"/>
      <c r="CY167" s="926"/>
      <c r="CZ167" s="926"/>
      <c r="DA167" s="926"/>
      <c r="DB167" s="926"/>
      <c r="DC167" s="926"/>
      <c r="DD167" s="926"/>
      <c r="DE167" s="926"/>
      <c r="DF167" s="926"/>
      <c r="DG167" s="926"/>
      <c r="DH167" s="926"/>
      <c r="DI167" s="926"/>
      <c r="DJ167" s="926"/>
      <c r="DK167" s="926"/>
      <c r="DL167" s="926"/>
      <c r="DM167" s="926"/>
      <c r="DN167" s="926"/>
      <c r="DO167" s="926"/>
      <c r="DP167" s="926"/>
      <c r="DQ167" s="926"/>
      <c r="DR167" s="926"/>
      <c r="DS167" s="926"/>
      <c r="DT167" s="926"/>
      <c r="DU167" s="926"/>
      <c r="DV167" s="926"/>
      <c r="DW167" s="926"/>
      <c r="DX167" s="926"/>
      <c r="DY167" s="926"/>
      <c r="DZ167" s="926"/>
      <c r="EA167" s="926"/>
      <c r="EB167" s="926"/>
      <c r="EC167" s="926"/>
      <c r="ED167" s="926"/>
      <c r="EE167" s="926"/>
      <c r="EF167" s="926"/>
      <c r="EG167" s="926"/>
      <c r="EH167" s="926"/>
      <c r="EI167" s="926"/>
      <c r="EJ167" s="926"/>
      <c r="EK167" s="926"/>
      <c r="EL167" s="926"/>
      <c r="EM167" s="926"/>
      <c r="EN167" s="926"/>
      <c r="EO167" s="926"/>
      <c r="EP167" s="926"/>
      <c r="EQ167" s="926"/>
      <c r="ER167" s="926"/>
      <c r="ES167" s="926"/>
      <c r="ET167" s="926"/>
      <c r="EU167" s="926"/>
      <c r="EV167" s="926"/>
      <c r="EW167" s="926"/>
      <c r="EX167" s="926"/>
      <c r="EY167" s="926"/>
      <c r="EZ167" s="926"/>
      <c r="FA167" s="926"/>
      <c r="FB167" s="926"/>
      <c r="FC167" s="926"/>
      <c r="FD167" s="926"/>
      <c r="FE167" s="926"/>
      <c r="FF167" s="926"/>
      <c r="FG167" s="926"/>
      <c r="FH167" s="926"/>
      <c r="FI167" s="926"/>
      <c r="FJ167" s="926"/>
      <c r="FK167" s="926"/>
      <c r="FL167" s="926"/>
      <c r="FM167" s="926"/>
      <c r="FN167" s="926"/>
      <c r="FO167" s="926"/>
      <c r="FP167" s="926"/>
      <c r="FQ167" s="926"/>
      <c r="FR167" s="926"/>
      <c r="FS167" s="926"/>
      <c r="FT167" s="926"/>
      <c r="FU167" s="926"/>
      <c r="FV167" s="926"/>
      <c r="FW167" s="926"/>
      <c r="FX167" s="926"/>
      <c r="FY167" s="926"/>
      <c r="FZ167" s="926"/>
      <c r="GA167" s="926"/>
      <c r="GB167" s="926"/>
      <c r="GC167" s="926"/>
      <c r="GD167" s="926"/>
      <c r="GE167" s="926"/>
      <c r="GF167" s="926"/>
      <c r="GG167" s="926"/>
      <c r="GH167" s="926"/>
      <c r="GI167" s="926"/>
      <c r="GJ167" s="926"/>
      <c r="GK167" s="926"/>
      <c r="GL167" s="926"/>
      <c r="GM167" s="926"/>
      <c r="GN167" s="926"/>
      <c r="GO167" s="926"/>
      <c r="GP167" s="926"/>
      <c r="GQ167" s="926"/>
      <c r="GR167" s="926"/>
      <c r="GS167" s="926"/>
      <c r="GT167" s="926"/>
      <c r="GU167" s="926"/>
      <c r="GV167" s="926"/>
      <c r="GW167" s="926"/>
      <c r="GX167" s="926"/>
      <c r="GY167" s="926"/>
      <c r="GZ167" s="926"/>
      <c r="HA167" s="926"/>
      <c r="HB167" s="926"/>
      <c r="HC167" s="926"/>
      <c r="HD167" s="926"/>
      <c r="HE167" s="926"/>
      <c r="HF167" s="926"/>
      <c r="HG167" s="926"/>
      <c r="HH167" s="926"/>
      <c r="HI167" s="926"/>
      <c r="HJ167" s="926"/>
      <c r="HK167" s="926"/>
      <c r="HL167" s="926"/>
      <c r="HM167" s="926"/>
      <c r="HN167" s="926"/>
      <c r="HO167" s="926"/>
      <c r="HP167" s="926"/>
      <c r="HQ167" s="926"/>
      <c r="HR167" s="926"/>
      <c r="HS167" s="926"/>
      <c r="HT167" s="926"/>
      <c r="HU167" s="926"/>
      <c r="HV167" s="926"/>
      <c r="HW167" s="926"/>
      <c r="HX167" s="926"/>
      <c r="HY167" s="926"/>
      <c r="HZ167" s="926"/>
      <c r="IA167" s="926"/>
      <c r="IB167" s="926"/>
      <c r="IC167" s="926"/>
      <c r="ID167" s="926"/>
      <c r="IE167" s="926"/>
      <c r="IF167" s="926"/>
      <c r="IG167" s="926"/>
      <c r="IH167" s="926"/>
      <c r="II167" s="926"/>
      <c r="IJ167" s="926"/>
      <c r="IK167" s="926"/>
      <c r="IL167" s="926"/>
      <c r="IM167" s="926"/>
    </row>
    <row r="168" spans="1:247" x14ac:dyDescent="0.45">
      <c r="A168" s="441">
        <v>7354</v>
      </c>
      <c r="B168" s="939" t="s">
        <v>2703</v>
      </c>
      <c r="C168" s="47" t="s">
        <v>88</v>
      </c>
      <c r="D168" s="449" t="s">
        <v>2537</v>
      </c>
      <c r="E168" s="946"/>
      <c r="F168" s="941">
        <f t="shared" si="29"/>
        <v>1.0209999999999999</v>
      </c>
      <c r="G168" s="947"/>
      <c r="H168" s="946"/>
      <c r="I168" s="948"/>
      <c r="J168" s="948"/>
      <c r="K168" s="948"/>
      <c r="L168" s="948"/>
      <c r="M168" s="948"/>
      <c r="N168" s="947"/>
      <c r="O168" s="949"/>
      <c r="P168" s="946"/>
      <c r="Q168" s="947"/>
      <c r="R168" s="950">
        <f t="shared" si="30"/>
        <v>1.0209999999999999</v>
      </c>
      <c r="S168" s="926"/>
      <c r="T168" s="926"/>
      <c r="U168" s="926"/>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6"/>
      <c r="AV168" s="926"/>
      <c r="AW168" s="926"/>
      <c r="AX168" s="926"/>
      <c r="AY168" s="926"/>
      <c r="AZ168" s="926"/>
      <c r="BA168" s="926"/>
      <c r="BB168" s="926"/>
      <c r="BC168" s="926"/>
      <c r="BD168" s="926"/>
      <c r="BE168" s="926"/>
      <c r="BF168" s="926"/>
      <c r="BG168" s="926"/>
      <c r="BH168" s="926"/>
      <c r="BI168" s="926"/>
      <c r="BJ168" s="926"/>
      <c r="BK168" s="926"/>
      <c r="BL168" s="926"/>
      <c r="BM168" s="926"/>
      <c r="BN168" s="926"/>
      <c r="BO168" s="926"/>
      <c r="BP168" s="926"/>
      <c r="BQ168" s="926"/>
      <c r="BR168" s="926"/>
      <c r="BS168" s="926"/>
      <c r="BT168" s="926"/>
      <c r="BU168" s="926"/>
      <c r="BV168" s="926"/>
      <c r="BW168" s="926"/>
      <c r="BX168" s="926"/>
      <c r="BY168" s="926"/>
      <c r="BZ168" s="926"/>
      <c r="CA168" s="926"/>
      <c r="CB168" s="926"/>
      <c r="CC168" s="926"/>
      <c r="CD168" s="926"/>
      <c r="CE168" s="926"/>
      <c r="CF168" s="926"/>
      <c r="CG168" s="926"/>
      <c r="CH168" s="926"/>
      <c r="CI168" s="926"/>
      <c r="CJ168" s="926"/>
      <c r="CK168" s="926"/>
      <c r="CL168" s="926"/>
      <c r="CM168" s="926"/>
      <c r="CN168" s="926"/>
      <c r="CO168" s="926"/>
      <c r="CP168" s="926"/>
      <c r="CQ168" s="926"/>
      <c r="CR168" s="926"/>
      <c r="CS168" s="926"/>
      <c r="CT168" s="926"/>
      <c r="CU168" s="926"/>
      <c r="CV168" s="926"/>
      <c r="CW168" s="926"/>
      <c r="CX168" s="926"/>
      <c r="CY168" s="926"/>
      <c r="CZ168" s="926"/>
      <c r="DA168" s="926"/>
      <c r="DB168" s="926"/>
      <c r="DC168" s="926"/>
      <c r="DD168" s="926"/>
      <c r="DE168" s="926"/>
      <c r="DF168" s="926"/>
      <c r="DG168" s="926"/>
      <c r="DH168" s="926"/>
      <c r="DI168" s="926"/>
      <c r="DJ168" s="926"/>
      <c r="DK168" s="926"/>
      <c r="DL168" s="926"/>
      <c r="DM168" s="926"/>
      <c r="DN168" s="926"/>
      <c r="DO168" s="926"/>
      <c r="DP168" s="926"/>
      <c r="DQ168" s="926"/>
      <c r="DR168" s="926"/>
      <c r="DS168" s="926"/>
      <c r="DT168" s="926"/>
      <c r="DU168" s="926"/>
      <c r="DV168" s="926"/>
      <c r="DW168" s="926"/>
      <c r="DX168" s="926"/>
      <c r="DY168" s="926"/>
      <c r="DZ168" s="926"/>
      <c r="EA168" s="926"/>
      <c r="EB168" s="926"/>
      <c r="EC168" s="926"/>
      <c r="ED168" s="926"/>
      <c r="EE168" s="926"/>
      <c r="EF168" s="926"/>
      <c r="EG168" s="926"/>
      <c r="EH168" s="926"/>
      <c r="EI168" s="926"/>
      <c r="EJ168" s="926"/>
      <c r="EK168" s="926"/>
      <c r="EL168" s="926"/>
      <c r="EM168" s="926"/>
      <c r="EN168" s="926"/>
      <c r="EO168" s="926"/>
      <c r="EP168" s="926"/>
      <c r="EQ168" s="926"/>
      <c r="ER168" s="926"/>
      <c r="ES168" s="926"/>
      <c r="ET168" s="926"/>
      <c r="EU168" s="926"/>
      <c r="EV168" s="926"/>
      <c r="EW168" s="926"/>
      <c r="EX168" s="926"/>
      <c r="EY168" s="926"/>
      <c r="EZ168" s="926"/>
      <c r="FA168" s="926"/>
      <c r="FB168" s="926"/>
      <c r="FC168" s="926"/>
      <c r="FD168" s="926"/>
      <c r="FE168" s="926"/>
      <c r="FF168" s="926"/>
      <c r="FG168" s="926"/>
      <c r="FH168" s="926"/>
      <c r="FI168" s="926"/>
      <c r="FJ168" s="926"/>
      <c r="FK168" s="926"/>
      <c r="FL168" s="926"/>
      <c r="FM168" s="926"/>
      <c r="FN168" s="926"/>
      <c r="FO168" s="926"/>
      <c r="FP168" s="926"/>
      <c r="FQ168" s="926"/>
      <c r="FR168" s="926"/>
      <c r="FS168" s="926"/>
      <c r="FT168" s="926"/>
      <c r="FU168" s="926"/>
      <c r="FV168" s="926"/>
      <c r="FW168" s="926"/>
      <c r="FX168" s="926"/>
      <c r="FY168" s="926"/>
      <c r="FZ168" s="926"/>
      <c r="GA168" s="926"/>
      <c r="GB168" s="926"/>
      <c r="GC168" s="926"/>
      <c r="GD168" s="926"/>
      <c r="GE168" s="926"/>
      <c r="GF168" s="926"/>
      <c r="GG168" s="926"/>
      <c r="GH168" s="926"/>
      <c r="GI168" s="926"/>
      <c r="GJ168" s="926"/>
      <c r="GK168" s="926"/>
      <c r="GL168" s="926"/>
      <c r="GM168" s="926"/>
      <c r="GN168" s="926"/>
      <c r="GO168" s="926"/>
      <c r="GP168" s="926"/>
      <c r="GQ168" s="926"/>
      <c r="GR168" s="926"/>
      <c r="GS168" s="926"/>
      <c r="GT168" s="926"/>
      <c r="GU168" s="926"/>
      <c r="GV168" s="926"/>
      <c r="GW168" s="926"/>
      <c r="GX168" s="926"/>
      <c r="GY168" s="926"/>
      <c r="GZ168" s="926"/>
      <c r="HA168" s="926"/>
      <c r="HB168" s="926"/>
      <c r="HC168" s="926"/>
      <c r="HD168" s="926"/>
      <c r="HE168" s="926"/>
      <c r="HF168" s="926"/>
      <c r="HG168" s="926"/>
      <c r="HH168" s="926"/>
      <c r="HI168" s="926"/>
      <c r="HJ168" s="926"/>
      <c r="HK168" s="926"/>
      <c r="HL168" s="926"/>
      <c r="HM168" s="926"/>
      <c r="HN168" s="926"/>
      <c r="HO168" s="926"/>
      <c r="HP168" s="926"/>
      <c r="HQ168" s="926"/>
      <c r="HR168" s="926"/>
      <c r="HS168" s="926"/>
      <c r="HT168" s="926"/>
      <c r="HU168" s="926"/>
      <c r="HV168" s="926"/>
      <c r="HW168" s="926"/>
      <c r="HX168" s="926"/>
      <c r="HY168" s="926"/>
      <c r="HZ168" s="926"/>
      <c r="IA168" s="926"/>
      <c r="IB168" s="926"/>
      <c r="IC168" s="926"/>
      <c r="ID168" s="926"/>
      <c r="IE168" s="926"/>
      <c r="IF168" s="926"/>
      <c r="IG168" s="926"/>
      <c r="IH168" s="926"/>
      <c r="II168" s="926"/>
      <c r="IJ168" s="926"/>
      <c r="IK168" s="926"/>
      <c r="IL168" s="926"/>
      <c r="IM168" s="926"/>
    </row>
    <row r="169" spans="1:247" x14ac:dyDescent="0.45">
      <c r="A169" s="441">
        <v>7362</v>
      </c>
      <c r="B169" s="939" t="s">
        <v>2704</v>
      </c>
      <c r="C169" s="47" t="s">
        <v>35</v>
      </c>
      <c r="D169" s="449" t="s">
        <v>2545</v>
      </c>
      <c r="E169" s="946">
        <f>+$E$3</f>
        <v>1.0740000000000001</v>
      </c>
      <c r="F169" s="941">
        <f t="shared" si="29"/>
        <v>1.0209999999999999</v>
      </c>
      <c r="G169" s="947">
        <f>+$G$3</f>
        <v>1.0269999999999999</v>
      </c>
      <c r="H169" s="946">
        <f>+$H$3</f>
        <v>1.0029999999999999</v>
      </c>
      <c r="I169" s="948">
        <f>+$I$3</f>
        <v>1.0289999999999999</v>
      </c>
      <c r="J169" s="948">
        <f>+$J$3</f>
        <v>1.0049999999999999</v>
      </c>
      <c r="K169" s="948">
        <f>+$K$3</f>
        <v>1.026</v>
      </c>
      <c r="L169" s="948">
        <f>+$L$3</f>
        <v>1.0129999999999999</v>
      </c>
      <c r="M169" s="948">
        <f>+$M$3</f>
        <v>1.0029999999999999</v>
      </c>
      <c r="N169" s="947">
        <f>+$N$3</f>
        <v>1.0029999999999999</v>
      </c>
      <c r="O169" s="949"/>
      <c r="P169" s="946">
        <f>+$P$3</f>
        <v>1.032</v>
      </c>
      <c r="Q169" s="947">
        <f>+$Q$3</f>
        <v>1.0349999999999999</v>
      </c>
      <c r="R169" s="950">
        <f t="shared" si="30"/>
        <v>1.3045524833281539</v>
      </c>
      <c r="S169" s="926"/>
      <c r="T169" s="926"/>
      <c r="U169" s="926"/>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6"/>
      <c r="AV169" s="926"/>
      <c r="AW169" s="926"/>
      <c r="AX169" s="926"/>
      <c r="AY169" s="926"/>
      <c r="AZ169" s="926"/>
      <c r="BA169" s="926"/>
      <c r="BB169" s="926"/>
      <c r="BC169" s="926"/>
      <c r="BD169" s="926"/>
      <c r="BE169" s="926"/>
      <c r="BF169" s="926"/>
      <c r="BG169" s="926"/>
      <c r="BH169" s="926"/>
      <c r="BI169" s="926"/>
      <c r="BJ169" s="926"/>
      <c r="BK169" s="926"/>
      <c r="BL169" s="926"/>
      <c r="BM169" s="926"/>
      <c r="BN169" s="926"/>
      <c r="BO169" s="926"/>
      <c r="BP169" s="926"/>
      <c r="BQ169" s="926"/>
      <c r="BR169" s="926"/>
      <c r="BS169" s="926"/>
      <c r="BT169" s="926"/>
      <c r="BU169" s="926"/>
      <c r="BV169" s="926"/>
      <c r="BW169" s="926"/>
      <c r="BX169" s="926"/>
      <c r="BY169" s="926"/>
      <c r="BZ169" s="926"/>
      <c r="CA169" s="926"/>
      <c r="CB169" s="926"/>
      <c r="CC169" s="926"/>
      <c r="CD169" s="926"/>
      <c r="CE169" s="926"/>
      <c r="CF169" s="926"/>
      <c r="CG169" s="926"/>
      <c r="CH169" s="926"/>
      <c r="CI169" s="926"/>
      <c r="CJ169" s="926"/>
      <c r="CK169" s="926"/>
      <c r="CL169" s="926"/>
      <c r="CM169" s="926"/>
      <c r="CN169" s="926"/>
      <c r="CO169" s="926"/>
      <c r="CP169" s="926"/>
      <c r="CQ169" s="926"/>
      <c r="CR169" s="926"/>
      <c r="CS169" s="926"/>
      <c r="CT169" s="926"/>
      <c r="CU169" s="926"/>
      <c r="CV169" s="926"/>
      <c r="CW169" s="926"/>
      <c r="CX169" s="926"/>
      <c r="CY169" s="926"/>
      <c r="CZ169" s="926"/>
      <c r="DA169" s="926"/>
      <c r="DB169" s="926"/>
      <c r="DC169" s="926"/>
      <c r="DD169" s="926"/>
      <c r="DE169" s="926"/>
      <c r="DF169" s="926"/>
      <c r="DG169" s="926"/>
      <c r="DH169" s="926"/>
      <c r="DI169" s="926"/>
      <c r="DJ169" s="926"/>
      <c r="DK169" s="926"/>
      <c r="DL169" s="926"/>
      <c r="DM169" s="926"/>
      <c r="DN169" s="926"/>
      <c r="DO169" s="926"/>
      <c r="DP169" s="926"/>
      <c r="DQ169" s="926"/>
      <c r="DR169" s="926"/>
      <c r="DS169" s="926"/>
      <c r="DT169" s="926"/>
      <c r="DU169" s="926"/>
      <c r="DV169" s="926"/>
      <c r="DW169" s="926"/>
      <c r="DX169" s="926"/>
      <c r="DY169" s="926"/>
      <c r="DZ169" s="926"/>
      <c r="EA169" s="926"/>
      <c r="EB169" s="926"/>
      <c r="EC169" s="926"/>
      <c r="ED169" s="926"/>
      <c r="EE169" s="926"/>
      <c r="EF169" s="926"/>
      <c r="EG169" s="926"/>
      <c r="EH169" s="926"/>
      <c r="EI169" s="926"/>
      <c r="EJ169" s="926"/>
      <c r="EK169" s="926"/>
      <c r="EL169" s="926"/>
      <c r="EM169" s="926"/>
      <c r="EN169" s="926"/>
      <c r="EO169" s="926"/>
      <c r="EP169" s="926"/>
      <c r="EQ169" s="926"/>
      <c r="ER169" s="926"/>
      <c r="ES169" s="926"/>
      <c r="ET169" s="926"/>
      <c r="EU169" s="926"/>
      <c r="EV169" s="926"/>
      <c r="EW169" s="926"/>
      <c r="EX169" s="926"/>
      <c r="EY169" s="926"/>
      <c r="EZ169" s="926"/>
      <c r="FA169" s="926"/>
      <c r="FB169" s="926"/>
      <c r="FC169" s="926"/>
      <c r="FD169" s="926"/>
      <c r="FE169" s="926"/>
      <c r="FF169" s="926"/>
      <c r="FG169" s="926"/>
      <c r="FH169" s="926"/>
      <c r="FI169" s="926"/>
      <c r="FJ169" s="926"/>
      <c r="FK169" s="926"/>
      <c r="FL169" s="926"/>
      <c r="FM169" s="926"/>
      <c r="FN169" s="926"/>
      <c r="FO169" s="926"/>
      <c r="FP169" s="926"/>
      <c r="FQ169" s="926"/>
      <c r="FR169" s="926"/>
      <c r="FS169" s="926"/>
      <c r="FT169" s="926"/>
      <c r="FU169" s="926"/>
      <c r="FV169" s="926"/>
      <c r="FW169" s="926"/>
      <c r="FX169" s="926"/>
      <c r="FY169" s="926"/>
      <c r="FZ169" s="926"/>
      <c r="GA169" s="926"/>
      <c r="GB169" s="926"/>
      <c r="GC169" s="926"/>
      <c r="GD169" s="926"/>
      <c r="GE169" s="926"/>
      <c r="GF169" s="926"/>
      <c r="GG169" s="926"/>
      <c r="GH169" s="926"/>
      <c r="GI169" s="926"/>
      <c r="GJ169" s="926"/>
      <c r="GK169" s="926"/>
      <c r="GL169" s="926"/>
      <c r="GM169" s="926"/>
      <c r="GN169" s="926"/>
      <c r="GO169" s="926"/>
      <c r="GP169" s="926"/>
      <c r="GQ169" s="926"/>
      <c r="GR169" s="926"/>
      <c r="GS169" s="926"/>
      <c r="GT169" s="926"/>
      <c r="GU169" s="926"/>
      <c r="GV169" s="926"/>
      <c r="GW169" s="926"/>
      <c r="GX169" s="926"/>
      <c r="GY169" s="926"/>
      <c r="GZ169" s="926"/>
      <c r="HA169" s="926"/>
      <c r="HB169" s="926"/>
      <c r="HC169" s="926"/>
      <c r="HD169" s="926"/>
      <c r="HE169" s="926"/>
      <c r="HF169" s="926"/>
      <c r="HG169" s="926"/>
      <c r="HH169" s="926"/>
      <c r="HI169" s="926"/>
      <c r="HJ169" s="926"/>
      <c r="HK169" s="926"/>
      <c r="HL169" s="926"/>
      <c r="HM169" s="926"/>
      <c r="HN169" s="926"/>
      <c r="HO169" s="926"/>
      <c r="HP169" s="926"/>
      <c r="HQ169" s="926"/>
      <c r="HR169" s="926"/>
      <c r="HS169" s="926"/>
      <c r="HT169" s="926"/>
      <c r="HU169" s="926"/>
      <c r="HV169" s="926"/>
      <c r="HW169" s="926"/>
      <c r="HX169" s="926"/>
      <c r="HY169" s="926"/>
      <c r="HZ169" s="926"/>
      <c r="IA169" s="926"/>
      <c r="IB169" s="926"/>
      <c r="IC169" s="926"/>
      <c r="ID169" s="926"/>
      <c r="IE169" s="926"/>
      <c r="IF169" s="926"/>
      <c r="IG169" s="926"/>
      <c r="IH169" s="926"/>
      <c r="II169" s="926"/>
      <c r="IJ169" s="926"/>
      <c r="IK169" s="926"/>
      <c r="IL169" s="926"/>
      <c r="IM169" s="926"/>
    </row>
    <row r="170" spans="1:247" x14ac:dyDescent="0.45">
      <c r="A170" s="441">
        <v>7372</v>
      </c>
      <c r="B170" s="939" t="s">
        <v>2705</v>
      </c>
      <c r="C170" s="47" t="s">
        <v>35</v>
      </c>
      <c r="D170" s="449" t="s">
        <v>2545</v>
      </c>
      <c r="E170" s="946">
        <f>+$E$3</f>
        <v>1.0740000000000001</v>
      </c>
      <c r="F170" s="941">
        <f t="shared" si="29"/>
        <v>1.0209999999999999</v>
      </c>
      <c r="G170" s="947">
        <f>+$G$3</f>
        <v>1.0269999999999999</v>
      </c>
      <c r="H170" s="946">
        <f>+$H$3</f>
        <v>1.0029999999999999</v>
      </c>
      <c r="I170" s="948">
        <f>+$I$3</f>
        <v>1.0289999999999999</v>
      </c>
      <c r="J170" s="948">
        <f>+$J$3</f>
        <v>1.0049999999999999</v>
      </c>
      <c r="K170" s="948">
        <f>+$K$3</f>
        <v>1.026</v>
      </c>
      <c r="L170" s="948">
        <f>+$L$3</f>
        <v>1.0129999999999999</v>
      </c>
      <c r="M170" s="948">
        <f>+$M$3</f>
        <v>1.0029999999999999</v>
      </c>
      <c r="N170" s="947">
        <f>+$N$3</f>
        <v>1.0029999999999999</v>
      </c>
      <c r="O170" s="949">
        <f>+$O$3</f>
        <v>1.0209999999999999</v>
      </c>
      <c r="P170" s="946">
        <f>+$P$3</f>
        <v>1.032</v>
      </c>
      <c r="Q170" s="947">
        <f>+$Q$3</f>
        <v>1.0349999999999999</v>
      </c>
      <c r="R170" s="950">
        <f t="shared" si="30"/>
        <v>1.3319480854780448</v>
      </c>
      <c r="S170" s="926"/>
      <c r="T170" s="926"/>
      <c r="U170" s="926"/>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6"/>
      <c r="AV170" s="926"/>
      <c r="AW170" s="926"/>
      <c r="AX170" s="926"/>
      <c r="AY170" s="926"/>
      <c r="AZ170" s="926"/>
      <c r="BA170" s="926"/>
      <c r="BB170" s="926"/>
      <c r="BC170" s="926"/>
      <c r="BD170" s="926"/>
      <c r="BE170" s="926"/>
      <c r="BF170" s="926"/>
      <c r="BG170" s="926"/>
      <c r="BH170" s="926"/>
      <c r="BI170" s="926"/>
      <c r="BJ170" s="926"/>
      <c r="BK170" s="926"/>
      <c r="BL170" s="926"/>
      <c r="BM170" s="926"/>
      <c r="BN170" s="926"/>
      <c r="BO170" s="926"/>
      <c r="BP170" s="926"/>
      <c r="BQ170" s="926"/>
      <c r="BR170" s="926"/>
      <c r="BS170" s="926"/>
      <c r="BT170" s="926"/>
      <c r="BU170" s="926"/>
      <c r="BV170" s="926"/>
      <c r="BW170" s="926"/>
      <c r="BX170" s="926"/>
      <c r="BY170" s="926"/>
      <c r="BZ170" s="926"/>
      <c r="CA170" s="926"/>
      <c r="CB170" s="926"/>
      <c r="CC170" s="926"/>
      <c r="CD170" s="926"/>
      <c r="CE170" s="926"/>
      <c r="CF170" s="926"/>
      <c r="CG170" s="926"/>
      <c r="CH170" s="926"/>
      <c r="CI170" s="926"/>
      <c r="CJ170" s="926"/>
      <c r="CK170" s="926"/>
      <c r="CL170" s="926"/>
      <c r="CM170" s="926"/>
      <c r="CN170" s="926"/>
      <c r="CO170" s="926"/>
      <c r="CP170" s="926"/>
      <c r="CQ170" s="926"/>
      <c r="CR170" s="926"/>
      <c r="CS170" s="926"/>
      <c r="CT170" s="926"/>
      <c r="CU170" s="926"/>
      <c r="CV170" s="926"/>
      <c r="CW170" s="926"/>
      <c r="CX170" s="926"/>
      <c r="CY170" s="926"/>
      <c r="CZ170" s="926"/>
      <c r="DA170" s="926"/>
      <c r="DB170" s="926"/>
      <c r="DC170" s="926"/>
      <c r="DD170" s="926"/>
      <c r="DE170" s="926"/>
      <c r="DF170" s="926"/>
      <c r="DG170" s="926"/>
      <c r="DH170" s="926"/>
      <c r="DI170" s="926"/>
      <c r="DJ170" s="926"/>
      <c r="DK170" s="926"/>
      <c r="DL170" s="926"/>
      <c r="DM170" s="926"/>
      <c r="DN170" s="926"/>
      <c r="DO170" s="926"/>
      <c r="DP170" s="926"/>
      <c r="DQ170" s="926"/>
      <c r="DR170" s="926"/>
      <c r="DS170" s="926"/>
      <c r="DT170" s="926"/>
      <c r="DU170" s="926"/>
      <c r="DV170" s="926"/>
      <c r="DW170" s="926"/>
      <c r="DX170" s="926"/>
      <c r="DY170" s="926"/>
      <c r="DZ170" s="926"/>
      <c r="EA170" s="926"/>
      <c r="EB170" s="926"/>
      <c r="EC170" s="926"/>
      <c r="ED170" s="926"/>
      <c r="EE170" s="926"/>
      <c r="EF170" s="926"/>
      <c r="EG170" s="926"/>
      <c r="EH170" s="926"/>
      <c r="EI170" s="926"/>
      <c r="EJ170" s="926"/>
      <c r="EK170" s="926"/>
      <c r="EL170" s="926"/>
      <c r="EM170" s="926"/>
      <c r="EN170" s="926"/>
      <c r="EO170" s="926"/>
      <c r="EP170" s="926"/>
      <c r="EQ170" s="926"/>
      <c r="ER170" s="926"/>
      <c r="ES170" s="926"/>
      <c r="ET170" s="926"/>
      <c r="EU170" s="926"/>
      <c r="EV170" s="926"/>
      <c r="EW170" s="926"/>
      <c r="EX170" s="926"/>
      <c r="EY170" s="926"/>
      <c r="EZ170" s="926"/>
      <c r="FA170" s="926"/>
      <c r="FB170" s="926"/>
      <c r="FC170" s="926"/>
      <c r="FD170" s="926"/>
      <c r="FE170" s="926"/>
      <c r="FF170" s="926"/>
      <c r="FG170" s="926"/>
      <c r="FH170" s="926"/>
      <c r="FI170" s="926"/>
      <c r="FJ170" s="926"/>
      <c r="FK170" s="926"/>
      <c r="FL170" s="926"/>
      <c r="FM170" s="926"/>
      <c r="FN170" s="926"/>
      <c r="FO170" s="926"/>
      <c r="FP170" s="926"/>
      <c r="FQ170" s="926"/>
      <c r="FR170" s="926"/>
      <c r="FS170" s="926"/>
      <c r="FT170" s="926"/>
      <c r="FU170" s="926"/>
      <c r="FV170" s="926"/>
      <c r="FW170" s="926"/>
      <c r="FX170" s="926"/>
      <c r="FY170" s="926"/>
      <c r="FZ170" s="926"/>
      <c r="GA170" s="926"/>
      <c r="GB170" s="926"/>
      <c r="GC170" s="926"/>
      <c r="GD170" s="926"/>
      <c r="GE170" s="926"/>
      <c r="GF170" s="926"/>
      <c r="GG170" s="926"/>
      <c r="GH170" s="926"/>
      <c r="GI170" s="926"/>
      <c r="GJ170" s="926"/>
      <c r="GK170" s="926"/>
      <c r="GL170" s="926"/>
      <c r="GM170" s="926"/>
      <c r="GN170" s="926"/>
      <c r="GO170" s="926"/>
      <c r="GP170" s="926"/>
      <c r="GQ170" s="926"/>
      <c r="GR170" s="926"/>
      <c r="GS170" s="926"/>
      <c r="GT170" s="926"/>
      <c r="GU170" s="926"/>
      <c r="GV170" s="926"/>
      <c r="GW170" s="926"/>
      <c r="GX170" s="926"/>
      <c r="GY170" s="926"/>
      <c r="GZ170" s="926"/>
      <c r="HA170" s="926"/>
      <c r="HB170" s="926"/>
      <c r="HC170" s="926"/>
      <c r="HD170" s="926"/>
      <c r="HE170" s="926"/>
      <c r="HF170" s="926"/>
      <c r="HG170" s="926"/>
      <c r="HH170" s="926"/>
      <c r="HI170" s="926"/>
      <c r="HJ170" s="926"/>
      <c r="HK170" s="926"/>
      <c r="HL170" s="926"/>
      <c r="HM170" s="926"/>
      <c r="HN170" s="926"/>
      <c r="HO170" s="926"/>
      <c r="HP170" s="926"/>
      <c r="HQ170" s="926"/>
      <c r="HR170" s="926"/>
      <c r="HS170" s="926"/>
      <c r="HT170" s="926"/>
      <c r="HU170" s="926"/>
      <c r="HV170" s="926"/>
      <c r="HW170" s="926"/>
      <c r="HX170" s="926"/>
      <c r="HY170" s="926"/>
      <c r="HZ170" s="926"/>
      <c r="IA170" s="926"/>
      <c r="IB170" s="926"/>
      <c r="IC170" s="926"/>
      <c r="ID170" s="926"/>
      <c r="IE170" s="926"/>
      <c r="IF170" s="926"/>
      <c r="IG170" s="926"/>
      <c r="IH170" s="926"/>
      <c r="II170" s="926"/>
      <c r="IJ170" s="926"/>
      <c r="IK170" s="926"/>
      <c r="IL170" s="926"/>
      <c r="IM170" s="926"/>
    </row>
    <row r="171" spans="1:247" x14ac:dyDescent="0.45">
      <c r="A171" s="441">
        <v>7381</v>
      </c>
      <c r="B171" s="939" t="s">
        <v>2706</v>
      </c>
      <c r="C171" s="47" t="s">
        <v>35</v>
      </c>
      <c r="D171" s="449" t="s">
        <v>2545</v>
      </c>
      <c r="E171" s="946"/>
      <c r="F171" s="941">
        <f t="shared" si="29"/>
        <v>1.0209999999999999</v>
      </c>
      <c r="G171" s="947"/>
      <c r="H171" s="946"/>
      <c r="I171" s="948"/>
      <c r="J171" s="948"/>
      <c r="K171" s="948"/>
      <c r="L171" s="948"/>
      <c r="M171" s="948"/>
      <c r="N171" s="947"/>
      <c r="O171" s="949"/>
      <c r="P171" s="946"/>
      <c r="Q171" s="947"/>
      <c r="R171" s="950">
        <f t="shared" si="30"/>
        <v>1.0209999999999999</v>
      </c>
      <c r="S171" s="926"/>
      <c r="T171" s="926"/>
      <c r="U171" s="926"/>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6"/>
      <c r="AV171" s="926"/>
      <c r="AW171" s="926"/>
      <c r="AX171" s="926"/>
      <c r="AY171" s="926"/>
      <c r="AZ171" s="926"/>
      <c r="BA171" s="926"/>
      <c r="BB171" s="926"/>
      <c r="BC171" s="926"/>
      <c r="BD171" s="926"/>
      <c r="BE171" s="926"/>
      <c r="BF171" s="926"/>
      <c r="BG171" s="926"/>
      <c r="BH171" s="926"/>
      <c r="BI171" s="926"/>
      <c r="BJ171" s="926"/>
      <c r="BK171" s="926"/>
      <c r="BL171" s="926"/>
      <c r="BM171" s="926"/>
      <c r="BN171" s="926"/>
      <c r="BO171" s="926"/>
      <c r="BP171" s="926"/>
      <c r="BQ171" s="926"/>
      <c r="BR171" s="926"/>
      <c r="BS171" s="926"/>
      <c r="BT171" s="926"/>
      <c r="BU171" s="926"/>
      <c r="BV171" s="926"/>
      <c r="BW171" s="926"/>
      <c r="BX171" s="926"/>
      <c r="BY171" s="926"/>
      <c r="BZ171" s="926"/>
      <c r="CA171" s="926"/>
      <c r="CB171" s="926"/>
      <c r="CC171" s="926"/>
      <c r="CD171" s="926"/>
      <c r="CE171" s="926"/>
      <c r="CF171" s="926"/>
      <c r="CG171" s="926"/>
      <c r="CH171" s="926"/>
      <c r="CI171" s="926"/>
      <c r="CJ171" s="926"/>
      <c r="CK171" s="926"/>
      <c r="CL171" s="926"/>
      <c r="CM171" s="926"/>
      <c r="CN171" s="926"/>
      <c r="CO171" s="926"/>
      <c r="CP171" s="926"/>
      <c r="CQ171" s="926"/>
      <c r="CR171" s="926"/>
      <c r="CS171" s="926"/>
      <c r="CT171" s="926"/>
      <c r="CU171" s="926"/>
      <c r="CV171" s="926"/>
      <c r="CW171" s="926"/>
      <c r="CX171" s="926"/>
      <c r="CY171" s="926"/>
      <c r="CZ171" s="926"/>
      <c r="DA171" s="926"/>
      <c r="DB171" s="926"/>
      <c r="DC171" s="926"/>
      <c r="DD171" s="926"/>
      <c r="DE171" s="926"/>
      <c r="DF171" s="926"/>
      <c r="DG171" s="926"/>
      <c r="DH171" s="926"/>
      <c r="DI171" s="926"/>
      <c r="DJ171" s="926"/>
      <c r="DK171" s="926"/>
      <c r="DL171" s="926"/>
      <c r="DM171" s="926"/>
      <c r="DN171" s="926"/>
      <c r="DO171" s="926"/>
      <c r="DP171" s="926"/>
      <c r="DQ171" s="926"/>
      <c r="DR171" s="926"/>
      <c r="DS171" s="926"/>
      <c r="DT171" s="926"/>
      <c r="DU171" s="926"/>
      <c r="DV171" s="926"/>
      <c r="DW171" s="926"/>
      <c r="DX171" s="926"/>
      <c r="DY171" s="926"/>
      <c r="DZ171" s="926"/>
      <c r="EA171" s="926"/>
      <c r="EB171" s="926"/>
      <c r="EC171" s="926"/>
      <c r="ED171" s="926"/>
      <c r="EE171" s="926"/>
      <c r="EF171" s="926"/>
      <c r="EG171" s="926"/>
      <c r="EH171" s="926"/>
      <c r="EI171" s="926"/>
      <c r="EJ171" s="926"/>
      <c r="EK171" s="926"/>
      <c r="EL171" s="926"/>
      <c r="EM171" s="926"/>
      <c r="EN171" s="926"/>
      <c r="EO171" s="926"/>
      <c r="EP171" s="926"/>
      <c r="EQ171" s="926"/>
      <c r="ER171" s="926"/>
      <c r="ES171" s="926"/>
      <c r="ET171" s="926"/>
      <c r="EU171" s="926"/>
      <c r="EV171" s="926"/>
      <c r="EW171" s="926"/>
      <c r="EX171" s="926"/>
      <c r="EY171" s="926"/>
      <c r="EZ171" s="926"/>
      <c r="FA171" s="926"/>
      <c r="FB171" s="926"/>
      <c r="FC171" s="926"/>
      <c r="FD171" s="926"/>
      <c r="FE171" s="926"/>
      <c r="FF171" s="926"/>
      <c r="FG171" s="926"/>
      <c r="FH171" s="926"/>
      <c r="FI171" s="926"/>
      <c r="FJ171" s="926"/>
      <c r="FK171" s="926"/>
      <c r="FL171" s="926"/>
      <c r="FM171" s="926"/>
      <c r="FN171" s="926"/>
      <c r="FO171" s="926"/>
      <c r="FP171" s="926"/>
      <c r="FQ171" s="926"/>
      <c r="FR171" s="926"/>
      <c r="FS171" s="926"/>
      <c r="FT171" s="926"/>
      <c r="FU171" s="926"/>
      <c r="FV171" s="926"/>
      <c r="FW171" s="926"/>
      <c r="FX171" s="926"/>
      <c r="FY171" s="926"/>
      <c r="FZ171" s="926"/>
      <c r="GA171" s="926"/>
      <c r="GB171" s="926"/>
      <c r="GC171" s="926"/>
      <c r="GD171" s="926"/>
      <c r="GE171" s="926"/>
      <c r="GF171" s="926"/>
      <c r="GG171" s="926"/>
      <c r="GH171" s="926"/>
      <c r="GI171" s="926"/>
      <c r="GJ171" s="926"/>
      <c r="GK171" s="926"/>
      <c r="GL171" s="926"/>
      <c r="GM171" s="926"/>
      <c r="GN171" s="926"/>
      <c r="GO171" s="926"/>
      <c r="GP171" s="926"/>
      <c r="GQ171" s="926"/>
      <c r="GR171" s="926"/>
      <c r="GS171" s="926"/>
      <c r="GT171" s="926"/>
      <c r="GU171" s="926"/>
      <c r="GV171" s="926"/>
      <c r="GW171" s="926"/>
      <c r="GX171" s="926"/>
      <c r="GY171" s="926"/>
      <c r="GZ171" s="926"/>
      <c r="HA171" s="926"/>
      <c r="HB171" s="926"/>
      <c r="HC171" s="926"/>
      <c r="HD171" s="926"/>
      <c r="HE171" s="926"/>
      <c r="HF171" s="926"/>
      <c r="HG171" s="926"/>
      <c r="HH171" s="926"/>
      <c r="HI171" s="926"/>
      <c r="HJ171" s="926"/>
      <c r="HK171" s="926"/>
      <c r="HL171" s="926"/>
      <c r="HM171" s="926"/>
      <c r="HN171" s="926"/>
      <c r="HO171" s="926"/>
      <c r="HP171" s="926"/>
      <c r="HQ171" s="926"/>
      <c r="HR171" s="926"/>
      <c r="HS171" s="926"/>
      <c r="HT171" s="926"/>
      <c r="HU171" s="926"/>
      <c r="HV171" s="926"/>
      <c r="HW171" s="926"/>
      <c r="HX171" s="926"/>
      <c r="HY171" s="926"/>
      <c r="HZ171" s="926"/>
      <c r="IA171" s="926"/>
      <c r="IB171" s="926"/>
      <c r="IC171" s="926"/>
      <c r="ID171" s="926"/>
      <c r="IE171" s="926"/>
      <c r="IF171" s="926"/>
      <c r="IG171" s="926"/>
      <c r="IH171" s="926"/>
      <c r="II171" s="926"/>
      <c r="IJ171" s="926"/>
      <c r="IK171" s="926"/>
      <c r="IL171" s="926"/>
      <c r="IM171" s="926"/>
    </row>
    <row r="172" spans="1:247" x14ac:dyDescent="0.45">
      <c r="A172" s="441">
        <v>7382</v>
      </c>
      <c r="B172" s="939" t="s">
        <v>2707</v>
      </c>
      <c r="C172" s="47" t="s">
        <v>35</v>
      </c>
      <c r="D172" s="449" t="s">
        <v>2545</v>
      </c>
      <c r="E172" s="946"/>
      <c r="F172" s="941">
        <f t="shared" si="29"/>
        <v>1.0209999999999999</v>
      </c>
      <c r="G172" s="947"/>
      <c r="H172" s="946"/>
      <c r="I172" s="948"/>
      <c r="J172" s="948"/>
      <c r="K172" s="948"/>
      <c r="L172" s="948"/>
      <c r="M172" s="948"/>
      <c r="N172" s="947"/>
      <c r="O172" s="949"/>
      <c r="P172" s="946"/>
      <c r="Q172" s="947"/>
      <c r="R172" s="950">
        <f t="shared" si="30"/>
        <v>1.0209999999999999</v>
      </c>
      <c r="S172" s="926"/>
      <c r="T172" s="926"/>
      <c r="U172" s="926"/>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6"/>
      <c r="AV172" s="926"/>
      <c r="AW172" s="926"/>
      <c r="AX172" s="926"/>
      <c r="AY172" s="926"/>
      <c r="AZ172" s="926"/>
      <c r="BA172" s="926"/>
      <c r="BB172" s="926"/>
      <c r="BC172" s="926"/>
      <c r="BD172" s="926"/>
      <c r="BE172" s="926"/>
      <c r="BF172" s="926"/>
      <c r="BG172" s="926"/>
      <c r="BH172" s="926"/>
      <c r="BI172" s="926"/>
      <c r="BJ172" s="926"/>
      <c r="BK172" s="926"/>
      <c r="BL172" s="926"/>
      <c r="BM172" s="926"/>
      <c r="BN172" s="926"/>
      <c r="BO172" s="926"/>
      <c r="BP172" s="926"/>
      <c r="BQ172" s="926"/>
      <c r="BR172" s="926"/>
      <c r="BS172" s="926"/>
      <c r="BT172" s="926"/>
      <c r="BU172" s="926"/>
      <c r="BV172" s="926"/>
      <c r="BW172" s="926"/>
      <c r="BX172" s="926"/>
      <c r="BY172" s="926"/>
      <c r="BZ172" s="926"/>
      <c r="CA172" s="926"/>
      <c r="CB172" s="926"/>
      <c r="CC172" s="926"/>
      <c r="CD172" s="926"/>
      <c r="CE172" s="926"/>
      <c r="CF172" s="926"/>
      <c r="CG172" s="926"/>
      <c r="CH172" s="926"/>
      <c r="CI172" s="926"/>
      <c r="CJ172" s="926"/>
      <c r="CK172" s="926"/>
      <c r="CL172" s="926"/>
      <c r="CM172" s="926"/>
      <c r="CN172" s="926"/>
      <c r="CO172" s="926"/>
      <c r="CP172" s="926"/>
      <c r="CQ172" s="926"/>
      <c r="CR172" s="926"/>
      <c r="CS172" s="926"/>
      <c r="CT172" s="926"/>
      <c r="CU172" s="926"/>
      <c r="CV172" s="926"/>
      <c r="CW172" s="926"/>
      <c r="CX172" s="926"/>
      <c r="CY172" s="926"/>
      <c r="CZ172" s="926"/>
      <c r="DA172" s="926"/>
      <c r="DB172" s="926"/>
      <c r="DC172" s="926"/>
      <c r="DD172" s="926"/>
      <c r="DE172" s="926"/>
      <c r="DF172" s="926"/>
      <c r="DG172" s="926"/>
      <c r="DH172" s="926"/>
      <c r="DI172" s="926"/>
      <c r="DJ172" s="926"/>
      <c r="DK172" s="926"/>
      <c r="DL172" s="926"/>
      <c r="DM172" s="926"/>
      <c r="DN172" s="926"/>
      <c r="DO172" s="926"/>
      <c r="DP172" s="926"/>
      <c r="DQ172" s="926"/>
      <c r="DR172" s="926"/>
      <c r="DS172" s="926"/>
      <c r="DT172" s="926"/>
      <c r="DU172" s="926"/>
      <c r="DV172" s="926"/>
      <c r="DW172" s="926"/>
      <c r="DX172" s="926"/>
      <c r="DY172" s="926"/>
      <c r="DZ172" s="926"/>
      <c r="EA172" s="926"/>
      <c r="EB172" s="926"/>
      <c r="EC172" s="926"/>
      <c r="ED172" s="926"/>
      <c r="EE172" s="926"/>
      <c r="EF172" s="926"/>
      <c r="EG172" s="926"/>
      <c r="EH172" s="926"/>
      <c r="EI172" s="926"/>
      <c r="EJ172" s="926"/>
      <c r="EK172" s="926"/>
      <c r="EL172" s="926"/>
      <c r="EM172" s="926"/>
      <c r="EN172" s="926"/>
      <c r="EO172" s="926"/>
      <c r="EP172" s="926"/>
      <c r="EQ172" s="926"/>
      <c r="ER172" s="926"/>
      <c r="ES172" s="926"/>
      <c r="ET172" s="926"/>
      <c r="EU172" s="926"/>
      <c r="EV172" s="926"/>
      <c r="EW172" s="926"/>
      <c r="EX172" s="926"/>
      <c r="EY172" s="926"/>
      <c r="EZ172" s="926"/>
      <c r="FA172" s="926"/>
      <c r="FB172" s="926"/>
      <c r="FC172" s="926"/>
      <c r="FD172" s="926"/>
      <c r="FE172" s="926"/>
      <c r="FF172" s="926"/>
      <c r="FG172" s="926"/>
      <c r="FH172" s="926"/>
      <c r="FI172" s="926"/>
      <c r="FJ172" s="926"/>
      <c r="FK172" s="926"/>
      <c r="FL172" s="926"/>
      <c r="FM172" s="926"/>
      <c r="FN172" s="926"/>
      <c r="FO172" s="926"/>
      <c r="FP172" s="926"/>
      <c r="FQ172" s="926"/>
      <c r="FR172" s="926"/>
      <c r="FS172" s="926"/>
      <c r="FT172" s="926"/>
      <c r="FU172" s="926"/>
      <c r="FV172" s="926"/>
      <c r="FW172" s="926"/>
      <c r="FX172" s="926"/>
      <c r="FY172" s="926"/>
      <c r="FZ172" s="926"/>
      <c r="GA172" s="926"/>
      <c r="GB172" s="926"/>
      <c r="GC172" s="926"/>
      <c r="GD172" s="926"/>
      <c r="GE172" s="926"/>
      <c r="GF172" s="926"/>
      <c r="GG172" s="926"/>
      <c r="GH172" s="926"/>
      <c r="GI172" s="926"/>
      <c r="GJ172" s="926"/>
      <c r="GK172" s="926"/>
      <c r="GL172" s="926"/>
      <c r="GM172" s="926"/>
      <c r="GN172" s="926"/>
      <c r="GO172" s="926"/>
      <c r="GP172" s="926"/>
      <c r="GQ172" s="926"/>
      <c r="GR172" s="926"/>
      <c r="GS172" s="926"/>
      <c r="GT172" s="926"/>
      <c r="GU172" s="926"/>
      <c r="GV172" s="926"/>
      <c r="GW172" s="926"/>
      <c r="GX172" s="926"/>
      <c r="GY172" s="926"/>
      <c r="GZ172" s="926"/>
      <c r="HA172" s="926"/>
      <c r="HB172" s="926"/>
      <c r="HC172" s="926"/>
      <c r="HD172" s="926"/>
      <c r="HE172" s="926"/>
      <c r="HF172" s="926"/>
      <c r="HG172" s="926"/>
      <c r="HH172" s="926"/>
      <c r="HI172" s="926"/>
      <c r="HJ172" s="926"/>
      <c r="HK172" s="926"/>
      <c r="HL172" s="926"/>
      <c r="HM172" s="926"/>
      <c r="HN172" s="926"/>
      <c r="HO172" s="926"/>
      <c r="HP172" s="926"/>
      <c r="HQ172" s="926"/>
      <c r="HR172" s="926"/>
      <c r="HS172" s="926"/>
      <c r="HT172" s="926"/>
      <c r="HU172" s="926"/>
      <c r="HV172" s="926"/>
      <c r="HW172" s="926"/>
      <c r="HX172" s="926"/>
      <c r="HY172" s="926"/>
      <c r="HZ172" s="926"/>
      <c r="IA172" s="926"/>
      <c r="IB172" s="926"/>
      <c r="IC172" s="926"/>
      <c r="ID172" s="926"/>
      <c r="IE172" s="926"/>
      <c r="IF172" s="926"/>
      <c r="IG172" s="926"/>
      <c r="IH172" s="926"/>
      <c r="II172" s="926"/>
      <c r="IJ172" s="926"/>
      <c r="IK172" s="926"/>
      <c r="IL172" s="926"/>
      <c r="IM172" s="926"/>
    </row>
    <row r="173" spans="1:247" x14ac:dyDescent="0.45">
      <c r="A173" s="441">
        <v>7384</v>
      </c>
      <c r="B173" s="939" t="s">
        <v>2708</v>
      </c>
      <c r="C173" s="47" t="s">
        <v>35</v>
      </c>
      <c r="D173" s="449" t="s">
        <v>2537</v>
      </c>
      <c r="E173" s="946"/>
      <c r="F173" s="941">
        <f t="shared" si="29"/>
        <v>1.0209999999999999</v>
      </c>
      <c r="G173" s="947"/>
      <c r="H173" s="946"/>
      <c r="I173" s="948"/>
      <c r="J173" s="948"/>
      <c r="K173" s="948"/>
      <c r="L173" s="948"/>
      <c r="M173" s="948"/>
      <c r="N173" s="947"/>
      <c r="O173" s="949"/>
      <c r="P173" s="946"/>
      <c r="Q173" s="947"/>
      <c r="R173" s="950">
        <f t="shared" si="30"/>
        <v>1.0209999999999999</v>
      </c>
      <c r="S173" s="926"/>
      <c r="T173" s="926"/>
      <c r="U173" s="926"/>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6"/>
      <c r="AV173" s="926"/>
      <c r="AW173" s="926"/>
      <c r="AX173" s="926"/>
      <c r="AY173" s="926"/>
      <c r="AZ173" s="926"/>
      <c r="BA173" s="926"/>
      <c r="BB173" s="926"/>
      <c r="BC173" s="926"/>
      <c r="BD173" s="926"/>
      <c r="BE173" s="926"/>
      <c r="BF173" s="926"/>
      <c r="BG173" s="926"/>
      <c r="BH173" s="926"/>
      <c r="BI173" s="926"/>
      <c r="BJ173" s="926"/>
      <c r="BK173" s="926"/>
      <c r="BL173" s="926"/>
      <c r="BM173" s="926"/>
      <c r="BN173" s="926"/>
      <c r="BO173" s="926"/>
      <c r="BP173" s="926"/>
      <c r="BQ173" s="926"/>
      <c r="BR173" s="926"/>
      <c r="BS173" s="926"/>
      <c r="BT173" s="926"/>
      <c r="BU173" s="926"/>
      <c r="BV173" s="926"/>
      <c r="BW173" s="926"/>
      <c r="BX173" s="926"/>
      <c r="BY173" s="926"/>
      <c r="BZ173" s="926"/>
      <c r="CA173" s="926"/>
      <c r="CB173" s="926"/>
      <c r="CC173" s="926"/>
      <c r="CD173" s="926"/>
      <c r="CE173" s="926"/>
      <c r="CF173" s="926"/>
      <c r="CG173" s="926"/>
      <c r="CH173" s="926"/>
      <c r="CI173" s="926"/>
      <c r="CJ173" s="926"/>
      <c r="CK173" s="926"/>
      <c r="CL173" s="926"/>
      <c r="CM173" s="926"/>
      <c r="CN173" s="926"/>
      <c r="CO173" s="926"/>
      <c r="CP173" s="926"/>
      <c r="CQ173" s="926"/>
      <c r="CR173" s="926"/>
      <c r="CS173" s="926"/>
      <c r="CT173" s="926"/>
      <c r="CU173" s="926"/>
      <c r="CV173" s="926"/>
      <c r="CW173" s="926"/>
      <c r="CX173" s="926"/>
      <c r="CY173" s="926"/>
      <c r="CZ173" s="926"/>
      <c r="DA173" s="926"/>
      <c r="DB173" s="926"/>
      <c r="DC173" s="926"/>
      <c r="DD173" s="926"/>
      <c r="DE173" s="926"/>
      <c r="DF173" s="926"/>
      <c r="DG173" s="926"/>
      <c r="DH173" s="926"/>
      <c r="DI173" s="926"/>
      <c r="DJ173" s="926"/>
      <c r="DK173" s="926"/>
      <c r="DL173" s="926"/>
      <c r="DM173" s="926"/>
      <c r="DN173" s="926"/>
      <c r="DO173" s="926"/>
      <c r="DP173" s="926"/>
      <c r="DQ173" s="926"/>
      <c r="DR173" s="926"/>
      <c r="DS173" s="926"/>
      <c r="DT173" s="926"/>
      <c r="DU173" s="926"/>
      <c r="DV173" s="926"/>
      <c r="DW173" s="926"/>
      <c r="DX173" s="926"/>
      <c r="DY173" s="926"/>
      <c r="DZ173" s="926"/>
      <c r="EA173" s="926"/>
      <c r="EB173" s="926"/>
      <c r="EC173" s="926"/>
      <c r="ED173" s="926"/>
      <c r="EE173" s="926"/>
      <c r="EF173" s="926"/>
      <c r="EG173" s="926"/>
      <c r="EH173" s="926"/>
      <c r="EI173" s="926"/>
      <c r="EJ173" s="926"/>
      <c r="EK173" s="926"/>
      <c r="EL173" s="926"/>
      <c r="EM173" s="926"/>
      <c r="EN173" s="926"/>
      <c r="EO173" s="926"/>
      <c r="EP173" s="926"/>
      <c r="EQ173" s="926"/>
      <c r="ER173" s="926"/>
      <c r="ES173" s="926"/>
      <c r="ET173" s="926"/>
      <c r="EU173" s="926"/>
      <c r="EV173" s="926"/>
      <c r="EW173" s="926"/>
      <c r="EX173" s="926"/>
      <c r="EY173" s="926"/>
      <c r="EZ173" s="926"/>
      <c r="FA173" s="926"/>
      <c r="FB173" s="926"/>
      <c r="FC173" s="926"/>
      <c r="FD173" s="926"/>
      <c r="FE173" s="926"/>
      <c r="FF173" s="926"/>
      <c r="FG173" s="926"/>
      <c r="FH173" s="926"/>
      <c r="FI173" s="926"/>
      <c r="FJ173" s="926"/>
      <c r="FK173" s="926"/>
      <c r="FL173" s="926"/>
      <c r="FM173" s="926"/>
      <c r="FN173" s="926"/>
      <c r="FO173" s="926"/>
      <c r="FP173" s="926"/>
      <c r="FQ173" s="926"/>
      <c r="FR173" s="926"/>
      <c r="FS173" s="926"/>
      <c r="FT173" s="926"/>
      <c r="FU173" s="926"/>
      <c r="FV173" s="926"/>
      <c r="FW173" s="926"/>
      <c r="FX173" s="926"/>
      <c r="FY173" s="926"/>
      <c r="FZ173" s="926"/>
      <c r="GA173" s="926"/>
      <c r="GB173" s="926"/>
      <c r="GC173" s="926"/>
      <c r="GD173" s="926"/>
      <c r="GE173" s="926"/>
      <c r="GF173" s="926"/>
      <c r="GG173" s="926"/>
      <c r="GH173" s="926"/>
      <c r="GI173" s="926"/>
      <c r="GJ173" s="926"/>
      <c r="GK173" s="926"/>
      <c r="GL173" s="926"/>
      <c r="GM173" s="926"/>
      <c r="GN173" s="926"/>
      <c r="GO173" s="926"/>
      <c r="GP173" s="926"/>
      <c r="GQ173" s="926"/>
      <c r="GR173" s="926"/>
      <c r="GS173" s="926"/>
      <c r="GT173" s="926"/>
      <c r="GU173" s="926"/>
      <c r="GV173" s="926"/>
      <c r="GW173" s="926"/>
      <c r="GX173" s="926"/>
      <c r="GY173" s="926"/>
      <c r="GZ173" s="926"/>
      <c r="HA173" s="926"/>
      <c r="HB173" s="926"/>
      <c r="HC173" s="926"/>
      <c r="HD173" s="926"/>
      <c r="HE173" s="926"/>
      <c r="HF173" s="926"/>
      <c r="HG173" s="926"/>
      <c r="HH173" s="926"/>
      <c r="HI173" s="926"/>
      <c r="HJ173" s="926"/>
      <c r="HK173" s="926"/>
      <c r="HL173" s="926"/>
      <c r="HM173" s="926"/>
      <c r="HN173" s="926"/>
      <c r="HO173" s="926"/>
      <c r="HP173" s="926"/>
      <c r="HQ173" s="926"/>
      <c r="HR173" s="926"/>
      <c r="HS173" s="926"/>
      <c r="HT173" s="926"/>
      <c r="HU173" s="926"/>
      <c r="HV173" s="926"/>
      <c r="HW173" s="926"/>
      <c r="HX173" s="926"/>
      <c r="HY173" s="926"/>
      <c r="HZ173" s="926"/>
      <c r="IA173" s="926"/>
      <c r="IB173" s="926"/>
      <c r="IC173" s="926"/>
      <c r="ID173" s="926"/>
      <c r="IE173" s="926"/>
      <c r="IF173" s="926"/>
      <c r="IG173" s="926"/>
      <c r="IH173" s="926"/>
      <c r="II173" s="926"/>
      <c r="IJ173" s="926"/>
      <c r="IK173" s="926"/>
      <c r="IL173" s="926"/>
      <c r="IM173" s="926"/>
    </row>
    <row r="174" spans="1:247" x14ac:dyDescent="0.45">
      <c r="A174" s="441">
        <v>7385</v>
      </c>
      <c r="B174" s="939" t="s">
        <v>2709</v>
      </c>
      <c r="C174" s="47" t="s">
        <v>35</v>
      </c>
      <c r="D174" s="449" t="s">
        <v>2545</v>
      </c>
      <c r="E174" s="946">
        <f>+$E$3</f>
        <v>1.0740000000000001</v>
      </c>
      <c r="F174" s="941">
        <f t="shared" si="29"/>
        <v>1.0209999999999999</v>
      </c>
      <c r="G174" s="947"/>
      <c r="H174" s="946"/>
      <c r="I174" s="948"/>
      <c r="J174" s="948"/>
      <c r="K174" s="948"/>
      <c r="L174" s="948">
        <f>+$L$3</f>
        <v>1.0129999999999999</v>
      </c>
      <c r="M174" s="948"/>
      <c r="N174" s="947">
        <f>+$N$3</f>
        <v>1.0029999999999999</v>
      </c>
      <c r="O174" s="949"/>
      <c r="P174" s="946"/>
      <c r="Q174" s="947"/>
      <c r="R174" s="950">
        <f t="shared" si="30"/>
        <v>1.1141416296059998</v>
      </c>
      <c r="S174" s="926"/>
      <c r="T174" s="926"/>
      <c r="U174" s="926"/>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6"/>
      <c r="AV174" s="926"/>
      <c r="AW174" s="926"/>
      <c r="AX174" s="926"/>
      <c r="AY174" s="926"/>
      <c r="AZ174" s="926"/>
      <c r="BA174" s="926"/>
      <c r="BB174" s="926"/>
      <c r="BC174" s="926"/>
      <c r="BD174" s="926"/>
      <c r="BE174" s="926"/>
      <c r="BF174" s="926"/>
      <c r="BG174" s="926"/>
      <c r="BH174" s="926"/>
      <c r="BI174" s="926"/>
      <c r="BJ174" s="926"/>
      <c r="BK174" s="926"/>
      <c r="BL174" s="926"/>
      <c r="BM174" s="926"/>
      <c r="BN174" s="926"/>
      <c r="BO174" s="926"/>
      <c r="BP174" s="926"/>
      <c r="BQ174" s="926"/>
      <c r="BR174" s="926"/>
      <c r="BS174" s="926"/>
      <c r="BT174" s="926"/>
      <c r="BU174" s="926"/>
      <c r="BV174" s="926"/>
      <c r="BW174" s="926"/>
      <c r="BX174" s="926"/>
      <c r="BY174" s="926"/>
      <c r="BZ174" s="926"/>
      <c r="CA174" s="926"/>
      <c r="CB174" s="926"/>
      <c r="CC174" s="926"/>
      <c r="CD174" s="926"/>
      <c r="CE174" s="926"/>
      <c r="CF174" s="926"/>
      <c r="CG174" s="926"/>
      <c r="CH174" s="926"/>
      <c r="CI174" s="926"/>
      <c r="CJ174" s="926"/>
      <c r="CK174" s="926"/>
      <c r="CL174" s="926"/>
      <c r="CM174" s="926"/>
      <c r="CN174" s="926"/>
      <c r="CO174" s="926"/>
      <c r="CP174" s="926"/>
      <c r="CQ174" s="926"/>
      <c r="CR174" s="926"/>
      <c r="CS174" s="926"/>
      <c r="CT174" s="926"/>
      <c r="CU174" s="926"/>
      <c r="CV174" s="926"/>
      <c r="CW174" s="926"/>
      <c r="CX174" s="926"/>
      <c r="CY174" s="926"/>
      <c r="CZ174" s="926"/>
      <c r="DA174" s="926"/>
      <c r="DB174" s="926"/>
      <c r="DC174" s="926"/>
      <c r="DD174" s="926"/>
      <c r="DE174" s="926"/>
      <c r="DF174" s="926"/>
      <c r="DG174" s="926"/>
      <c r="DH174" s="926"/>
      <c r="DI174" s="926"/>
      <c r="DJ174" s="926"/>
      <c r="DK174" s="926"/>
      <c r="DL174" s="926"/>
      <c r="DM174" s="926"/>
      <c r="DN174" s="926"/>
      <c r="DO174" s="926"/>
      <c r="DP174" s="926"/>
      <c r="DQ174" s="926"/>
      <c r="DR174" s="926"/>
      <c r="DS174" s="926"/>
      <c r="DT174" s="926"/>
      <c r="DU174" s="926"/>
      <c r="DV174" s="926"/>
      <c r="DW174" s="926"/>
      <c r="DX174" s="926"/>
      <c r="DY174" s="926"/>
      <c r="DZ174" s="926"/>
      <c r="EA174" s="926"/>
      <c r="EB174" s="926"/>
      <c r="EC174" s="926"/>
      <c r="ED174" s="926"/>
      <c r="EE174" s="926"/>
      <c r="EF174" s="926"/>
      <c r="EG174" s="926"/>
      <c r="EH174" s="926"/>
      <c r="EI174" s="926"/>
      <c r="EJ174" s="926"/>
      <c r="EK174" s="926"/>
      <c r="EL174" s="926"/>
      <c r="EM174" s="926"/>
      <c r="EN174" s="926"/>
      <c r="EO174" s="926"/>
      <c r="EP174" s="926"/>
      <c r="EQ174" s="926"/>
      <c r="ER174" s="926"/>
      <c r="ES174" s="926"/>
      <c r="ET174" s="926"/>
      <c r="EU174" s="926"/>
      <c r="EV174" s="926"/>
      <c r="EW174" s="926"/>
      <c r="EX174" s="926"/>
      <c r="EY174" s="926"/>
      <c r="EZ174" s="926"/>
      <c r="FA174" s="926"/>
      <c r="FB174" s="926"/>
      <c r="FC174" s="926"/>
      <c r="FD174" s="926"/>
      <c r="FE174" s="926"/>
      <c r="FF174" s="926"/>
      <c r="FG174" s="926"/>
      <c r="FH174" s="926"/>
      <c r="FI174" s="926"/>
      <c r="FJ174" s="926"/>
      <c r="FK174" s="926"/>
      <c r="FL174" s="926"/>
      <c r="FM174" s="926"/>
      <c r="FN174" s="926"/>
      <c r="FO174" s="926"/>
      <c r="FP174" s="926"/>
      <c r="FQ174" s="926"/>
      <c r="FR174" s="926"/>
      <c r="FS174" s="926"/>
      <c r="FT174" s="926"/>
      <c r="FU174" s="926"/>
      <c r="FV174" s="926"/>
      <c r="FW174" s="926"/>
      <c r="FX174" s="926"/>
      <c r="FY174" s="926"/>
      <c r="FZ174" s="926"/>
      <c r="GA174" s="926"/>
      <c r="GB174" s="926"/>
      <c r="GC174" s="926"/>
      <c r="GD174" s="926"/>
      <c r="GE174" s="926"/>
      <c r="GF174" s="926"/>
      <c r="GG174" s="926"/>
      <c r="GH174" s="926"/>
      <c r="GI174" s="926"/>
      <c r="GJ174" s="926"/>
      <c r="GK174" s="926"/>
      <c r="GL174" s="926"/>
      <c r="GM174" s="926"/>
      <c r="GN174" s="926"/>
      <c r="GO174" s="926"/>
      <c r="GP174" s="926"/>
      <c r="GQ174" s="926"/>
      <c r="GR174" s="926"/>
      <c r="GS174" s="926"/>
      <c r="GT174" s="926"/>
      <c r="GU174" s="926"/>
      <c r="GV174" s="926"/>
      <c r="GW174" s="926"/>
      <c r="GX174" s="926"/>
      <c r="GY174" s="926"/>
      <c r="GZ174" s="926"/>
      <c r="HA174" s="926"/>
      <c r="HB174" s="926"/>
      <c r="HC174" s="926"/>
      <c r="HD174" s="926"/>
      <c r="HE174" s="926"/>
      <c r="HF174" s="926"/>
      <c r="HG174" s="926"/>
      <c r="HH174" s="926"/>
      <c r="HI174" s="926"/>
      <c r="HJ174" s="926"/>
      <c r="HK174" s="926"/>
      <c r="HL174" s="926"/>
      <c r="HM174" s="926"/>
      <c r="HN174" s="926"/>
      <c r="HO174" s="926"/>
      <c r="HP174" s="926"/>
      <c r="HQ174" s="926"/>
      <c r="HR174" s="926"/>
      <c r="HS174" s="926"/>
      <c r="HT174" s="926"/>
      <c r="HU174" s="926"/>
      <c r="HV174" s="926"/>
      <c r="HW174" s="926"/>
      <c r="HX174" s="926"/>
      <c r="HY174" s="926"/>
      <c r="HZ174" s="926"/>
      <c r="IA174" s="926"/>
      <c r="IB174" s="926"/>
      <c r="IC174" s="926"/>
      <c r="ID174" s="926"/>
      <c r="IE174" s="926"/>
      <c r="IF174" s="926"/>
      <c r="IG174" s="926"/>
      <c r="IH174" s="926"/>
      <c r="II174" s="926"/>
      <c r="IJ174" s="926"/>
      <c r="IK174" s="926"/>
      <c r="IL174" s="926"/>
      <c r="IM174" s="926"/>
    </row>
    <row r="175" spans="1:247" x14ac:dyDescent="0.45">
      <c r="A175" s="441">
        <v>7386</v>
      </c>
      <c r="B175" s="939" t="s">
        <v>2710</v>
      </c>
      <c r="C175" s="47" t="s">
        <v>35</v>
      </c>
      <c r="D175" s="449" t="s">
        <v>2545</v>
      </c>
      <c r="E175" s="946">
        <f>+$E$3</f>
        <v>1.0740000000000001</v>
      </c>
      <c r="F175" s="941">
        <f t="shared" si="29"/>
        <v>1.0209999999999999</v>
      </c>
      <c r="G175" s="947">
        <f>+$G$3</f>
        <v>1.0269999999999999</v>
      </c>
      <c r="H175" s="946">
        <f>+$H$3</f>
        <v>1.0029999999999999</v>
      </c>
      <c r="I175" s="948">
        <f>+$I$3</f>
        <v>1.0289999999999999</v>
      </c>
      <c r="J175" s="948">
        <f>+$J$3</f>
        <v>1.0049999999999999</v>
      </c>
      <c r="K175" s="948">
        <f>+$K$3</f>
        <v>1.026</v>
      </c>
      <c r="L175" s="948">
        <f>+$L$3</f>
        <v>1.0129999999999999</v>
      </c>
      <c r="M175" s="948">
        <f>+$M$3</f>
        <v>1.0029999999999999</v>
      </c>
      <c r="N175" s="947">
        <f>+$N$3</f>
        <v>1.0029999999999999</v>
      </c>
      <c r="O175" s="949">
        <f>+$O$3</f>
        <v>1.0209999999999999</v>
      </c>
      <c r="P175" s="946">
        <f>+$P$3</f>
        <v>1.032</v>
      </c>
      <c r="Q175" s="947">
        <f>+$Q$3</f>
        <v>1.0349999999999999</v>
      </c>
      <c r="R175" s="950">
        <f t="shared" si="30"/>
        <v>1.3319480854780448</v>
      </c>
      <c r="S175" s="926"/>
      <c r="T175" s="926"/>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6"/>
      <c r="AV175" s="926"/>
      <c r="AW175" s="926"/>
      <c r="AX175" s="926"/>
      <c r="AY175" s="926"/>
      <c r="AZ175" s="926"/>
      <c r="BA175" s="926"/>
      <c r="BB175" s="926"/>
      <c r="BC175" s="926"/>
      <c r="BD175" s="926"/>
      <c r="BE175" s="926"/>
      <c r="BF175" s="926"/>
      <c r="BG175" s="926"/>
      <c r="BH175" s="926"/>
      <c r="BI175" s="926"/>
      <c r="BJ175" s="926"/>
      <c r="BK175" s="926"/>
      <c r="BL175" s="926"/>
      <c r="BM175" s="926"/>
      <c r="BN175" s="926"/>
      <c r="BO175" s="926"/>
      <c r="BP175" s="926"/>
      <c r="BQ175" s="926"/>
      <c r="BR175" s="926"/>
      <c r="BS175" s="926"/>
      <c r="BT175" s="926"/>
      <c r="BU175" s="926"/>
      <c r="BV175" s="926"/>
      <c r="BW175" s="926"/>
      <c r="BX175" s="926"/>
      <c r="BY175" s="926"/>
      <c r="BZ175" s="926"/>
      <c r="CA175" s="926"/>
      <c r="CB175" s="926"/>
      <c r="CC175" s="926"/>
      <c r="CD175" s="926"/>
      <c r="CE175" s="926"/>
      <c r="CF175" s="926"/>
      <c r="CG175" s="926"/>
      <c r="CH175" s="926"/>
      <c r="CI175" s="926"/>
      <c r="CJ175" s="926"/>
      <c r="CK175" s="926"/>
      <c r="CL175" s="926"/>
      <c r="CM175" s="926"/>
      <c r="CN175" s="926"/>
      <c r="CO175" s="926"/>
      <c r="CP175" s="926"/>
      <c r="CQ175" s="926"/>
      <c r="CR175" s="926"/>
      <c r="CS175" s="926"/>
      <c r="CT175" s="926"/>
      <c r="CU175" s="926"/>
      <c r="CV175" s="926"/>
      <c r="CW175" s="926"/>
      <c r="CX175" s="926"/>
      <c r="CY175" s="926"/>
      <c r="CZ175" s="926"/>
      <c r="DA175" s="926"/>
      <c r="DB175" s="926"/>
      <c r="DC175" s="926"/>
      <c r="DD175" s="926"/>
      <c r="DE175" s="926"/>
      <c r="DF175" s="926"/>
      <c r="DG175" s="926"/>
      <c r="DH175" s="926"/>
      <c r="DI175" s="926"/>
      <c r="DJ175" s="926"/>
      <c r="DK175" s="926"/>
      <c r="DL175" s="926"/>
      <c r="DM175" s="926"/>
      <c r="DN175" s="926"/>
      <c r="DO175" s="926"/>
      <c r="DP175" s="926"/>
      <c r="DQ175" s="926"/>
      <c r="DR175" s="926"/>
      <c r="DS175" s="926"/>
      <c r="DT175" s="926"/>
      <c r="DU175" s="926"/>
      <c r="DV175" s="926"/>
      <c r="DW175" s="926"/>
      <c r="DX175" s="926"/>
      <c r="DY175" s="926"/>
      <c r="DZ175" s="926"/>
      <c r="EA175" s="926"/>
      <c r="EB175" s="926"/>
      <c r="EC175" s="926"/>
      <c r="ED175" s="926"/>
      <c r="EE175" s="926"/>
      <c r="EF175" s="926"/>
      <c r="EG175" s="926"/>
      <c r="EH175" s="926"/>
      <c r="EI175" s="926"/>
      <c r="EJ175" s="926"/>
      <c r="EK175" s="926"/>
      <c r="EL175" s="926"/>
      <c r="EM175" s="926"/>
      <c r="EN175" s="926"/>
      <c r="EO175" s="926"/>
      <c r="EP175" s="926"/>
      <c r="EQ175" s="926"/>
      <c r="ER175" s="926"/>
      <c r="ES175" s="926"/>
      <c r="ET175" s="926"/>
      <c r="EU175" s="926"/>
      <c r="EV175" s="926"/>
      <c r="EW175" s="926"/>
      <c r="EX175" s="926"/>
      <c r="EY175" s="926"/>
      <c r="EZ175" s="926"/>
      <c r="FA175" s="926"/>
      <c r="FB175" s="926"/>
      <c r="FC175" s="926"/>
      <c r="FD175" s="926"/>
      <c r="FE175" s="926"/>
      <c r="FF175" s="926"/>
      <c r="FG175" s="926"/>
      <c r="FH175" s="926"/>
      <c r="FI175" s="926"/>
      <c r="FJ175" s="926"/>
      <c r="FK175" s="926"/>
      <c r="FL175" s="926"/>
      <c r="FM175" s="926"/>
      <c r="FN175" s="926"/>
      <c r="FO175" s="926"/>
      <c r="FP175" s="926"/>
      <c r="FQ175" s="926"/>
      <c r="FR175" s="926"/>
      <c r="FS175" s="926"/>
      <c r="FT175" s="926"/>
      <c r="FU175" s="926"/>
      <c r="FV175" s="926"/>
      <c r="FW175" s="926"/>
      <c r="FX175" s="926"/>
      <c r="FY175" s="926"/>
      <c r="FZ175" s="926"/>
      <c r="GA175" s="926"/>
      <c r="GB175" s="926"/>
      <c r="GC175" s="926"/>
      <c r="GD175" s="926"/>
      <c r="GE175" s="926"/>
      <c r="GF175" s="926"/>
      <c r="GG175" s="926"/>
      <c r="GH175" s="926"/>
      <c r="GI175" s="926"/>
      <c r="GJ175" s="926"/>
      <c r="GK175" s="926"/>
      <c r="GL175" s="926"/>
      <c r="GM175" s="926"/>
      <c r="GN175" s="926"/>
      <c r="GO175" s="926"/>
      <c r="GP175" s="926"/>
      <c r="GQ175" s="926"/>
      <c r="GR175" s="926"/>
      <c r="GS175" s="926"/>
      <c r="GT175" s="926"/>
      <c r="GU175" s="926"/>
      <c r="GV175" s="926"/>
      <c r="GW175" s="926"/>
      <c r="GX175" s="926"/>
      <c r="GY175" s="926"/>
      <c r="GZ175" s="926"/>
      <c r="HA175" s="926"/>
      <c r="HB175" s="926"/>
      <c r="HC175" s="926"/>
      <c r="HD175" s="926"/>
      <c r="HE175" s="926"/>
      <c r="HF175" s="926"/>
      <c r="HG175" s="926"/>
      <c r="HH175" s="926"/>
      <c r="HI175" s="926"/>
      <c r="HJ175" s="926"/>
      <c r="HK175" s="926"/>
      <c r="HL175" s="926"/>
      <c r="HM175" s="926"/>
      <c r="HN175" s="926"/>
      <c r="HO175" s="926"/>
      <c r="HP175" s="926"/>
      <c r="HQ175" s="926"/>
      <c r="HR175" s="926"/>
      <c r="HS175" s="926"/>
      <c r="HT175" s="926"/>
      <c r="HU175" s="926"/>
      <c r="HV175" s="926"/>
      <c r="HW175" s="926"/>
      <c r="HX175" s="926"/>
      <c r="HY175" s="926"/>
      <c r="HZ175" s="926"/>
      <c r="IA175" s="926"/>
      <c r="IB175" s="926"/>
      <c r="IC175" s="926"/>
      <c r="ID175" s="926"/>
      <c r="IE175" s="926"/>
      <c r="IF175" s="926"/>
      <c r="IG175" s="926"/>
      <c r="IH175" s="926"/>
      <c r="II175" s="926"/>
      <c r="IJ175" s="926"/>
      <c r="IK175" s="926"/>
      <c r="IL175" s="926"/>
      <c r="IM175" s="926"/>
    </row>
    <row r="176" spans="1:247" x14ac:dyDescent="0.45">
      <c r="A176" s="441">
        <v>7387</v>
      </c>
      <c r="B176" s="939" t="s">
        <v>2711</v>
      </c>
      <c r="C176" s="47" t="s">
        <v>35</v>
      </c>
      <c r="D176" s="449" t="s">
        <v>2545</v>
      </c>
      <c r="E176" s="946"/>
      <c r="F176" s="941">
        <f t="shared" si="29"/>
        <v>1.0209999999999999</v>
      </c>
      <c r="G176" s="947"/>
      <c r="H176" s="946"/>
      <c r="I176" s="948"/>
      <c r="J176" s="948"/>
      <c r="K176" s="948"/>
      <c r="L176" s="948"/>
      <c r="M176" s="948"/>
      <c r="N176" s="947"/>
      <c r="O176" s="949"/>
      <c r="P176" s="946"/>
      <c r="Q176" s="947"/>
      <c r="R176" s="950">
        <f t="shared" si="30"/>
        <v>1.0209999999999999</v>
      </c>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6"/>
      <c r="AV176" s="926"/>
      <c r="AW176" s="926"/>
      <c r="AX176" s="926"/>
      <c r="AY176" s="926"/>
      <c r="AZ176" s="926"/>
      <c r="BA176" s="926"/>
      <c r="BB176" s="926"/>
      <c r="BC176" s="926"/>
      <c r="BD176" s="926"/>
      <c r="BE176" s="926"/>
      <c r="BF176" s="926"/>
      <c r="BG176" s="926"/>
      <c r="BH176" s="926"/>
      <c r="BI176" s="926"/>
      <c r="BJ176" s="926"/>
      <c r="BK176" s="926"/>
      <c r="BL176" s="926"/>
      <c r="BM176" s="926"/>
      <c r="BN176" s="926"/>
      <c r="BO176" s="926"/>
      <c r="BP176" s="926"/>
      <c r="BQ176" s="926"/>
      <c r="BR176" s="926"/>
      <c r="BS176" s="926"/>
      <c r="BT176" s="926"/>
      <c r="BU176" s="926"/>
      <c r="BV176" s="926"/>
      <c r="BW176" s="926"/>
      <c r="BX176" s="926"/>
      <c r="BY176" s="926"/>
      <c r="BZ176" s="926"/>
      <c r="CA176" s="926"/>
      <c r="CB176" s="926"/>
      <c r="CC176" s="926"/>
      <c r="CD176" s="926"/>
      <c r="CE176" s="926"/>
      <c r="CF176" s="926"/>
      <c r="CG176" s="926"/>
      <c r="CH176" s="926"/>
      <c r="CI176" s="926"/>
      <c r="CJ176" s="926"/>
      <c r="CK176" s="926"/>
      <c r="CL176" s="926"/>
      <c r="CM176" s="926"/>
      <c r="CN176" s="926"/>
      <c r="CO176" s="926"/>
      <c r="CP176" s="926"/>
      <c r="CQ176" s="926"/>
      <c r="CR176" s="926"/>
      <c r="CS176" s="926"/>
      <c r="CT176" s="926"/>
      <c r="CU176" s="926"/>
      <c r="CV176" s="926"/>
      <c r="CW176" s="926"/>
      <c r="CX176" s="926"/>
      <c r="CY176" s="926"/>
      <c r="CZ176" s="926"/>
      <c r="DA176" s="926"/>
      <c r="DB176" s="926"/>
      <c r="DC176" s="926"/>
      <c r="DD176" s="926"/>
      <c r="DE176" s="926"/>
      <c r="DF176" s="926"/>
      <c r="DG176" s="926"/>
      <c r="DH176" s="926"/>
      <c r="DI176" s="926"/>
      <c r="DJ176" s="926"/>
      <c r="DK176" s="926"/>
      <c r="DL176" s="926"/>
      <c r="DM176" s="926"/>
      <c r="DN176" s="926"/>
      <c r="DO176" s="926"/>
      <c r="DP176" s="926"/>
      <c r="DQ176" s="926"/>
      <c r="DR176" s="926"/>
      <c r="DS176" s="926"/>
      <c r="DT176" s="926"/>
      <c r="DU176" s="926"/>
      <c r="DV176" s="926"/>
      <c r="DW176" s="926"/>
      <c r="DX176" s="926"/>
      <c r="DY176" s="926"/>
      <c r="DZ176" s="926"/>
      <c r="EA176" s="926"/>
      <c r="EB176" s="926"/>
      <c r="EC176" s="926"/>
      <c r="ED176" s="926"/>
      <c r="EE176" s="926"/>
      <c r="EF176" s="926"/>
      <c r="EG176" s="926"/>
      <c r="EH176" s="926"/>
      <c r="EI176" s="926"/>
      <c r="EJ176" s="926"/>
      <c r="EK176" s="926"/>
      <c r="EL176" s="926"/>
      <c r="EM176" s="926"/>
      <c r="EN176" s="926"/>
      <c r="EO176" s="926"/>
      <c r="EP176" s="926"/>
      <c r="EQ176" s="926"/>
      <c r="ER176" s="926"/>
      <c r="ES176" s="926"/>
      <c r="ET176" s="926"/>
      <c r="EU176" s="926"/>
      <c r="EV176" s="926"/>
      <c r="EW176" s="926"/>
      <c r="EX176" s="926"/>
      <c r="EY176" s="926"/>
      <c r="EZ176" s="926"/>
      <c r="FA176" s="926"/>
      <c r="FB176" s="926"/>
      <c r="FC176" s="926"/>
      <c r="FD176" s="926"/>
      <c r="FE176" s="926"/>
      <c r="FF176" s="926"/>
      <c r="FG176" s="926"/>
      <c r="FH176" s="926"/>
      <c r="FI176" s="926"/>
      <c r="FJ176" s="926"/>
      <c r="FK176" s="926"/>
      <c r="FL176" s="926"/>
      <c r="FM176" s="926"/>
      <c r="FN176" s="926"/>
      <c r="FO176" s="926"/>
      <c r="FP176" s="926"/>
      <c r="FQ176" s="926"/>
      <c r="FR176" s="926"/>
      <c r="FS176" s="926"/>
      <c r="FT176" s="926"/>
      <c r="FU176" s="926"/>
      <c r="FV176" s="926"/>
      <c r="FW176" s="926"/>
      <c r="FX176" s="926"/>
      <c r="FY176" s="926"/>
      <c r="FZ176" s="926"/>
      <c r="GA176" s="926"/>
      <c r="GB176" s="926"/>
      <c r="GC176" s="926"/>
      <c r="GD176" s="926"/>
      <c r="GE176" s="926"/>
      <c r="GF176" s="926"/>
      <c r="GG176" s="926"/>
      <c r="GH176" s="926"/>
      <c r="GI176" s="926"/>
      <c r="GJ176" s="926"/>
      <c r="GK176" s="926"/>
      <c r="GL176" s="926"/>
      <c r="GM176" s="926"/>
      <c r="GN176" s="926"/>
      <c r="GO176" s="926"/>
      <c r="GP176" s="926"/>
      <c r="GQ176" s="926"/>
      <c r="GR176" s="926"/>
      <c r="GS176" s="926"/>
      <c r="GT176" s="926"/>
      <c r="GU176" s="926"/>
      <c r="GV176" s="926"/>
      <c r="GW176" s="926"/>
      <c r="GX176" s="926"/>
      <c r="GY176" s="926"/>
      <c r="GZ176" s="926"/>
      <c r="HA176" s="926"/>
      <c r="HB176" s="926"/>
      <c r="HC176" s="926"/>
      <c r="HD176" s="926"/>
      <c r="HE176" s="926"/>
      <c r="HF176" s="926"/>
      <c r="HG176" s="926"/>
      <c r="HH176" s="926"/>
      <c r="HI176" s="926"/>
      <c r="HJ176" s="926"/>
      <c r="HK176" s="926"/>
      <c r="HL176" s="926"/>
      <c r="HM176" s="926"/>
      <c r="HN176" s="926"/>
      <c r="HO176" s="926"/>
      <c r="HP176" s="926"/>
      <c r="HQ176" s="926"/>
      <c r="HR176" s="926"/>
      <c r="HS176" s="926"/>
      <c r="HT176" s="926"/>
      <c r="HU176" s="926"/>
      <c r="HV176" s="926"/>
      <c r="HW176" s="926"/>
      <c r="HX176" s="926"/>
      <c r="HY176" s="926"/>
      <c r="HZ176" s="926"/>
      <c r="IA176" s="926"/>
      <c r="IB176" s="926"/>
      <c r="IC176" s="926"/>
      <c r="ID176" s="926"/>
      <c r="IE176" s="926"/>
      <c r="IF176" s="926"/>
      <c r="IG176" s="926"/>
      <c r="IH176" s="926"/>
      <c r="II176" s="926"/>
      <c r="IJ176" s="926"/>
      <c r="IK176" s="926"/>
      <c r="IL176" s="926"/>
      <c r="IM176" s="926"/>
    </row>
    <row r="177" spans="1:247" x14ac:dyDescent="0.45">
      <c r="A177" s="441">
        <v>7389</v>
      </c>
      <c r="B177" s="939" t="s">
        <v>2712</v>
      </c>
      <c r="C177" s="47" t="s">
        <v>35</v>
      </c>
      <c r="D177" s="449" t="s">
        <v>2545</v>
      </c>
      <c r="E177" s="946"/>
      <c r="F177" s="941" t="s">
        <v>2713</v>
      </c>
      <c r="G177" s="947"/>
      <c r="H177" s="946"/>
      <c r="I177" s="948"/>
      <c r="J177" s="948"/>
      <c r="K177" s="948"/>
      <c r="L177" s="948"/>
      <c r="M177" s="948"/>
      <c r="N177" s="947"/>
      <c r="O177" s="949"/>
      <c r="P177" s="946"/>
      <c r="Q177" s="947"/>
      <c r="R177" s="950">
        <v>1.0209999999999999</v>
      </c>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6"/>
      <c r="AV177" s="926"/>
      <c r="AW177" s="926"/>
      <c r="AX177" s="926"/>
      <c r="AY177" s="926"/>
      <c r="AZ177" s="926"/>
      <c r="BA177" s="926"/>
      <c r="BB177" s="926"/>
      <c r="BC177" s="926"/>
      <c r="BD177" s="926"/>
      <c r="BE177" s="926"/>
      <c r="BF177" s="926"/>
      <c r="BG177" s="926"/>
      <c r="BH177" s="926"/>
      <c r="BI177" s="926"/>
      <c r="BJ177" s="926"/>
      <c r="BK177" s="926"/>
      <c r="BL177" s="926"/>
      <c r="BM177" s="926"/>
      <c r="BN177" s="926"/>
      <c r="BO177" s="926"/>
      <c r="BP177" s="926"/>
      <c r="BQ177" s="926"/>
      <c r="BR177" s="926"/>
      <c r="BS177" s="926"/>
      <c r="BT177" s="926"/>
      <c r="BU177" s="926"/>
      <c r="BV177" s="926"/>
      <c r="BW177" s="926"/>
      <c r="BX177" s="926"/>
      <c r="BY177" s="926"/>
      <c r="BZ177" s="926"/>
      <c r="CA177" s="926"/>
      <c r="CB177" s="926"/>
      <c r="CC177" s="926"/>
      <c r="CD177" s="926"/>
      <c r="CE177" s="926"/>
      <c r="CF177" s="926"/>
      <c r="CG177" s="926"/>
      <c r="CH177" s="926"/>
      <c r="CI177" s="926"/>
      <c r="CJ177" s="926"/>
      <c r="CK177" s="926"/>
      <c r="CL177" s="926"/>
      <c r="CM177" s="926"/>
      <c r="CN177" s="926"/>
      <c r="CO177" s="926"/>
      <c r="CP177" s="926"/>
      <c r="CQ177" s="926"/>
      <c r="CR177" s="926"/>
      <c r="CS177" s="926"/>
      <c r="CT177" s="926"/>
      <c r="CU177" s="926"/>
      <c r="CV177" s="926"/>
      <c r="CW177" s="926"/>
      <c r="CX177" s="926"/>
      <c r="CY177" s="926"/>
      <c r="CZ177" s="926"/>
      <c r="DA177" s="926"/>
      <c r="DB177" s="926"/>
      <c r="DC177" s="926"/>
      <c r="DD177" s="926"/>
      <c r="DE177" s="926"/>
      <c r="DF177" s="926"/>
      <c r="DG177" s="926"/>
      <c r="DH177" s="926"/>
      <c r="DI177" s="926"/>
      <c r="DJ177" s="926"/>
      <c r="DK177" s="926"/>
      <c r="DL177" s="926"/>
      <c r="DM177" s="926"/>
      <c r="DN177" s="926"/>
      <c r="DO177" s="926"/>
      <c r="DP177" s="926"/>
      <c r="DQ177" s="926"/>
      <c r="DR177" s="926"/>
      <c r="DS177" s="926"/>
      <c r="DT177" s="926"/>
      <c r="DU177" s="926"/>
      <c r="DV177" s="926"/>
      <c r="DW177" s="926"/>
      <c r="DX177" s="926"/>
      <c r="DY177" s="926"/>
      <c r="DZ177" s="926"/>
      <c r="EA177" s="926"/>
      <c r="EB177" s="926"/>
      <c r="EC177" s="926"/>
      <c r="ED177" s="926"/>
      <c r="EE177" s="926"/>
      <c r="EF177" s="926"/>
      <c r="EG177" s="926"/>
      <c r="EH177" s="926"/>
      <c r="EI177" s="926"/>
      <c r="EJ177" s="926"/>
      <c r="EK177" s="926"/>
      <c r="EL177" s="926"/>
      <c r="EM177" s="926"/>
      <c r="EN177" s="926"/>
      <c r="EO177" s="926"/>
      <c r="EP177" s="926"/>
      <c r="EQ177" s="926"/>
      <c r="ER177" s="926"/>
      <c r="ES177" s="926"/>
      <c r="ET177" s="926"/>
      <c r="EU177" s="926"/>
      <c r="EV177" s="926"/>
      <c r="EW177" s="926"/>
      <c r="EX177" s="926"/>
      <c r="EY177" s="926"/>
      <c r="EZ177" s="926"/>
      <c r="FA177" s="926"/>
      <c r="FB177" s="926"/>
      <c r="FC177" s="926"/>
      <c r="FD177" s="926"/>
      <c r="FE177" s="926"/>
      <c r="FF177" s="926"/>
      <c r="FG177" s="926"/>
      <c r="FH177" s="926"/>
      <c r="FI177" s="926"/>
      <c r="FJ177" s="926"/>
      <c r="FK177" s="926"/>
      <c r="FL177" s="926"/>
      <c r="FM177" s="926"/>
      <c r="FN177" s="926"/>
      <c r="FO177" s="926"/>
      <c r="FP177" s="926"/>
      <c r="FQ177" s="926"/>
      <c r="FR177" s="926"/>
      <c r="FS177" s="926"/>
      <c r="FT177" s="926"/>
      <c r="FU177" s="926"/>
      <c r="FV177" s="926"/>
      <c r="FW177" s="926"/>
      <c r="FX177" s="926"/>
      <c r="FY177" s="926"/>
      <c r="FZ177" s="926"/>
      <c r="GA177" s="926"/>
      <c r="GB177" s="926"/>
      <c r="GC177" s="926"/>
      <c r="GD177" s="926"/>
      <c r="GE177" s="926"/>
      <c r="GF177" s="926"/>
      <c r="GG177" s="926"/>
      <c r="GH177" s="926"/>
      <c r="GI177" s="926"/>
      <c r="GJ177" s="926"/>
      <c r="GK177" s="926"/>
      <c r="GL177" s="926"/>
      <c r="GM177" s="926"/>
      <c r="GN177" s="926"/>
      <c r="GO177" s="926"/>
      <c r="GP177" s="926"/>
      <c r="GQ177" s="926"/>
      <c r="GR177" s="926"/>
      <c r="GS177" s="926"/>
      <c r="GT177" s="926"/>
      <c r="GU177" s="926"/>
      <c r="GV177" s="926"/>
      <c r="GW177" s="926"/>
      <c r="GX177" s="926"/>
      <c r="GY177" s="926"/>
      <c r="GZ177" s="926"/>
      <c r="HA177" s="926"/>
      <c r="HB177" s="926"/>
      <c r="HC177" s="926"/>
      <c r="HD177" s="926"/>
      <c r="HE177" s="926"/>
      <c r="HF177" s="926"/>
      <c r="HG177" s="926"/>
      <c r="HH177" s="926"/>
      <c r="HI177" s="926"/>
      <c r="HJ177" s="926"/>
      <c r="HK177" s="926"/>
      <c r="HL177" s="926"/>
      <c r="HM177" s="926"/>
      <c r="HN177" s="926"/>
      <c r="HO177" s="926"/>
      <c r="HP177" s="926"/>
      <c r="HQ177" s="926"/>
      <c r="HR177" s="926"/>
      <c r="HS177" s="926"/>
      <c r="HT177" s="926"/>
      <c r="HU177" s="926"/>
      <c r="HV177" s="926"/>
      <c r="HW177" s="926"/>
      <c r="HX177" s="926"/>
      <c r="HY177" s="926"/>
      <c r="HZ177" s="926"/>
      <c r="IA177" s="926"/>
      <c r="IB177" s="926"/>
      <c r="IC177" s="926"/>
      <c r="ID177" s="926"/>
      <c r="IE177" s="926"/>
      <c r="IF177" s="926"/>
      <c r="IG177" s="926"/>
      <c r="IH177" s="926"/>
      <c r="II177" s="926"/>
      <c r="IJ177" s="926"/>
      <c r="IK177" s="926"/>
      <c r="IL177" s="926"/>
      <c r="IM177" s="926"/>
    </row>
    <row r="178" spans="1:247" x14ac:dyDescent="0.45">
      <c r="A178" s="441">
        <v>7411</v>
      </c>
      <c r="B178" s="939" t="s">
        <v>2714</v>
      </c>
      <c r="C178" s="47" t="s">
        <v>35</v>
      </c>
      <c r="D178" s="449" t="s">
        <v>2545</v>
      </c>
      <c r="E178" s="946"/>
      <c r="F178" s="941">
        <f t="shared" si="29"/>
        <v>1.0209999999999999</v>
      </c>
      <c r="G178" s="947"/>
      <c r="H178" s="946"/>
      <c r="I178" s="948"/>
      <c r="J178" s="948"/>
      <c r="K178" s="948"/>
      <c r="L178" s="948"/>
      <c r="M178" s="948"/>
      <c r="N178" s="947"/>
      <c r="O178" s="949"/>
      <c r="P178" s="946"/>
      <c r="Q178" s="947"/>
      <c r="R178" s="950">
        <f t="shared" si="30"/>
        <v>1.0209999999999999</v>
      </c>
      <c r="S178" s="926"/>
      <c r="T178" s="926"/>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6"/>
      <c r="AV178" s="926"/>
      <c r="AW178" s="926"/>
      <c r="AX178" s="926"/>
      <c r="AY178" s="926"/>
      <c r="AZ178" s="926"/>
      <c r="BA178" s="926"/>
      <c r="BB178" s="926"/>
      <c r="BC178" s="926"/>
      <c r="BD178" s="926"/>
      <c r="BE178" s="926"/>
      <c r="BF178" s="926"/>
      <c r="BG178" s="926"/>
      <c r="BH178" s="926"/>
      <c r="BI178" s="926"/>
      <c r="BJ178" s="926"/>
      <c r="BK178" s="926"/>
      <c r="BL178" s="926"/>
      <c r="BM178" s="926"/>
      <c r="BN178" s="926"/>
      <c r="BO178" s="926"/>
      <c r="BP178" s="926"/>
      <c r="BQ178" s="926"/>
      <c r="BR178" s="926"/>
      <c r="BS178" s="926"/>
      <c r="BT178" s="926"/>
      <c r="BU178" s="926"/>
      <c r="BV178" s="926"/>
      <c r="BW178" s="926"/>
      <c r="BX178" s="926"/>
      <c r="BY178" s="926"/>
      <c r="BZ178" s="926"/>
      <c r="CA178" s="926"/>
      <c r="CB178" s="926"/>
      <c r="CC178" s="926"/>
      <c r="CD178" s="926"/>
      <c r="CE178" s="926"/>
      <c r="CF178" s="926"/>
      <c r="CG178" s="926"/>
      <c r="CH178" s="926"/>
      <c r="CI178" s="926"/>
      <c r="CJ178" s="926"/>
      <c r="CK178" s="926"/>
      <c r="CL178" s="926"/>
      <c r="CM178" s="926"/>
      <c r="CN178" s="926"/>
      <c r="CO178" s="926"/>
      <c r="CP178" s="926"/>
      <c r="CQ178" s="926"/>
      <c r="CR178" s="926"/>
      <c r="CS178" s="926"/>
      <c r="CT178" s="926"/>
      <c r="CU178" s="926"/>
      <c r="CV178" s="926"/>
      <c r="CW178" s="926"/>
      <c r="CX178" s="926"/>
      <c r="CY178" s="926"/>
      <c r="CZ178" s="926"/>
      <c r="DA178" s="926"/>
      <c r="DB178" s="926"/>
      <c r="DC178" s="926"/>
      <c r="DD178" s="926"/>
      <c r="DE178" s="926"/>
      <c r="DF178" s="926"/>
      <c r="DG178" s="926"/>
      <c r="DH178" s="926"/>
      <c r="DI178" s="926"/>
      <c r="DJ178" s="926"/>
      <c r="DK178" s="926"/>
      <c r="DL178" s="926"/>
      <c r="DM178" s="926"/>
      <c r="DN178" s="926"/>
      <c r="DO178" s="926"/>
      <c r="DP178" s="926"/>
      <c r="DQ178" s="926"/>
      <c r="DR178" s="926"/>
      <c r="DS178" s="926"/>
      <c r="DT178" s="926"/>
      <c r="DU178" s="926"/>
      <c r="DV178" s="926"/>
      <c r="DW178" s="926"/>
      <c r="DX178" s="926"/>
      <c r="DY178" s="926"/>
      <c r="DZ178" s="926"/>
      <c r="EA178" s="926"/>
      <c r="EB178" s="926"/>
      <c r="EC178" s="926"/>
      <c r="ED178" s="926"/>
      <c r="EE178" s="926"/>
      <c r="EF178" s="926"/>
      <c r="EG178" s="926"/>
      <c r="EH178" s="926"/>
      <c r="EI178" s="926"/>
      <c r="EJ178" s="926"/>
      <c r="EK178" s="926"/>
      <c r="EL178" s="926"/>
      <c r="EM178" s="926"/>
      <c r="EN178" s="926"/>
      <c r="EO178" s="926"/>
      <c r="EP178" s="926"/>
      <c r="EQ178" s="926"/>
      <c r="ER178" s="926"/>
      <c r="ES178" s="926"/>
      <c r="ET178" s="926"/>
      <c r="EU178" s="926"/>
      <c r="EV178" s="926"/>
      <c r="EW178" s="926"/>
      <c r="EX178" s="926"/>
      <c r="EY178" s="926"/>
      <c r="EZ178" s="926"/>
      <c r="FA178" s="926"/>
      <c r="FB178" s="926"/>
      <c r="FC178" s="926"/>
      <c r="FD178" s="926"/>
      <c r="FE178" s="926"/>
      <c r="FF178" s="926"/>
      <c r="FG178" s="926"/>
      <c r="FH178" s="926"/>
      <c r="FI178" s="926"/>
      <c r="FJ178" s="926"/>
      <c r="FK178" s="926"/>
      <c r="FL178" s="926"/>
      <c r="FM178" s="926"/>
      <c r="FN178" s="926"/>
      <c r="FO178" s="926"/>
      <c r="FP178" s="926"/>
      <c r="FQ178" s="926"/>
      <c r="FR178" s="926"/>
      <c r="FS178" s="926"/>
      <c r="FT178" s="926"/>
      <c r="FU178" s="926"/>
      <c r="FV178" s="926"/>
      <c r="FW178" s="926"/>
      <c r="FX178" s="926"/>
      <c r="FY178" s="926"/>
      <c r="FZ178" s="926"/>
      <c r="GA178" s="926"/>
      <c r="GB178" s="926"/>
      <c r="GC178" s="926"/>
      <c r="GD178" s="926"/>
      <c r="GE178" s="926"/>
      <c r="GF178" s="926"/>
      <c r="GG178" s="926"/>
      <c r="GH178" s="926"/>
      <c r="GI178" s="926"/>
      <c r="GJ178" s="926"/>
      <c r="GK178" s="926"/>
      <c r="GL178" s="926"/>
      <c r="GM178" s="926"/>
      <c r="GN178" s="926"/>
      <c r="GO178" s="926"/>
      <c r="GP178" s="926"/>
      <c r="GQ178" s="926"/>
      <c r="GR178" s="926"/>
      <c r="GS178" s="926"/>
      <c r="GT178" s="926"/>
      <c r="GU178" s="926"/>
      <c r="GV178" s="926"/>
      <c r="GW178" s="926"/>
      <c r="GX178" s="926"/>
      <c r="GY178" s="926"/>
      <c r="GZ178" s="926"/>
      <c r="HA178" s="926"/>
      <c r="HB178" s="926"/>
      <c r="HC178" s="926"/>
      <c r="HD178" s="926"/>
      <c r="HE178" s="926"/>
      <c r="HF178" s="926"/>
      <c r="HG178" s="926"/>
      <c r="HH178" s="926"/>
      <c r="HI178" s="926"/>
      <c r="HJ178" s="926"/>
      <c r="HK178" s="926"/>
      <c r="HL178" s="926"/>
      <c r="HM178" s="926"/>
      <c r="HN178" s="926"/>
      <c r="HO178" s="926"/>
      <c r="HP178" s="926"/>
      <c r="HQ178" s="926"/>
      <c r="HR178" s="926"/>
      <c r="HS178" s="926"/>
      <c r="HT178" s="926"/>
      <c r="HU178" s="926"/>
      <c r="HV178" s="926"/>
      <c r="HW178" s="926"/>
      <c r="HX178" s="926"/>
      <c r="HY178" s="926"/>
      <c r="HZ178" s="926"/>
      <c r="IA178" s="926"/>
      <c r="IB178" s="926"/>
      <c r="IC178" s="926"/>
      <c r="ID178" s="926"/>
      <c r="IE178" s="926"/>
      <c r="IF178" s="926"/>
      <c r="IG178" s="926"/>
      <c r="IH178" s="926"/>
      <c r="II178" s="926"/>
      <c r="IJ178" s="926"/>
      <c r="IK178" s="926"/>
      <c r="IL178" s="926"/>
      <c r="IM178" s="926"/>
    </row>
    <row r="179" spans="1:247" x14ac:dyDescent="0.45">
      <c r="A179" s="441">
        <v>7412</v>
      </c>
      <c r="B179" s="939" t="s">
        <v>2715</v>
      </c>
      <c r="C179" s="47" t="s">
        <v>35</v>
      </c>
      <c r="D179" s="449" t="s">
        <v>2545</v>
      </c>
      <c r="E179" s="946"/>
      <c r="F179" s="941">
        <f t="shared" si="29"/>
        <v>1.0209999999999999</v>
      </c>
      <c r="G179" s="947"/>
      <c r="H179" s="946">
        <f t="shared" ref="H179:H187" si="46">+$H$3</f>
        <v>1.0029999999999999</v>
      </c>
      <c r="I179" s="948"/>
      <c r="J179" s="948"/>
      <c r="K179" s="948"/>
      <c r="L179" s="948"/>
      <c r="M179" s="948"/>
      <c r="N179" s="947"/>
      <c r="O179" s="949"/>
      <c r="P179" s="946"/>
      <c r="Q179" s="947"/>
      <c r="R179" s="950">
        <f t="shared" si="30"/>
        <v>1.0240629999999997</v>
      </c>
      <c r="S179" s="926"/>
      <c r="T179" s="926"/>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6"/>
      <c r="AV179" s="926"/>
      <c r="AW179" s="926"/>
      <c r="AX179" s="926"/>
      <c r="AY179" s="926"/>
      <c r="AZ179" s="926"/>
      <c r="BA179" s="926"/>
      <c r="BB179" s="926"/>
      <c r="BC179" s="926"/>
      <c r="BD179" s="926"/>
      <c r="BE179" s="926"/>
      <c r="BF179" s="926"/>
      <c r="BG179" s="926"/>
      <c r="BH179" s="926"/>
      <c r="BI179" s="926"/>
      <c r="BJ179" s="926"/>
      <c r="BK179" s="926"/>
      <c r="BL179" s="926"/>
      <c r="BM179" s="926"/>
      <c r="BN179" s="926"/>
      <c r="BO179" s="926"/>
      <c r="BP179" s="926"/>
      <c r="BQ179" s="926"/>
      <c r="BR179" s="926"/>
      <c r="BS179" s="926"/>
      <c r="BT179" s="926"/>
      <c r="BU179" s="926"/>
      <c r="BV179" s="926"/>
      <c r="BW179" s="926"/>
      <c r="BX179" s="926"/>
      <c r="BY179" s="926"/>
      <c r="BZ179" s="926"/>
      <c r="CA179" s="926"/>
      <c r="CB179" s="926"/>
      <c r="CC179" s="926"/>
      <c r="CD179" s="926"/>
      <c r="CE179" s="926"/>
      <c r="CF179" s="926"/>
      <c r="CG179" s="926"/>
      <c r="CH179" s="926"/>
      <c r="CI179" s="926"/>
      <c r="CJ179" s="926"/>
      <c r="CK179" s="926"/>
      <c r="CL179" s="926"/>
      <c r="CM179" s="926"/>
      <c r="CN179" s="926"/>
      <c r="CO179" s="926"/>
      <c r="CP179" s="926"/>
      <c r="CQ179" s="926"/>
      <c r="CR179" s="926"/>
      <c r="CS179" s="926"/>
      <c r="CT179" s="926"/>
      <c r="CU179" s="926"/>
      <c r="CV179" s="926"/>
      <c r="CW179" s="926"/>
      <c r="CX179" s="926"/>
      <c r="CY179" s="926"/>
      <c r="CZ179" s="926"/>
      <c r="DA179" s="926"/>
      <c r="DB179" s="926"/>
      <c r="DC179" s="926"/>
      <c r="DD179" s="926"/>
      <c r="DE179" s="926"/>
      <c r="DF179" s="926"/>
      <c r="DG179" s="926"/>
      <c r="DH179" s="926"/>
      <c r="DI179" s="926"/>
      <c r="DJ179" s="926"/>
      <c r="DK179" s="926"/>
      <c r="DL179" s="926"/>
      <c r="DM179" s="926"/>
      <c r="DN179" s="926"/>
      <c r="DO179" s="926"/>
      <c r="DP179" s="926"/>
      <c r="DQ179" s="926"/>
      <c r="DR179" s="926"/>
      <c r="DS179" s="926"/>
      <c r="DT179" s="926"/>
      <c r="DU179" s="926"/>
      <c r="DV179" s="926"/>
      <c r="DW179" s="926"/>
      <c r="DX179" s="926"/>
      <c r="DY179" s="926"/>
      <c r="DZ179" s="926"/>
      <c r="EA179" s="926"/>
      <c r="EB179" s="926"/>
      <c r="EC179" s="926"/>
      <c r="ED179" s="926"/>
      <c r="EE179" s="926"/>
      <c r="EF179" s="926"/>
      <c r="EG179" s="926"/>
      <c r="EH179" s="926"/>
      <c r="EI179" s="926"/>
      <c r="EJ179" s="926"/>
      <c r="EK179" s="926"/>
      <c r="EL179" s="926"/>
      <c r="EM179" s="926"/>
      <c r="EN179" s="926"/>
      <c r="EO179" s="926"/>
      <c r="EP179" s="926"/>
      <c r="EQ179" s="926"/>
      <c r="ER179" s="926"/>
      <c r="ES179" s="926"/>
      <c r="ET179" s="926"/>
      <c r="EU179" s="926"/>
      <c r="EV179" s="926"/>
      <c r="EW179" s="926"/>
      <c r="EX179" s="926"/>
      <c r="EY179" s="926"/>
      <c r="EZ179" s="926"/>
      <c r="FA179" s="926"/>
      <c r="FB179" s="926"/>
      <c r="FC179" s="926"/>
      <c r="FD179" s="926"/>
      <c r="FE179" s="926"/>
      <c r="FF179" s="926"/>
      <c r="FG179" s="926"/>
      <c r="FH179" s="926"/>
      <c r="FI179" s="926"/>
      <c r="FJ179" s="926"/>
      <c r="FK179" s="926"/>
      <c r="FL179" s="926"/>
      <c r="FM179" s="926"/>
      <c r="FN179" s="926"/>
      <c r="FO179" s="926"/>
      <c r="FP179" s="926"/>
      <c r="FQ179" s="926"/>
      <c r="FR179" s="926"/>
      <c r="FS179" s="926"/>
      <c r="FT179" s="926"/>
      <c r="FU179" s="926"/>
      <c r="FV179" s="926"/>
      <c r="FW179" s="926"/>
      <c r="FX179" s="926"/>
      <c r="FY179" s="926"/>
      <c r="FZ179" s="926"/>
      <c r="GA179" s="926"/>
      <c r="GB179" s="926"/>
      <c r="GC179" s="926"/>
      <c r="GD179" s="926"/>
      <c r="GE179" s="926"/>
      <c r="GF179" s="926"/>
      <c r="GG179" s="926"/>
      <c r="GH179" s="926"/>
      <c r="GI179" s="926"/>
      <c r="GJ179" s="926"/>
      <c r="GK179" s="926"/>
      <c r="GL179" s="926"/>
      <c r="GM179" s="926"/>
      <c r="GN179" s="926"/>
      <c r="GO179" s="926"/>
      <c r="GP179" s="926"/>
      <c r="GQ179" s="926"/>
      <c r="GR179" s="926"/>
      <c r="GS179" s="926"/>
      <c r="GT179" s="926"/>
      <c r="GU179" s="926"/>
      <c r="GV179" s="926"/>
      <c r="GW179" s="926"/>
      <c r="GX179" s="926"/>
      <c r="GY179" s="926"/>
      <c r="GZ179" s="926"/>
      <c r="HA179" s="926"/>
      <c r="HB179" s="926"/>
      <c r="HC179" s="926"/>
      <c r="HD179" s="926"/>
      <c r="HE179" s="926"/>
      <c r="HF179" s="926"/>
      <c r="HG179" s="926"/>
      <c r="HH179" s="926"/>
      <c r="HI179" s="926"/>
      <c r="HJ179" s="926"/>
      <c r="HK179" s="926"/>
      <c r="HL179" s="926"/>
      <c r="HM179" s="926"/>
      <c r="HN179" s="926"/>
      <c r="HO179" s="926"/>
      <c r="HP179" s="926"/>
      <c r="HQ179" s="926"/>
      <c r="HR179" s="926"/>
      <c r="HS179" s="926"/>
      <c r="HT179" s="926"/>
      <c r="HU179" s="926"/>
      <c r="HV179" s="926"/>
      <c r="HW179" s="926"/>
      <c r="HX179" s="926"/>
      <c r="HY179" s="926"/>
      <c r="HZ179" s="926"/>
      <c r="IA179" s="926"/>
      <c r="IB179" s="926"/>
      <c r="IC179" s="926"/>
      <c r="ID179" s="926"/>
      <c r="IE179" s="926"/>
      <c r="IF179" s="926"/>
      <c r="IG179" s="926"/>
      <c r="IH179" s="926"/>
      <c r="II179" s="926"/>
      <c r="IJ179" s="926"/>
      <c r="IK179" s="926"/>
      <c r="IL179" s="926"/>
      <c r="IM179" s="926"/>
    </row>
    <row r="180" spans="1:247" x14ac:dyDescent="0.45">
      <c r="A180" s="441">
        <v>7413</v>
      </c>
      <c r="B180" s="939" t="s">
        <v>2716</v>
      </c>
      <c r="C180" s="47" t="s">
        <v>35</v>
      </c>
      <c r="D180" s="449" t="s">
        <v>2545</v>
      </c>
      <c r="E180" s="946">
        <f>+$E$3</f>
        <v>1.0740000000000001</v>
      </c>
      <c r="F180" s="941">
        <f t="shared" si="29"/>
        <v>1.0209999999999999</v>
      </c>
      <c r="G180" s="947">
        <f t="shared" ref="G180:G189" si="47">+$G$3</f>
        <v>1.0269999999999999</v>
      </c>
      <c r="H180" s="946">
        <f t="shared" si="46"/>
        <v>1.0029999999999999</v>
      </c>
      <c r="I180" s="948">
        <f t="shared" ref="I180:I187" si="48">+$I$3</f>
        <v>1.0289999999999999</v>
      </c>
      <c r="J180" s="948">
        <f t="shared" ref="J180:J190" si="49">+$J$3</f>
        <v>1.0049999999999999</v>
      </c>
      <c r="K180" s="948">
        <f>+$K$3</f>
        <v>1.026</v>
      </c>
      <c r="L180" s="948">
        <f>+$L$3</f>
        <v>1.0129999999999999</v>
      </c>
      <c r="M180" s="948">
        <f>+$M$3</f>
        <v>1.0029999999999999</v>
      </c>
      <c r="N180" s="947">
        <f t="shared" ref="N180:N189" si="50">+$N$3</f>
        <v>1.0029999999999999</v>
      </c>
      <c r="O180" s="949">
        <f t="shared" ref="O180:O187" si="51">+$O$3</f>
        <v>1.0209999999999999</v>
      </c>
      <c r="P180" s="946">
        <f>+$P$3</f>
        <v>1.032</v>
      </c>
      <c r="Q180" s="947">
        <f>+$Q$3</f>
        <v>1.0349999999999999</v>
      </c>
      <c r="R180" s="950">
        <f t="shared" si="30"/>
        <v>1.3319480854780448</v>
      </c>
      <c r="S180" s="926"/>
      <c r="T180" s="926"/>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6"/>
      <c r="AV180" s="926"/>
      <c r="AW180" s="926"/>
      <c r="AX180" s="926"/>
      <c r="AY180" s="926"/>
      <c r="AZ180" s="926"/>
      <c r="BA180" s="926"/>
      <c r="BB180" s="926"/>
      <c r="BC180" s="926"/>
      <c r="BD180" s="926"/>
      <c r="BE180" s="926"/>
      <c r="BF180" s="926"/>
      <c r="BG180" s="926"/>
      <c r="BH180" s="926"/>
      <c r="BI180" s="926"/>
      <c r="BJ180" s="926"/>
      <c r="BK180" s="926"/>
      <c r="BL180" s="926"/>
      <c r="BM180" s="926"/>
      <c r="BN180" s="926"/>
      <c r="BO180" s="926"/>
      <c r="BP180" s="926"/>
      <c r="BQ180" s="926"/>
      <c r="BR180" s="926"/>
      <c r="BS180" s="926"/>
      <c r="BT180" s="926"/>
      <c r="BU180" s="926"/>
      <c r="BV180" s="926"/>
      <c r="BW180" s="926"/>
      <c r="BX180" s="926"/>
      <c r="BY180" s="926"/>
      <c r="BZ180" s="926"/>
      <c r="CA180" s="926"/>
      <c r="CB180" s="926"/>
      <c r="CC180" s="926"/>
      <c r="CD180" s="926"/>
      <c r="CE180" s="926"/>
      <c r="CF180" s="926"/>
      <c r="CG180" s="926"/>
      <c r="CH180" s="926"/>
      <c r="CI180" s="926"/>
      <c r="CJ180" s="926"/>
      <c r="CK180" s="926"/>
      <c r="CL180" s="926"/>
      <c r="CM180" s="926"/>
      <c r="CN180" s="926"/>
      <c r="CO180" s="926"/>
      <c r="CP180" s="926"/>
      <c r="CQ180" s="926"/>
      <c r="CR180" s="926"/>
      <c r="CS180" s="926"/>
      <c r="CT180" s="926"/>
      <c r="CU180" s="926"/>
      <c r="CV180" s="926"/>
      <c r="CW180" s="926"/>
      <c r="CX180" s="926"/>
      <c r="CY180" s="926"/>
      <c r="CZ180" s="926"/>
      <c r="DA180" s="926"/>
      <c r="DB180" s="926"/>
      <c r="DC180" s="926"/>
      <c r="DD180" s="926"/>
      <c r="DE180" s="926"/>
      <c r="DF180" s="926"/>
      <c r="DG180" s="926"/>
      <c r="DH180" s="926"/>
      <c r="DI180" s="926"/>
      <c r="DJ180" s="926"/>
      <c r="DK180" s="926"/>
      <c r="DL180" s="926"/>
      <c r="DM180" s="926"/>
      <c r="DN180" s="926"/>
      <c r="DO180" s="926"/>
      <c r="DP180" s="926"/>
      <c r="DQ180" s="926"/>
      <c r="DR180" s="926"/>
      <c r="DS180" s="926"/>
      <c r="DT180" s="926"/>
      <c r="DU180" s="926"/>
      <c r="DV180" s="926"/>
      <c r="DW180" s="926"/>
      <c r="DX180" s="926"/>
      <c r="DY180" s="926"/>
      <c r="DZ180" s="926"/>
      <c r="EA180" s="926"/>
      <c r="EB180" s="926"/>
      <c r="EC180" s="926"/>
      <c r="ED180" s="926"/>
      <c r="EE180" s="926"/>
      <c r="EF180" s="926"/>
      <c r="EG180" s="926"/>
      <c r="EH180" s="926"/>
      <c r="EI180" s="926"/>
      <c r="EJ180" s="926"/>
      <c r="EK180" s="926"/>
      <c r="EL180" s="926"/>
      <c r="EM180" s="926"/>
      <c r="EN180" s="926"/>
      <c r="EO180" s="926"/>
      <c r="EP180" s="926"/>
      <c r="EQ180" s="926"/>
      <c r="ER180" s="926"/>
      <c r="ES180" s="926"/>
      <c r="ET180" s="926"/>
      <c r="EU180" s="926"/>
      <c r="EV180" s="926"/>
      <c r="EW180" s="926"/>
      <c r="EX180" s="926"/>
      <c r="EY180" s="926"/>
      <c r="EZ180" s="926"/>
      <c r="FA180" s="926"/>
      <c r="FB180" s="926"/>
      <c r="FC180" s="926"/>
      <c r="FD180" s="926"/>
      <c r="FE180" s="926"/>
      <c r="FF180" s="926"/>
      <c r="FG180" s="926"/>
      <c r="FH180" s="926"/>
      <c r="FI180" s="926"/>
      <c r="FJ180" s="926"/>
      <c r="FK180" s="926"/>
      <c r="FL180" s="926"/>
      <c r="FM180" s="926"/>
      <c r="FN180" s="926"/>
      <c r="FO180" s="926"/>
      <c r="FP180" s="926"/>
      <c r="FQ180" s="926"/>
      <c r="FR180" s="926"/>
      <c r="FS180" s="926"/>
      <c r="FT180" s="926"/>
      <c r="FU180" s="926"/>
      <c r="FV180" s="926"/>
      <c r="FW180" s="926"/>
      <c r="FX180" s="926"/>
      <c r="FY180" s="926"/>
      <c r="FZ180" s="926"/>
      <c r="GA180" s="926"/>
      <c r="GB180" s="926"/>
      <c r="GC180" s="926"/>
      <c r="GD180" s="926"/>
      <c r="GE180" s="926"/>
      <c r="GF180" s="926"/>
      <c r="GG180" s="926"/>
      <c r="GH180" s="926"/>
      <c r="GI180" s="926"/>
      <c r="GJ180" s="926"/>
      <c r="GK180" s="926"/>
      <c r="GL180" s="926"/>
      <c r="GM180" s="926"/>
      <c r="GN180" s="926"/>
      <c r="GO180" s="926"/>
      <c r="GP180" s="926"/>
      <c r="GQ180" s="926"/>
      <c r="GR180" s="926"/>
      <c r="GS180" s="926"/>
      <c r="GT180" s="926"/>
      <c r="GU180" s="926"/>
      <c r="GV180" s="926"/>
      <c r="GW180" s="926"/>
      <c r="GX180" s="926"/>
      <c r="GY180" s="926"/>
      <c r="GZ180" s="926"/>
      <c r="HA180" s="926"/>
      <c r="HB180" s="926"/>
      <c r="HC180" s="926"/>
      <c r="HD180" s="926"/>
      <c r="HE180" s="926"/>
      <c r="HF180" s="926"/>
      <c r="HG180" s="926"/>
      <c r="HH180" s="926"/>
      <c r="HI180" s="926"/>
      <c r="HJ180" s="926"/>
      <c r="HK180" s="926"/>
      <c r="HL180" s="926"/>
      <c r="HM180" s="926"/>
      <c r="HN180" s="926"/>
      <c r="HO180" s="926"/>
      <c r="HP180" s="926"/>
      <c r="HQ180" s="926"/>
      <c r="HR180" s="926"/>
      <c r="HS180" s="926"/>
      <c r="HT180" s="926"/>
      <c r="HU180" s="926"/>
      <c r="HV180" s="926"/>
      <c r="HW180" s="926"/>
      <c r="HX180" s="926"/>
      <c r="HY180" s="926"/>
      <c r="HZ180" s="926"/>
      <c r="IA180" s="926"/>
      <c r="IB180" s="926"/>
      <c r="IC180" s="926"/>
      <c r="ID180" s="926"/>
      <c r="IE180" s="926"/>
      <c r="IF180" s="926"/>
      <c r="IG180" s="926"/>
      <c r="IH180" s="926"/>
      <c r="II180" s="926"/>
      <c r="IJ180" s="926"/>
      <c r="IK180" s="926"/>
      <c r="IL180" s="926"/>
      <c r="IM180" s="926"/>
    </row>
    <row r="181" spans="1:247" x14ac:dyDescent="0.45">
      <c r="A181" s="441">
        <v>7414</v>
      </c>
      <c r="B181" s="939" t="s">
        <v>2717</v>
      </c>
      <c r="C181" s="47" t="s">
        <v>35</v>
      </c>
      <c r="D181" s="449" t="s">
        <v>2545</v>
      </c>
      <c r="E181" s="946">
        <f>+$E$3</f>
        <v>1.0740000000000001</v>
      </c>
      <c r="F181" s="941">
        <f t="shared" si="29"/>
        <v>1.0209999999999999</v>
      </c>
      <c r="G181" s="947">
        <f t="shared" si="47"/>
        <v>1.0269999999999999</v>
      </c>
      <c r="H181" s="946">
        <f t="shared" si="46"/>
        <v>1.0029999999999999</v>
      </c>
      <c r="I181" s="948">
        <f t="shared" si="48"/>
        <v>1.0289999999999999</v>
      </c>
      <c r="J181" s="948">
        <f t="shared" si="49"/>
        <v>1.0049999999999999</v>
      </c>
      <c r="K181" s="948">
        <f>+$K$3</f>
        <v>1.026</v>
      </c>
      <c r="L181" s="948">
        <f>+$L$3</f>
        <v>1.0129999999999999</v>
      </c>
      <c r="M181" s="948">
        <f>+$M$3</f>
        <v>1.0029999999999999</v>
      </c>
      <c r="N181" s="947">
        <f t="shared" si="50"/>
        <v>1.0029999999999999</v>
      </c>
      <c r="O181" s="949">
        <f t="shared" si="51"/>
        <v>1.0209999999999999</v>
      </c>
      <c r="P181" s="946"/>
      <c r="Q181" s="947"/>
      <c r="R181" s="950">
        <f t="shared" si="30"/>
        <v>1.2470022895162014</v>
      </c>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6"/>
      <c r="AV181" s="926"/>
      <c r="AW181" s="926"/>
      <c r="AX181" s="926"/>
      <c r="AY181" s="926"/>
      <c r="AZ181" s="926"/>
      <c r="BA181" s="926"/>
      <c r="BB181" s="926"/>
      <c r="BC181" s="926"/>
      <c r="BD181" s="926"/>
      <c r="BE181" s="926"/>
      <c r="BF181" s="926"/>
      <c r="BG181" s="926"/>
      <c r="BH181" s="926"/>
      <c r="BI181" s="926"/>
      <c r="BJ181" s="926"/>
      <c r="BK181" s="926"/>
      <c r="BL181" s="926"/>
      <c r="BM181" s="926"/>
      <c r="BN181" s="926"/>
      <c r="BO181" s="926"/>
      <c r="BP181" s="926"/>
      <c r="BQ181" s="926"/>
      <c r="BR181" s="926"/>
      <c r="BS181" s="926"/>
      <c r="BT181" s="926"/>
      <c r="BU181" s="926"/>
      <c r="BV181" s="926"/>
      <c r="BW181" s="926"/>
      <c r="BX181" s="926"/>
      <c r="BY181" s="926"/>
      <c r="BZ181" s="926"/>
      <c r="CA181" s="926"/>
      <c r="CB181" s="926"/>
      <c r="CC181" s="926"/>
      <c r="CD181" s="926"/>
      <c r="CE181" s="926"/>
      <c r="CF181" s="926"/>
      <c r="CG181" s="926"/>
      <c r="CH181" s="926"/>
      <c r="CI181" s="926"/>
      <c r="CJ181" s="926"/>
      <c r="CK181" s="926"/>
      <c r="CL181" s="926"/>
      <c r="CM181" s="926"/>
      <c r="CN181" s="926"/>
      <c r="CO181" s="926"/>
      <c r="CP181" s="926"/>
      <c r="CQ181" s="926"/>
      <c r="CR181" s="926"/>
      <c r="CS181" s="926"/>
      <c r="CT181" s="926"/>
      <c r="CU181" s="926"/>
      <c r="CV181" s="926"/>
      <c r="CW181" s="926"/>
      <c r="CX181" s="926"/>
      <c r="CY181" s="926"/>
      <c r="CZ181" s="926"/>
      <c r="DA181" s="926"/>
      <c r="DB181" s="926"/>
      <c r="DC181" s="926"/>
      <c r="DD181" s="926"/>
      <c r="DE181" s="926"/>
      <c r="DF181" s="926"/>
      <c r="DG181" s="926"/>
      <c r="DH181" s="926"/>
      <c r="DI181" s="926"/>
      <c r="DJ181" s="926"/>
      <c r="DK181" s="926"/>
      <c r="DL181" s="926"/>
      <c r="DM181" s="926"/>
      <c r="DN181" s="926"/>
      <c r="DO181" s="926"/>
      <c r="DP181" s="926"/>
      <c r="DQ181" s="926"/>
      <c r="DR181" s="926"/>
      <c r="DS181" s="926"/>
      <c r="DT181" s="926"/>
      <c r="DU181" s="926"/>
      <c r="DV181" s="926"/>
      <c r="DW181" s="926"/>
      <c r="DX181" s="926"/>
      <c r="DY181" s="926"/>
      <c r="DZ181" s="926"/>
      <c r="EA181" s="926"/>
      <c r="EB181" s="926"/>
      <c r="EC181" s="926"/>
      <c r="ED181" s="926"/>
      <c r="EE181" s="926"/>
      <c r="EF181" s="926"/>
      <c r="EG181" s="926"/>
      <c r="EH181" s="926"/>
      <c r="EI181" s="926"/>
      <c r="EJ181" s="926"/>
      <c r="EK181" s="926"/>
      <c r="EL181" s="926"/>
      <c r="EM181" s="926"/>
      <c r="EN181" s="926"/>
      <c r="EO181" s="926"/>
      <c r="EP181" s="926"/>
      <c r="EQ181" s="926"/>
      <c r="ER181" s="926"/>
      <c r="ES181" s="926"/>
      <c r="ET181" s="926"/>
      <c r="EU181" s="926"/>
      <c r="EV181" s="926"/>
      <c r="EW181" s="926"/>
      <c r="EX181" s="926"/>
      <c r="EY181" s="926"/>
      <c r="EZ181" s="926"/>
      <c r="FA181" s="926"/>
      <c r="FB181" s="926"/>
      <c r="FC181" s="926"/>
      <c r="FD181" s="926"/>
      <c r="FE181" s="926"/>
      <c r="FF181" s="926"/>
      <c r="FG181" s="926"/>
      <c r="FH181" s="926"/>
      <c r="FI181" s="926"/>
      <c r="FJ181" s="926"/>
      <c r="FK181" s="926"/>
      <c r="FL181" s="926"/>
      <c r="FM181" s="926"/>
      <c r="FN181" s="926"/>
      <c r="FO181" s="926"/>
      <c r="FP181" s="926"/>
      <c r="FQ181" s="926"/>
      <c r="FR181" s="926"/>
      <c r="FS181" s="926"/>
      <c r="FT181" s="926"/>
      <c r="FU181" s="926"/>
      <c r="FV181" s="926"/>
      <c r="FW181" s="926"/>
      <c r="FX181" s="926"/>
      <c r="FY181" s="926"/>
      <c r="FZ181" s="926"/>
      <c r="GA181" s="926"/>
      <c r="GB181" s="926"/>
      <c r="GC181" s="926"/>
      <c r="GD181" s="926"/>
      <c r="GE181" s="926"/>
      <c r="GF181" s="926"/>
      <c r="GG181" s="926"/>
      <c r="GH181" s="926"/>
      <c r="GI181" s="926"/>
      <c r="GJ181" s="926"/>
      <c r="GK181" s="926"/>
      <c r="GL181" s="926"/>
      <c r="GM181" s="926"/>
      <c r="GN181" s="926"/>
      <c r="GO181" s="926"/>
      <c r="GP181" s="926"/>
      <c r="GQ181" s="926"/>
      <c r="GR181" s="926"/>
      <c r="GS181" s="926"/>
      <c r="GT181" s="926"/>
      <c r="GU181" s="926"/>
      <c r="GV181" s="926"/>
      <c r="GW181" s="926"/>
      <c r="GX181" s="926"/>
      <c r="GY181" s="926"/>
      <c r="GZ181" s="926"/>
      <c r="HA181" s="926"/>
      <c r="HB181" s="926"/>
      <c r="HC181" s="926"/>
      <c r="HD181" s="926"/>
      <c r="HE181" s="926"/>
      <c r="HF181" s="926"/>
      <c r="HG181" s="926"/>
      <c r="HH181" s="926"/>
      <c r="HI181" s="926"/>
      <c r="HJ181" s="926"/>
      <c r="HK181" s="926"/>
      <c r="HL181" s="926"/>
      <c r="HM181" s="926"/>
      <c r="HN181" s="926"/>
      <c r="HO181" s="926"/>
      <c r="HP181" s="926"/>
      <c r="HQ181" s="926"/>
      <c r="HR181" s="926"/>
      <c r="HS181" s="926"/>
      <c r="HT181" s="926"/>
      <c r="HU181" s="926"/>
      <c r="HV181" s="926"/>
      <c r="HW181" s="926"/>
      <c r="HX181" s="926"/>
      <c r="HY181" s="926"/>
      <c r="HZ181" s="926"/>
      <c r="IA181" s="926"/>
      <c r="IB181" s="926"/>
      <c r="IC181" s="926"/>
      <c r="ID181" s="926"/>
      <c r="IE181" s="926"/>
      <c r="IF181" s="926"/>
      <c r="IG181" s="926"/>
      <c r="IH181" s="926"/>
      <c r="II181" s="926"/>
      <c r="IJ181" s="926"/>
      <c r="IK181" s="926"/>
      <c r="IL181" s="926"/>
      <c r="IM181" s="926"/>
    </row>
    <row r="182" spans="1:247" x14ac:dyDescent="0.45">
      <c r="A182" s="441">
        <v>7415</v>
      </c>
      <c r="B182" s="939" t="s">
        <v>2718</v>
      </c>
      <c r="C182" s="47" t="s">
        <v>35</v>
      </c>
      <c r="D182" s="449" t="s">
        <v>2545</v>
      </c>
      <c r="E182" s="946">
        <f>+$E$3</f>
        <v>1.0740000000000001</v>
      </c>
      <c r="F182" s="941">
        <f t="shared" si="29"/>
        <v>1.0209999999999999</v>
      </c>
      <c r="G182" s="947">
        <f t="shared" si="47"/>
        <v>1.0269999999999999</v>
      </c>
      <c r="H182" s="946">
        <f t="shared" si="46"/>
        <v>1.0029999999999999</v>
      </c>
      <c r="I182" s="948">
        <f t="shared" si="48"/>
        <v>1.0289999999999999</v>
      </c>
      <c r="J182" s="948">
        <f t="shared" si="49"/>
        <v>1.0049999999999999</v>
      </c>
      <c r="K182" s="948"/>
      <c r="L182" s="948"/>
      <c r="M182" s="948">
        <f>+$M$3</f>
        <v>1.0029999999999999</v>
      </c>
      <c r="N182" s="947">
        <f t="shared" si="50"/>
        <v>1.0029999999999999</v>
      </c>
      <c r="O182" s="949">
        <f t="shared" si="51"/>
        <v>1.0209999999999999</v>
      </c>
      <c r="P182" s="946">
        <f t="shared" ref="P182:P189" si="52">+$P$3</f>
        <v>1.032</v>
      </c>
      <c r="Q182" s="947">
        <f t="shared" ref="Q182:Q189" si="53">+$Q$3</f>
        <v>1.0349999999999999</v>
      </c>
      <c r="R182" s="950">
        <f t="shared" si="30"/>
        <v>1.2815350593147223</v>
      </c>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6"/>
      <c r="AV182" s="926"/>
      <c r="AW182" s="926"/>
      <c r="AX182" s="926"/>
      <c r="AY182" s="926"/>
      <c r="AZ182" s="926"/>
      <c r="BA182" s="926"/>
      <c r="BB182" s="926"/>
      <c r="BC182" s="926"/>
      <c r="BD182" s="926"/>
      <c r="BE182" s="926"/>
      <c r="BF182" s="926"/>
      <c r="BG182" s="926"/>
      <c r="BH182" s="926"/>
      <c r="BI182" s="926"/>
      <c r="BJ182" s="926"/>
      <c r="BK182" s="926"/>
      <c r="BL182" s="926"/>
      <c r="BM182" s="926"/>
      <c r="BN182" s="926"/>
      <c r="BO182" s="926"/>
      <c r="BP182" s="926"/>
      <c r="BQ182" s="926"/>
      <c r="BR182" s="926"/>
      <c r="BS182" s="926"/>
      <c r="BT182" s="926"/>
      <c r="BU182" s="926"/>
      <c r="BV182" s="926"/>
      <c r="BW182" s="926"/>
      <c r="BX182" s="926"/>
      <c r="BY182" s="926"/>
      <c r="BZ182" s="926"/>
      <c r="CA182" s="926"/>
      <c r="CB182" s="926"/>
      <c r="CC182" s="926"/>
      <c r="CD182" s="926"/>
      <c r="CE182" s="926"/>
      <c r="CF182" s="926"/>
      <c r="CG182" s="926"/>
      <c r="CH182" s="926"/>
      <c r="CI182" s="926"/>
      <c r="CJ182" s="926"/>
      <c r="CK182" s="926"/>
      <c r="CL182" s="926"/>
      <c r="CM182" s="926"/>
      <c r="CN182" s="926"/>
      <c r="CO182" s="926"/>
      <c r="CP182" s="926"/>
      <c r="CQ182" s="926"/>
      <c r="CR182" s="926"/>
      <c r="CS182" s="926"/>
      <c r="CT182" s="926"/>
      <c r="CU182" s="926"/>
      <c r="CV182" s="926"/>
      <c r="CW182" s="926"/>
      <c r="CX182" s="926"/>
      <c r="CY182" s="926"/>
      <c r="CZ182" s="926"/>
      <c r="DA182" s="926"/>
      <c r="DB182" s="926"/>
      <c r="DC182" s="926"/>
      <c r="DD182" s="926"/>
      <c r="DE182" s="926"/>
      <c r="DF182" s="926"/>
      <c r="DG182" s="926"/>
      <c r="DH182" s="926"/>
      <c r="DI182" s="926"/>
      <c r="DJ182" s="926"/>
      <c r="DK182" s="926"/>
      <c r="DL182" s="926"/>
      <c r="DM182" s="926"/>
      <c r="DN182" s="926"/>
      <c r="DO182" s="926"/>
      <c r="DP182" s="926"/>
      <c r="DQ182" s="926"/>
      <c r="DR182" s="926"/>
      <c r="DS182" s="926"/>
      <c r="DT182" s="926"/>
      <c r="DU182" s="926"/>
      <c r="DV182" s="926"/>
      <c r="DW182" s="926"/>
      <c r="DX182" s="926"/>
      <c r="DY182" s="926"/>
      <c r="DZ182" s="926"/>
      <c r="EA182" s="926"/>
      <c r="EB182" s="926"/>
      <c r="EC182" s="926"/>
      <c r="ED182" s="926"/>
      <c r="EE182" s="926"/>
      <c r="EF182" s="926"/>
      <c r="EG182" s="926"/>
      <c r="EH182" s="926"/>
      <c r="EI182" s="926"/>
      <c r="EJ182" s="926"/>
      <c r="EK182" s="926"/>
      <c r="EL182" s="926"/>
      <c r="EM182" s="926"/>
      <c r="EN182" s="926"/>
      <c r="EO182" s="926"/>
      <c r="EP182" s="926"/>
      <c r="EQ182" s="926"/>
      <c r="ER182" s="926"/>
      <c r="ES182" s="926"/>
      <c r="ET182" s="926"/>
      <c r="EU182" s="926"/>
      <c r="EV182" s="926"/>
      <c r="EW182" s="926"/>
      <c r="EX182" s="926"/>
      <c r="EY182" s="926"/>
      <c r="EZ182" s="926"/>
      <c r="FA182" s="926"/>
      <c r="FB182" s="926"/>
      <c r="FC182" s="926"/>
      <c r="FD182" s="926"/>
      <c r="FE182" s="926"/>
      <c r="FF182" s="926"/>
      <c r="FG182" s="926"/>
      <c r="FH182" s="926"/>
      <c r="FI182" s="926"/>
      <c r="FJ182" s="926"/>
      <c r="FK182" s="926"/>
      <c r="FL182" s="926"/>
      <c r="FM182" s="926"/>
      <c r="FN182" s="926"/>
      <c r="FO182" s="926"/>
      <c r="FP182" s="926"/>
      <c r="FQ182" s="926"/>
      <c r="FR182" s="926"/>
      <c r="FS182" s="926"/>
      <c r="FT182" s="926"/>
      <c r="FU182" s="926"/>
      <c r="FV182" s="926"/>
      <c r="FW182" s="926"/>
      <c r="FX182" s="926"/>
      <c r="FY182" s="926"/>
      <c r="FZ182" s="926"/>
      <c r="GA182" s="926"/>
      <c r="GB182" s="926"/>
      <c r="GC182" s="926"/>
      <c r="GD182" s="926"/>
      <c r="GE182" s="926"/>
      <c r="GF182" s="926"/>
      <c r="GG182" s="926"/>
      <c r="GH182" s="926"/>
      <c r="GI182" s="926"/>
      <c r="GJ182" s="926"/>
      <c r="GK182" s="926"/>
      <c r="GL182" s="926"/>
      <c r="GM182" s="926"/>
      <c r="GN182" s="926"/>
      <c r="GO182" s="926"/>
      <c r="GP182" s="926"/>
      <c r="GQ182" s="926"/>
      <c r="GR182" s="926"/>
      <c r="GS182" s="926"/>
      <c r="GT182" s="926"/>
      <c r="GU182" s="926"/>
      <c r="GV182" s="926"/>
      <c r="GW182" s="926"/>
      <c r="GX182" s="926"/>
      <c r="GY182" s="926"/>
      <c r="GZ182" s="926"/>
      <c r="HA182" s="926"/>
      <c r="HB182" s="926"/>
      <c r="HC182" s="926"/>
      <c r="HD182" s="926"/>
      <c r="HE182" s="926"/>
      <c r="HF182" s="926"/>
      <c r="HG182" s="926"/>
      <c r="HH182" s="926"/>
      <c r="HI182" s="926"/>
      <c r="HJ182" s="926"/>
      <c r="HK182" s="926"/>
      <c r="HL182" s="926"/>
      <c r="HM182" s="926"/>
      <c r="HN182" s="926"/>
      <c r="HO182" s="926"/>
      <c r="HP182" s="926"/>
      <c r="HQ182" s="926"/>
      <c r="HR182" s="926"/>
      <c r="HS182" s="926"/>
      <c r="HT182" s="926"/>
      <c r="HU182" s="926"/>
      <c r="HV182" s="926"/>
      <c r="HW182" s="926"/>
      <c r="HX182" s="926"/>
      <c r="HY182" s="926"/>
      <c r="HZ182" s="926"/>
      <c r="IA182" s="926"/>
      <c r="IB182" s="926"/>
      <c r="IC182" s="926"/>
      <c r="ID182" s="926"/>
      <c r="IE182" s="926"/>
      <c r="IF182" s="926"/>
      <c r="IG182" s="926"/>
      <c r="IH182" s="926"/>
      <c r="II182" s="926"/>
      <c r="IJ182" s="926"/>
      <c r="IK182" s="926"/>
      <c r="IL182" s="926"/>
      <c r="IM182" s="926"/>
    </row>
    <row r="183" spans="1:247" x14ac:dyDescent="0.45">
      <c r="A183" s="441">
        <v>7416</v>
      </c>
      <c r="B183" s="939" t="s">
        <v>2719</v>
      </c>
      <c r="C183" s="47" t="s">
        <v>35</v>
      </c>
      <c r="D183" s="449" t="s">
        <v>2545</v>
      </c>
      <c r="E183" s="946">
        <f>+$E$3</f>
        <v>1.0740000000000001</v>
      </c>
      <c r="F183" s="941">
        <f t="shared" si="29"/>
        <v>1.0209999999999999</v>
      </c>
      <c r="G183" s="947">
        <f t="shared" si="47"/>
        <v>1.0269999999999999</v>
      </c>
      <c r="H183" s="946">
        <f t="shared" si="46"/>
        <v>1.0029999999999999</v>
      </c>
      <c r="I183" s="948">
        <f t="shared" si="48"/>
        <v>1.0289999999999999</v>
      </c>
      <c r="J183" s="948">
        <f t="shared" si="49"/>
        <v>1.0049999999999999</v>
      </c>
      <c r="K183" s="948">
        <f>+$K$3</f>
        <v>1.026</v>
      </c>
      <c r="L183" s="948">
        <f>+$L$3</f>
        <v>1.0129999999999999</v>
      </c>
      <c r="M183" s="948">
        <f>+$M$3</f>
        <v>1.0029999999999999</v>
      </c>
      <c r="N183" s="947">
        <f t="shared" si="50"/>
        <v>1.0029999999999999</v>
      </c>
      <c r="O183" s="949">
        <f t="shared" si="51"/>
        <v>1.0209999999999999</v>
      </c>
      <c r="P183" s="946">
        <f t="shared" si="52"/>
        <v>1.032</v>
      </c>
      <c r="Q183" s="947">
        <f t="shared" si="53"/>
        <v>1.0349999999999999</v>
      </c>
      <c r="R183" s="950">
        <f t="shared" si="30"/>
        <v>1.3319480854780448</v>
      </c>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6"/>
      <c r="AV183" s="926"/>
      <c r="AW183" s="926"/>
      <c r="AX183" s="926"/>
      <c r="AY183" s="926"/>
      <c r="AZ183" s="926"/>
      <c r="BA183" s="926"/>
      <c r="BB183" s="926"/>
      <c r="BC183" s="926"/>
      <c r="BD183" s="926"/>
      <c r="BE183" s="926"/>
      <c r="BF183" s="926"/>
      <c r="BG183" s="926"/>
      <c r="BH183" s="926"/>
      <c r="BI183" s="926"/>
      <c r="BJ183" s="926"/>
      <c r="BK183" s="926"/>
      <c r="BL183" s="926"/>
      <c r="BM183" s="926"/>
      <c r="BN183" s="926"/>
      <c r="BO183" s="926"/>
      <c r="BP183" s="926"/>
      <c r="BQ183" s="926"/>
      <c r="BR183" s="926"/>
      <c r="BS183" s="926"/>
      <c r="BT183" s="926"/>
      <c r="BU183" s="926"/>
      <c r="BV183" s="926"/>
      <c r="BW183" s="926"/>
      <c r="BX183" s="926"/>
      <c r="BY183" s="926"/>
      <c r="BZ183" s="926"/>
      <c r="CA183" s="926"/>
      <c r="CB183" s="926"/>
      <c r="CC183" s="926"/>
      <c r="CD183" s="926"/>
      <c r="CE183" s="926"/>
      <c r="CF183" s="926"/>
      <c r="CG183" s="926"/>
      <c r="CH183" s="926"/>
      <c r="CI183" s="926"/>
      <c r="CJ183" s="926"/>
      <c r="CK183" s="926"/>
      <c r="CL183" s="926"/>
      <c r="CM183" s="926"/>
      <c r="CN183" s="926"/>
      <c r="CO183" s="926"/>
      <c r="CP183" s="926"/>
      <c r="CQ183" s="926"/>
      <c r="CR183" s="926"/>
      <c r="CS183" s="926"/>
      <c r="CT183" s="926"/>
      <c r="CU183" s="926"/>
      <c r="CV183" s="926"/>
      <c r="CW183" s="926"/>
      <c r="CX183" s="926"/>
      <c r="CY183" s="926"/>
      <c r="CZ183" s="926"/>
      <c r="DA183" s="926"/>
      <c r="DB183" s="926"/>
      <c r="DC183" s="926"/>
      <c r="DD183" s="926"/>
      <c r="DE183" s="926"/>
      <c r="DF183" s="926"/>
      <c r="DG183" s="926"/>
      <c r="DH183" s="926"/>
      <c r="DI183" s="926"/>
      <c r="DJ183" s="926"/>
      <c r="DK183" s="926"/>
      <c r="DL183" s="926"/>
      <c r="DM183" s="926"/>
      <c r="DN183" s="926"/>
      <c r="DO183" s="926"/>
      <c r="DP183" s="926"/>
      <c r="DQ183" s="926"/>
      <c r="DR183" s="926"/>
      <c r="DS183" s="926"/>
      <c r="DT183" s="926"/>
      <c r="DU183" s="926"/>
      <c r="DV183" s="926"/>
      <c r="DW183" s="926"/>
      <c r="DX183" s="926"/>
      <c r="DY183" s="926"/>
      <c r="DZ183" s="926"/>
      <c r="EA183" s="926"/>
      <c r="EB183" s="926"/>
      <c r="EC183" s="926"/>
      <c r="ED183" s="926"/>
      <c r="EE183" s="926"/>
      <c r="EF183" s="926"/>
      <c r="EG183" s="926"/>
      <c r="EH183" s="926"/>
      <c r="EI183" s="926"/>
      <c r="EJ183" s="926"/>
      <c r="EK183" s="926"/>
      <c r="EL183" s="926"/>
      <c r="EM183" s="926"/>
      <c r="EN183" s="926"/>
      <c r="EO183" s="926"/>
      <c r="EP183" s="926"/>
      <c r="EQ183" s="926"/>
      <c r="ER183" s="926"/>
      <c r="ES183" s="926"/>
      <c r="ET183" s="926"/>
      <c r="EU183" s="926"/>
      <c r="EV183" s="926"/>
      <c r="EW183" s="926"/>
      <c r="EX183" s="926"/>
      <c r="EY183" s="926"/>
      <c r="EZ183" s="926"/>
      <c r="FA183" s="926"/>
      <c r="FB183" s="926"/>
      <c r="FC183" s="926"/>
      <c r="FD183" s="926"/>
      <c r="FE183" s="926"/>
      <c r="FF183" s="926"/>
      <c r="FG183" s="926"/>
      <c r="FH183" s="926"/>
      <c r="FI183" s="926"/>
      <c r="FJ183" s="926"/>
      <c r="FK183" s="926"/>
      <c r="FL183" s="926"/>
      <c r="FM183" s="926"/>
      <c r="FN183" s="926"/>
      <c r="FO183" s="926"/>
      <c r="FP183" s="926"/>
      <c r="FQ183" s="926"/>
      <c r="FR183" s="926"/>
      <c r="FS183" s="926"/>
      <c r="FT183" s="926"/>
      <c r="FU183" s="926"/>
      <c r="FV183" s="926"/>
      <c r="FW183" s="926"/>
      <c r="FX183" s="926"/>
      <c r="FY183" s="926"/>
      <c r="FZ183" s="926"/>
      <c r="GA183" s="926"/>
      <c r="GB183" s="926"/>
      <c r="GC183" s="926"/>
      <c r="GD183" s="926"/>
      <c r="GE183" s="926"/>
      <c r="GF183" s="926"/>
      <c r="GG183" s="926"/>
      <c r="GH183" s="926"/>
      <c r="GI183" s="926"/>
      <c r="GJ183" s="926"/>
      <c r="GK183" s="926"/>
      <c r="GL183" s="926"/>
      <c r="GM183" s="926"/>
      <c r="GN183" s="926"/>
      <c r="GO183" s="926"/>
      <c r="GP183" s="926"/>
      <c r="GQ183" s="926"/>
      <c r="GR183" s="926"/>
      <c r="GS183" s="926"/>
      <c r="GT183" s="926"/>
      <c r="GU183" s="926"/>
      <c r="GV183" s="926"/>
      <c r="GW183" s="926"/>
      <c r="GX183" s="926"/>
      <c r="GY183" s="926"/>
      <c r="GZ183" s="926"/>
      <c r="HA183" s="926"/>
      <c r="HB183" s="926"/>
      <c r="HC183" s="926"/>
      <c r="HD183" s="926"/>
      <c r="HE183" s="926"/>
      <c r="HF183" s="926"/>
      <c r="HG183" s="926"/>
      <c r="HH183" s="926"/>
      <c r="HI183" s="926"/>
      <c r="HJ183" s="926"/>
      <c r="HK183" s="926"/>
      <c r="HL183" s="926"/>
      <c r="HM183" s="926"/>
      <c r="HN183" s="926"/>
      <c r="HO183" s="926"/>
      <c r="HP183" s="926"/>
      <c r="HQ183" s="926"/>
      <c r="HR183" s="926"/>
      <c r="HS183" s="926"/>
      <c r="HT183" s="926"/>
      <c r="HU183" s="926"/>
      <c r="HV183" s="926"/>
      <c r="HW183" s="926"/>
      <c r="HX183" s="926"/>
      <c r="HY183" s="926"/>
      <c r="HZ183" s="926"/>
      <c r="IA183" s="926"/>
      <c r="IB183" s="926"/>
      <c r="IC183" s="926"/>
      <c r="ID183" s="926"/>
      <c r="IE183" s="926"/>
      <c r="IF183" s="926"/>
      <c r="IG183" s="926"/>
      <c r="IH183" s="926"/>
      <c r="II183" s="926"/>
      <c r="IJ183" s="926"/>
      <c r="IK183" s="926"/>
      <c r="IL183" s="926"/>
      <c r="IM183" s="926"/>
    </row>
    <row r="184" spans="1:247" x14ac:dyDescent="0.45">
      <c r="A184" s="441">
        <v>7417</v>
      </c>
      <c r="B184" s="939" t="s">
        <v>2720</v>
      </c>
      <c r="C184" s="47" t="s">
        <v>35</v>
      </c>
      <c r="D184" s="449" t="s">
        <v>2545</v>
      </c>
      <c r="E184" s="946">
        <f>+$E$3</f>
        <v>1.0740000000000001</v>
      </c>
      <c r="F184" s="941">
        <f t="shared" si="29"/>
        <v>1.0209999999999999</v>
      </c>
      <c r="G184" s="947">
        <f t="shared" si="47"/>
        <v>1.0269999999999999</v>
      </c>
      <c r="H184" s="946">
        <f t="shared" si="46"/>
        <v>1.0029999999999999</v>
      </c>
      <c r="I184" s="948">
        <f t="shared" si="48"/>
        <v>1.0289999999999999</v>
      </c>
      <c r="J184" s="948">
        <f t="shared" si="49"/>
        <v>1.0049999999999999</v>
      </c>
      <c r="K184" s="948"/>
      <c r="L184" s="948">
        <f>+$L$3</f>
        <v>1.0129999999999999</v>
      </c>
      <c r="M184" s="948">
        <f>+$M$3</f>
        <v>1.0029999999999999</v>
      </c>
      <c r="N184" s="947">
        <f t="shared" si="50"/>
        <v>1.0029999999999999</v>
      </c>
      <c r="O184" s="949">
        <f t="shared" si="51"/>
        <v>1.0209999999999999</v>
      </c>
      <c r="P184" s="946">
        <f t="shared" si="52"/>
        <v>1.032</v>
      </c>
      <c r="Q184" s="947">
        <f t="shared" si="53"/>
        <v>1.0349999999999999</v>
      </c>
      <c r="R184" s="950">
        <f t="shared" si="30"/>
        <v>1.2981950150858137</v>
      </c>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6"/>
      <c r="AV184" s="926"/>
      <c r="AW184" s="926"/>
      <c r="AX184" s="926"/>
      <c r="AY184" s="926"/>
      <c r="AZ184" s="926"/>
      <c r="BA184" s="926"/>
      <c r="BB184" s="926"/>
      <c r="BC184" s="926"/>
      <c r="BD184" s="926"/>
      <c r="BE184" s="926"/>
      <c r="BF184" s="926"/>
      <c r="BG184" s="926"/>
      <c r="BH184" s="926"/>
      <c r="BI184" s="926"/>
      <c r="BJ184" s="926"/>
      <c r="BK184" s="926"/>
      <c r="BL184" s="926"/>
      <c r="BM184" s="926"/>
      <c r="BN184" s="926"/>
      <c r="BO184" s="926"/>
      <c r="BP184" s="926"/>
      <c r="BQ184" s="926"/>
      <c r="BR184" s="926"/>
      <c r="BS184" s="926"/>
      <c r="BT184" s="926"/>
      <c r="BU184" s="926"/>
      <c r="BV184" s="926"/>
      <c r="BW184" s="926"/>
      <c r="BX184" s="926"/>
      <c r="BY184" s="926"/>
      <c r="BZ184" s="926"/>
      <c r="CA184" s="926"/>
      <c r="CB184" s="926"/>
      <c r="CC184" s="926"/>
      <c r="CD184" s="926"/>
      <c r="CE184" s="926"/>
      <c r="CF184" s="926"/>
      <c r="CG184" s="926"/>
      <c r="CH184" s="926"/>
      <c r="CI184" s="926"/>
      <c r="CJ184" s="926"/>
      <c r="CK184" s="926"/>
      <c r="CL184" s="926"/>
      <c r="CM184" s="926"/>
      <c r="CN184" s="926"/>
      <c r="CO184" s="926"/>
      <c r="CP184" s="926"/>
      <c r="CQ184" s="926"/>
      <c r="CR184" s="926"/>
      <c r="CS184" s="926"/>
      <c r="CT184" s="926"/>
      <c r="CU184" s="926"/>
      <c r="CV184" s="926"/>
      <c r="CW184" s="926"/>
      <c r="CX184" s="926"/>
      <c r="CY184" s="926"/>
      <c r="CZ184" s="926"/>
      <c r="DA184" s="926"/>
      <c r="DB184" s="926"/>
      <c r="DC184" s="926"/>
      <c r="DD184" s="926"/>
      <c r="DE184" s="926"/>
      <c r="DF184" s="926"/>
      <c r="DG184" s="926"/>
      <c r="DH184" s="926"/>
      <c r="DI184" s="926"/>
      <c r="DJ184" s="926"/>
      <c r="DK184" s="926"/>
      <c r="DL184" s="926"/>
      <c r="DM184" s="926"/>
      <c r="DN184" s="926"/>
      <c r="DO184" s="926"/>
      <c r="DP184" s="926"/>
      <c r="DQ184" s="926"/>
      <c r="DR184" s="926"/>
      <c r="DS184" s="926"/>
      <c r="DT184" s="926"/>
      <c r="DU184" s="926"/>
      <c r="DV184" s="926"/>
      <c r="DW184" s="926"/>
      <c r="DX184" s="926"/>
      <c r="DY184" s="926"/>
      <c r="DZ184" s="926"/>
      <c r="EA184" s="926"/>
      <c r="EB184" s="926"/>
      <c r="EC184" s="926"/>
      <c r="ED184" s="926"/>
      <c r="EE184" s="926"/>
      <c r="EF184" s="926"/>
      <c r="EG184" s="926"/>
      <c r="EH184" s="926"/>
      <c r="EI184" s="926"/>
      <c r="EJ184" s="926"/>
      <c r="EK184" s="926"/>
      <c r="EL184" s="926"/>
      <c r="EM184" s="926"/>
      <c r="EN184" s="926"/>
      <c r="EO184" s="926"/>
      <c r="EP184" s="926"/>
      <c r="EQ184" s="926"/>
      <c r="ER184" s="926"/>
      <c r="ES184" s="926"/>
      <c r="ET184" s="926"/>
      <c r="EU184" s="926"/>
      <c r="EV184" s="926"/>
      <c r="EW184" s="926"/>
      <c r="EX184" s="926"/>
      <c r="EY184" s="926"/>
      <c r="EZ184" s="926"/>
      <c r="FA184" s="926"/>
      <c r="FB184" s="926"/>
      <c r="FC184" s="926"/>
      <c r="FD184" s="926"/>
      <c r="FE184" s="926"/>
      <c r="FF184" s="926"/>
      <c r="FG184" s="926"/>
      <c r="FH184" s="926"/>
      <c r="FI184" s="926"/>
      <c r="FJ184" s="926"/>
      <c r="FK184" s="926"/>
      <c r="FL184" s="926"/>
      <c r="FM184" s="926"/>
      <c r="FN184" s="926"/>
      <c r="FO184" s="926"/>
      <c r="FP184" s="926"/>
      <c r="FQ184" s="926"/>
      <c r="FR184" s="926"/>
      <c r="FS184" s="926"/>
      <c r="FT184" s="926"/>
      <c r="FU184" s="926"/>
      <c r="FV184" s="926"/>
      <c r="FW184" s="926"/>
      <c r="FX184" s="926"/>
      <c r="FY184" s="926"/>
      <c r="FZ184" s="926"/>
      <c r="GA184" s="926"/>
      <c r="GB184" s="926"/>
      <c r="GC184" s="926"/>
      <c r="GD184" s="926"/>
      <c r="GE184" s="926"/>
      <c r="GF184" s="926"/>
      <c r="GG184" s="926"/>
      <c r="GH184" s="926"/>
      <c r="GI184" s="926"/>
      <c r="GJ184" s="926"/>
      <c r="GK184" s="926"/>
      <c r="GL184" s="926"/>
      <c r="GM184" s="926"/>
      <c r="GN184" s="926"/>
      <c r="GO184" s="926"/>
      <c r="GP184" s="926"/>
      <c r="GQ184" s="926"/>
      <c r="GR184" s="926"/>
      <c r="GS184" s="926"/>
      <c r="GT184" s="926"/>
      <c r="GU184" s="926"/>
      <c r="GV184" s="926"/>
      <c r="GW184" s="926"/>
      <c r="GX184" s="926"/>
      <c r="GY184" s="926"/>
      <c r="GZ184" s="926"/>
      <c r="HA184" s="926"/>
      <c r="HB184" s="926"/>
      <c r="HC184" s="926"/>
      <c r="HD184" s="926"/>
      <c r="HE184" s="926"/>
      <c r="HF184" s="926"/>
      <c r="HG184" s="926"/>
      <c r="HH184" s="926"/>
      <c r="HI184" s="926"/>
      <c r="HJ184" s="926"/>
      <c r="HK184" s="926"/>
      <c r="HL184" s="926"/>
      <c r="HM184" s="926"/>
      <c r="HN184" s="926"/>
      <c r="HO184" s="926"/>
      <c r="HP184" s="926"/>
      <c r="HQ184" s="926"/>
      <c r="HR184" s="926"/>
      <c r="HS184" s="926"/>
      <c r="HT184" s="926"/>
      <c r="HU184" s="926"/>
      <c r="HV184" s="926"/>
      <c r="HW184" s="926"/>
      <c r="HX184" s="926"/>
      <c r="HY184" s="926"/>
      <c r="HZ184" s="926"/>
      <c r="IA184" s="926"/>
      <c r="IB184" s="926"/>
      <c r="IC184" s="926"/>
      <c r="ID184" s="926"/>
      <c r="IE184" s="926"/>
      <c r="IF184" s="926"/>
      <c r="IG184" s="926"/>
      <c r="IH184" s="926"/>
      <c r="II184" s="926"/>
      <c r="IJ184" s="926"/>
      <c r="IK184" s="926"/>
      <c r="IL184" s="926"/>
      <c r="IM184" s="926"/>
    </row>
    <row r="185" spans="1:247" x14ac:dyDescent="0.45">
      <c r="A185" s="441">
        <v>7418</v>
      </c>
      <c r="B185" s="939" t="s">
        <v>2721</v>
      </c>
      <c r="C185" s="47" t="s">
        <v>35</v>
      </c>
      <c r="D185" s="449" t="s">
        <v>2545</v>
      </c>
      <c r="E185" s="946"/>
      <c r="F185" s="941">
        <f t="shared" si="29"/>
        <v>1.0209999999999999</v>
      </c>
      <c r="G185" s="947">
        <f t="shared" si="47"/>
        <v>1.0269999999999999</v>
      </c>
      <c r="H185" s="946">
        <f t="shared" si="46"/>
        <v>1.0029999999999999</v>
      </c>
      <c r="I185" s="948">
        <f t="shared" si="48"/>
        <v>1.0289999999999999</v>
      </c>
      <c r="J185" s="948">
        <f t="shared" si="49"/>
        <v>1.0049999999999999</v>
      </c>
      <c r="K185" s="948"/>
      <c r="L185" s="948"/>
      <c r="M185" s="948"/>
      <c r="N185" s="947">
        <f t="shared" si="50"/>
        <v>1.0029999999999999</v>
      </c>
      <c r="O185" s="949">
        <f t="shared" si="51"/>
        <v>1.0209999999999999</v>
      </c>
      <c r="P185" s="946">
        <f t="shared" si="52"/>
        <v>1.032</v>
      </c>
      <c r="Q185" s="947">
        <f t="shared" si="53"/>
        <v>1.0349999999999999</v>
      </c>
      <c r="R185" s="950">
        <f t="shared" si="30"/>
        <v>1.1896666233280813</v>
      </c>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926"/>
      <c r="CG185" s="926"/>
      <c r="CH185" s="926"/>
      <c r="CI185" s="926"/>
      <c r="CJ185" s="926"/>
      <c r="CK185" s="926"/>
      <c r="CL185" s="926"/>
      <c r="CM185" s="926"/>
      <c r="CN185" s="926"/>
      <c r="CO185" s="926"/>
      <c r="CP185" s="926"/>
      <c r="CQ185" s="926"/>
      <c r="CR185" s="926"/>
      <c r="CS185" s="926"/>
      <c r="CT185" s="926"/>
      <c r="CU185" s="926"/>
      <c r="CV185" s="926"/>
      <c r="CW185" s="926"/>
      <c r="CX185" s="926"/>
      <c r="CY185" s="926"/>
      <c r="CZ185" s="926"/>
      <c r="DA185" s="926"/>
      <c r="DB185" s="926"/>
      <c r="DC185" s="926"/>
      <c r="DD185" s="926"/>
      <c r="DE185" s="926"/>
      <c r="DF185" s="926"/>
      <c r="DG185" s="926"/>
      <c r="DH185" s="926"/>
      <c r="DI185" s="926"/>
      <c r="DJ185" s="926"/>
      <c r="DK185" s="926"/>
      <c r="DL185" s="926"/>
      <c r="DM185" s="926"/>
      <c r="DN185" s="926"/>
      <c r="DO185" s="926"/>
      <c r="DP185" s="926"/>
      <c r="DQ185" s="926"/>
      <c r="DR185" s="926"/>
      <c r="DS185" s="926"/>
      <c r="DT185" s="926"/>
      <c r="DU185" s="926"/>
      <c r="DV185" s="926"/>
      <c r="DW185" s="926"/>
      <c r="DX185" s="926"/>
      <c r="DY185" s="926"/>
      <c r="DZ185" s="926"/>
      <c r="EA185" s="926"/>
      <c r="EB185" s="926"/>
      <c r="EC185" s="926"/>
      <c r="ED185" s="926"/>
      <c r="EE185" s="926"/>
      <c r="EF185" s="926"/>
      <c r="EG185" s="926"/>
      <c r="EH185" s="926"/>
      <c r="EI185" s="926"/>
      <c r="EJ185" s="926"/>
      <c r="EK185" s="926"/>
      <c r="EL185" s="926"/>
      <c r="EM185" s="926"/>
      <c r="EN185" s="926"/>
      <c r="EO185" s="926"/>
      <c r="EP185" s="926"/>
      <c r="EQ185" s="926"/>
      <c r="ER185" s="926"/>
      <c r="ES185" s="926"/>
      <c r="ET185" s="926"/>
      <c r="EU185" s="926"/>
      <c r="EV185" s="926"/>
      <c r="EW185" s="926"/>
      <c r="EX185" s="926"/>
      <c r="EY185" s="926"/>
      <c r="EZ185" s="926"/>
      <c r="FA185" s="926"/>
      <c r="FB185" s="926"/>
      <c r="FC185" s="926"/>
      <c r="FD185" s="926"/>
      <c r="FE185" s="926"/>
      <c r="FF185" s="926"/>
      <c r="FG185" s="926"/>
      <c r="FH185" s="926"/>
      <c r="FI185" s="926"/>
      <c r="FJ185" s="926"/>
      <c r="FK185" s="926"/>
      <c r="FL185" s="926"/>
      <c r="FM185" s="926"/>
      <c r="FN185" s="926"/>
      <c r="FO185" s="926"/>
      <c r="FP185" s="926"/>
      <c r="FQ185" s="926"/>
      <c r="FR185" s="926"/>
      <c r="FS185" s="926"/>
      <c r="FT185" s="926"/>
      <c r="FU185" s="926"/>
      <c r="FV185" s="926"/>
      <c r="FW185" s="926"/>
      <c r="FX185" s="926"/>
      <c r="FY185" s="926"/>
      <c r="FZ185" s="926"/>
      <c r="GA185" s="926"/>
      <c r="GB185" s="926"/>
      <c r="GC185" s="926"/>
      <c r="GD185" s="926"/>
      <c r="GE185" s="926"/>
      <c r="GF185" s="926"/>
      <c r="GG185" s="926"/>
      <c r="GH185" s="926"/>
      <c r="GI185" s="926"/>
      <c r="GJ185" s="926"/>
      <c r="GK185" s="926"/>
      <c r="GL185" s="926"/>
      <c r="GM185" s="926"/>
      <c r="GN185" s="926"/>
      <c r="GO185" s="926"/>
      <c r="GP185" s="926"/>
      <c r="GQ185" s="926"/>
      <c r="GR185" s="926"/>
      <c r="GS185" s="926"/>
      <c r="GT185" s="926"/>
      <c r="GU185" s="926"/>
      <c r="GV185" s="926"/>
      <c r="GW185" s="926"/>
      <c r="GX185" s="926"/>
      <c r="GY185" s="926"/>
      <c r="GZ185" s="926"/>
      <c r="HA185" s="926"/>
      <c r="HB185" s="926"/>
      <c r="HC185" s="926"/>
      <c r="HD185" s="926"/>
      <c r="HE185" s="926"/>
      <c r="HF185" s="926"/>
      <c r="HG185" s="926"/>
      <c r="HH185" s="926"/>
      <c r="HI185" s="926"/>
      <c r="HJ185" s="926"/>
      <c r="HK185" s="926"/>
      <c r="HL185" s="926"/>
      <c r="HM185" s="926"/>
      <c r="HN185" s="926"/>
      <c r="HO185" s="926"/>
      <c r="HP185" s="926"/>
      <c r="HQ185" s="926"/>
      <c r="HR185" s="926"/>
      <c r="HS185" s="926"/>
      <c r="HT185" s="926"/>
      <c r="HU185" s="926"/>
      <c r="HV185" s="926"/>
      <c r="HW185" s="926"/>
      <c r="HX185" s="926"/>
      <c r="HY185" s="926"/>
      <c r="HZ185" s="926"/>
      <c r="IA185" s="926"/>
      <c r="IB185" s="926"/>
      <c r="IC185" s="926"/>
      <c r="ID185" s="926"/>
      <c r="IE185" s="926"/>
      <c r="IF185" s="926"/>
      <c r="IG185" s="926"/>
      <c r="IH185" s="926"/>
      <c r="II185" s="926"/>
      <c r="IJ185" s="926"/>
      <c r="IK185" s="926"/>
      <c r="IL185" s="926"/>
      <c r="IM185" s="926"/>
    </row>
    <row r="186" spans="1:247" x14ac:dyDescent="0.45">
      <c r="A186" s="441">
        <v>7422</v>
      </c>
      <c r="B186" s="939" t="s">
        <v>2722</v>
      </c>
      <c r="C186" s="47" t="s">
        <v>35</v>
      </c>
      <c r="D186" s="449" t="s">
        <v>2545</v>
      </c>
      <c r="E186" s="946"/>
      <c r="F186" s="941">
        <f t="shared" si="29"/>
        <v>1.0209999999999999</v>
      </c>
      <c r="G186" s="947">
        <f t="shared" si="47"/>
        <v>1.0269999999999999</v>
      </c>
      <c r="H186" s="946">
        <f t="shared" si="46"/>
        <v>1.0029999999999999</v>
      </c>
      <c r="I186" s="948">
        <f t="shared" si="48"/>
        <v>1.0289999999999999</v>
      </c>
      <c r="J186" s="948">
        <f t="shared" si="49"/>
        <v>1.0049999999999999</v>
      </c>
      <c r="K186" s="948"/>
      <c r="L186" s="948">
        <f>+$L$3</f>
        <v>1.0129999999999999</v>
      </c>
      <c r="M186" s="948"/>
      <c r="N186" s="947">
        <f t="shared" si="50"/>
        <v>1.0029999999999999</v>
      </c>
      <c r="O186" s="949">
        <f t="shared" si="51"/>
        <v>1.0209999999999999</v>
      </c>
      <c r="P186" s="946">
        <f t="shared" si="52"/>
        <v>1.032</v>
      </c>
      <c r="Q186" s="947">
        <f t="shared" si="53"/>
        <v>1.0349999999999999</v>
      </c>
      <c r="R186" s="950">
        <f t="shared" si="30"/>
        <v>1.2051322894313463</v>
      </c>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6"/>
      <c r="AV186" s="926"/>
      <c r="AW186" s="926"/>
      <c r="AX186" s="926"/>
      <c r="AY186" s="926"/>
      <c r="AZ186" s="926"/>
      <c r="BA186" s="926"/>
      <c r="BB186" s="926"/>
      <c r="BC186" s="926"/>
      <c r="BD186" s="926"/>
      <c r="BE186" s="926"/>
      <c r="BF186" s="926"/>
      <c r="BG186" s="926"/>
      <c r="BH186" s="926"/>
      <c r="BI186" s="926"/>
      <c r="BJ186" s="926"/>
      <c r="BK186" s="926"/>
      <c r="BL186" s="926"/>
      <c r="BM186" s="926"/>
      <c r="BN186" s="926"/>
      <c r="BO186" s="926"/>
      <c r="BP186" s="926"/>
      <c r="BQ186" s="926"/>
      <c r="BR186" s="926"/>
      <c r="BS186" s="926"/>
      <c r="BT186" s="926"/>
      <c r="BU186" s="926"/>
      <c r="BV186" s="926"/>
      <c r="BW186" s="926"/>
      <c r="BX186" s="926"/>
      <c r="BY186" s="926"/>
      <c r="BZ186" s="926"/>
      <c r="CA186" s="926"/>
      <c r="CB186" s="926"/>
      <c r="CC186" s="926"/>
      <c r="CD186" s="926"/>
      <c r="CE186" s="926"/>
      <c r="CF186" s="926"/>
      <c r="CG186" s="926"/>
      <c r="CH186" s="926"/>
      <c r="CI186" s="926"/>
      <c r="CJ186" s="926"/>
      <c r="CK186" s="926"/>
      <c r="CL186" s="926"/>
      <c r="CM186" s="926"/>
      <c r="CN186" s="926"/>
      <c r="CO186" s="926"/>
      <c r="CP186" s="926"/>
      <c r="CQ186" s="926"/>
      <c r="CR186" s="926"/>
      <c r="CS186" s="926"/>
      <c r="CT186" s="926"/>
      <c r="CU186" s="926"/>
      <c r="CV186" s="926"/>
      <c r="CW186" s="926"/>
      <c r="CX186" s="926"/>
      <c r="CY186" s="926"/>
      <c r="CZ186" s="926"/>
      <c r="DA186" s="926"/>
      <c r="DB186" s="926"/>
      <c r="DC186" s="926"/>
      <c r="DD186" s="926"/>
      <c r="DE186" s="926"/>
      <c r="DF186" s="926"/>
      <c r="DG186" s="926"/>
      <c r="DH186" s="926"/>
      <c r="DI186" s="926"/>
      <c r="DJ186" s="926"/>
      <c r="DK186" s="926"/>
      <c r="DL186" s="926"/>
      <c r="DM186" s="926"/>
      <c r="DN186" s="926"/>
      <c r="DO186" s="926"/>
      <c r="DP186" s="926"/>
      <c r="DQ186" s="926"/>
      <c r="DR186" s="926"/>
      <c r="DS186" s="926"/>
      <c r="DT186" s="926"/>
      <c r="DU186" s="926"/>
      <c r="DV186" s="926"/>
      <c r="DW186" s="926"/>
      <c r="DX186" s="926"/>
      <c r="DY186" s="926"/>
      <c r="DZ186" s="926"/>
      <c r="EA186" s="926"/>
      <c r="EB186" s="926"/>
      <c r="EC186" s="926"/>
      <c r="ED186" s="926"/>
      <c r="EE186" s="926"/>
      <c r="EF186" s="926"/>
      <c r="EG186" s="926"/>
      <c r="EH186" s="926"/>
      <c r="EI186" s="926"/>
      <c r="EJ186" s="926"/>
      <c r="EK186" s="926"/>
      <c r="EL186" s="926"/>
      <c r="EM186" s="926"/>
      <c r="EN186" s="926"/>
      <c r="EO186" s="926"/>
      <c r="EP186" s="926"/>
      <c r="EQ186" s="926"/>
      <c r="ER186" s="926"/>
      <c r="ES186" s="926"/>
      <c r="ET186" s="926"/>
      <c r="EU186" s="926"/>
      <c r="EV186" s="926"/>
      <c r="EW186" s="926"/>
      <c r="EX186" s="926"/>
      <c r="EY186" s="926"/>
      <c r="EZ186" s="926"/>
      <c r="FA186" s="926"/>
      <c r="FB186" s="926"/>
      <c r="FC186" s="926"/>
      <c r="FD186" s="926"/>
      <c r="FE186" s="926"/>
      <c r="FF186" s="926"/>
      <c r="FG186" s="926"/>
      <c r="FH186" s="926"/>
      <c r="FI186" s="926"/>
      <c r="FJ186" s="926"/>
      <c r="FK186" s="926"/>
      <c r="FL186" s="926"/>
      <c r="FM186" s="926"/>
      <c r="FN186" s="926"/>
      <c r="FO186" s="926"/>
      <c r="FP186" s="926"/>
      <c r="FQ186" s="926"/>
      <c r="FR186" s="926"/>
      <c r="FS186" s="926"/>
      <c r="FT186" s="926"/>
      <c r="FU186" s="926"/>
      <c r="FV186" s="926"/>
      <c r="FW186" s="926"/>
      <c r="FX186" s="926"/>
      <c r="FY186" s="926"/>
      <c r="FZ186" s="926"/>
      <c r="GA186" s="926"/>
      <c r="GB186" s="926"/>
      <c r="GC186" s="926"/>
      <c r="GD186" s="926"/>
      <c r="GE186" s="926"/>
      <c r="GF186" s="926"/>
      <c r="GG186" s="926"/>
      <c r="GH186" s="926"/>
      <c r="GI186" s="926"/>
      <c r="GJ186" s="926"/>
      <c r="GK186" s="926"/>
      <c r="GL186" s="926"/>
      <c r="GM186" s="926"/>
      <c r="GN186" s="926"/>
      <c r="GO186" s="926"/>
      <c r="GP186" s="926"/>
      <c r="GQ186" s="926"/>
      <c r="GR186" s="926"/>
      <c r="GS186" s="926"/>
      <c r="GT186" s="926"/>
      <c r="GU186" s="926"/>
      <c r="GV186" s="926"/>
      <c r="GW186" s="926"/>
      <c r="GX186" s="926"/>
      <c r="GY186" s="926"/>
      <c r="GZ186" s="926"/>
      <c r="HA186" s="926"/>
      <c r="HB186" s="926"/>
      <c r="HC186" s="926"/>
      <c r="HD186" s="926"/>
      <c r="HE186" s="926"/>
      <c r="HF186" s="926"/>
      <c r="HG186" s="926"/>
      <c r="HH186" s="926"/>
      <c r="HI186" s="926"/>
      <c r="HJ186" s="926"/>
      <c r="HK186" s="926"/>
      <c r="HL186" s="926"/>
      <c r="HM186" s="926"/>
      <c r="HN186" s="926"/>
      <c r="HO186" s="926"/>
      <c r="HP186" s="926"/>
      <c r="HQ186" s="926"/>
      <c r="HR186" s="926"/>
      <c r="HS186" s="926"/>
      <c r="HT186" s="926"/>
      <c r="HU186" s="926"/>
      <c r="HV186" s="926"/>
      <c r="HW186" s="926"/>
      <c r="HX186" s="926"/>
      <c r="HY186" s="926"/>
      <c r="HZ186" s="926"/>
      <c r="IA186" s="926"/>
      <c r="IB186" s="926"/>
      <c r="IC186" s="926"/>
      <c r="ID186" s="926"/>
      <c r="IE186" s="926"/>
      <c r="IF186" s="926"/>
      <c r="IG186" s="926"/>
      <c r="IH186" s="926"/>
      <c r="II186" s="926"/>
      <c r="IJ186" s="926"/>
      <c r="IK186" s="926"/>
      <c r="IL186" s="926"/>
      <c r="IM186" s="926"/>
    </row>
    <row r="187" spans="1:247" x14ac:dyDescent="0.45">
      <c r="A187" s="441">
        <v>7431</v>
      </c>
      <c r="B187" s="939" t="s">
        <v>2723</v>
      </c>
      <c r="C187" s="47" t="s">
        <v>35</v>
      </c>
      <c r="D187" s="449" t="s">
        <v>2545</v>
      </c>
      <c r="E187" s="946">
        <f>+$E$3</f>
        <v>1.0740000000000001</v>
      </c>
      <c r="F187" s="941">
        <f t="shared" si="29"/>
        <v>1.0209999999999999</v>
      </c>
      <c r="G187" s="947">
        <f t="shared" si="47"/>
        <v>1.0269999999999999</v>
      </c>
      <c r="H187" s="946">
        <f t="shared" si="46"/>
        <v>1.0029999999999999</v>
      </c>
      <c r="I187" s="948">
        <f t="shared" si="48"/>
        <v>1.0289999999999999</v>
      </c>
      <c r="J187" s="948">
        <f t="shared" si="49"/>
        <v>1.0049999999999999</v>
      </c>
      <c r="K187" s="948">
        <f>+$K$3</f>
        <v>1.026</v>
      </c>
      <c r="L187" s="948"/>
      <c r="M187" s="948">
        <f>+$M$3</f>
        <v>1.0029999999999999</v>
      </c>
      <c r="N187" s="947">
        <f t="shared" si="50"/>
        <v>1.0029999999999999</v>
      </c>
      <c r="O187" s="949">
        <f t="shared" si="51"/>
        <v>1.0209999999999999</v>
      </c>
      <c r="P187" s="946">
        <f t="shared" si="52"/>
        <v>1.032</v>
      </c>
      <c r="Q187" s="947">
        <f t="shared" si="53"/>
        <v>1.0349999999999999</v>
      </c>
      <c r="R187" s="950">
        <f t="shared" si="30"/>
        <v>1.3148549708569053</v>
      </c>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926"/>
      <c r="CG187" s="926"/>
      <c r="CH187" s="926"/>
      <c r="CI187" s="926"/>
      <c r="CJ187" s="926"/>
      <c r="CK187" s="926"/>
      <c r="CL187" s="926"/>
      <c r="CM187" s="926"/>
      <c r="CN187" s="926"/>
      <c r="CO187" s="926"/>
      <c r="CP187" s="926"/>
      <c r="CQ187" s="926"/>
      <c r="CR187" s="926"/>
      <c r="CS187" s="926"/>
      <c r="CT187" s="926"/>
      <c r="CU187" s="926"/>
      <c r="CV187" s="926"/>
      <c r="CW187" s="926"/>
      <c r="CX187" s="926"/>
      <c r="CY187" s="926"/>
      <c r="CZ187" s="926"/>
      <c r="DA187" s="926"/>
      <c r="DB187" s="926"/>
      <c r="DC187" s="926"/>
      <c r="DD187" s="926"/>
      <c r="DE187" s="926"/>
      <c r="DF187" s="926"/>
      <c r="DG187" s="926"/>
      <c r="DH187" s="926"/>
      <c r="DI187" s="926"/>
      <c r="DJ187" s="926"/>
      <c r="DK187" s="926"/>
      <c r="DL187" s="926"/>
      <c r="DM187" s="926"/>
      <c r="DN187" s="926"/>
      <c r="DO187" s="926"/>
      <c r="DP187" s="926"/>
      <c r="DQ187" s="926"/>
      <c r="DR187" s="926"/>
      <c r="DS187" s="926"/>
      <c r="DT187" s="926"/>
      <c r="DU187" s="926"/>
      <c r="DV187" s="926"/>
      <c r="DW187" s="926"/>
      <c r="DX187" s="926"/>
      <c r="DY187" s="926"/>
      <c r="DZ187" s="926"/>
      <c r="EA187" s="926"/>
      <c r="EB187" s="926"/>
      <c r="EC187" s="926"/>
      <c r="ED187" s="926"/>
      <c r="EE187" s="926"/>
      <c r="EF187" s="926"/>
      <c r="EG187" s="926"/>
      <c r="EH187" s="926"/>
      <c r="EI187" s="926"/>
      <c r="EJ187" s="926"/>
      <c r="EK187" s="926"/>
      <c r="EL187" s="926"/>
      <c r="EM187" s="926"/>
      <c r="EN187" s="926"/>
      <c r="EO187" s="926"/>
      <c r="EP187" s="926"/>
      <c r="EQ187" s="926"/>
      <c r="ER187" s="926"/>
      <c r="ES187" s="926"/>
      <c r="ET187" s="926"/>
      <c r="EU187" s="926"/>
      <c r="EV187" s="926"/>
      <c r="EW187" s="926"/>
      <c r="EX187" s="926"/>
      <c r="EY187" s="926"/>
      <c r="EZ187" s="926"/>
      <c r="FA187" s="926"/>
      <c r="FB187" s="926"/>
      <c r="FC187" s="926"/>
      <c r="FD187" s="926"/>
      <c r="FE187" s="926"/>
      <c r="FF187" s="926"/>
      <c r="FG187" s="926"/>
      <c r="FH187" s="926"/>
      <c r="FI187" s="926"/>
      <c r="FJ187" s="926"/>
      <c r="FK187" s="926"/>
      <c r="FL187" s="926"/>
      <c r="FM187" s="926"/>
      <c r="FN187" s="926"/>
      <c r="FO187" s="926"/>
      <c r="FP187" s="926"/>
      <c r="FQ187" s="926"/>
      <c r="FR187" s="926"/>
      <c r="FS187" s="926"/>
      <c r="FT187" s="926"/>
      <c r="FU187" s="926"/>
      <c r="FV187" s="926"/>
      <c r="FW187" s="926"/>
      <c r="FX187" s="926"/>
      <c r="FY187" s="926"/>
      <c r="FZ187" s="926"/>
      <c r="GA187" s="926"/>
      <c r="GB187" s="926"/>
      <c r="GC187" s="926"/>
      <c r="GD187" s="926"/>
      <c r="GE187" s="926"/>
      <c r="GF187" s="926"/>
      <c r="GG187" s="926"/>
      <c r="GH187" s="926"/>
      <c r="GI187" s="926"/>
      <c r="GJ187" s="926"/>
      <c r="GK187" s="926"/>
      <c r="GL187" s="926"/>
      <c r="GM187" s="926"/>
      <c r="GN187" s="926"/>
      <c r="GO187" s="926"/>
      <c r="GP187" s="926"/>
      <c r="GQ187" s="926"/>
      <c r="GR187" s="926"/>
      <c r="GS187" s="926"/>
      <c r="GT187" s="926"/>
      <c r="GU187" s="926"/>
      <c r="GV187" s="926"/>
      <c r="GW187" s="926"/>
      <c r="GX187" s="926"/>
      <c r="GY187" s="926"/>
      <c r="GZ187" s="926"/>
      <c r="HA187" s="926"/>
      <c r="HB187" s="926"/>
      <c r="HC187" s="926"/>
      <c r="HD187" s="926"/>
      <c r="HE187" s="926"/>
      <c r="HF187" s="926"/>
      <c r="HG187" s="926"/>
      <c r="HH187" s="926"/>
      <c r="HI187" s="926"/>
      <c r="HJ187" s="926"/>
      <c r="HK187" s="926"/>
      <c r="HL187" s="926"/>
      <c r="HM187" s="926"/>
      <c r="HN187" s="926"/>
      <c r="HO187" s="926"/>
      <c r="HP187" s="926"/>
      <c r="HQ187" s="926"/>
      <c r="HR187" s="926"/>
      <c r="HS187" s="926"/>
      <c r="HT187" s="926"/>
      <c r="HU187" s="926"/>
      <c r="HV187" s="926"/>
      <c r="HW187" s="926"/>
      <c r="HX187" s="926"/>
      <c r="HY187" s="926"/>
      <c r="HZ187" s="926"/>
      <c r="IA187" s="926"/>
      <c r="IB187" s="926"/>
      <c r="IC187" s="926"/>
      <c r="ID187" s="926"/>
      <c r="IE187" s="926"/>
      <c r="IF187" s="926"/>
      <c r="IG187" s="926"/>
      <c r="IH187" s="926"/>
      <c r="II187" s="926"/>
      <c r="IJ187" s="926"/>
      <c r="IK187" s="926"/>
      <c r="IL187" s="926"/>
      <c r="IM187" s="926"/>
    </row>
    <row r="188" spans="1:247" x14ac:dyDescent="0.45">
      <c r="A188" s="441">
        <v>7440</v>
      </c>
      <c r="B188" s="939" t="s">
        <v>2724</v>
      </c>
      <c r="C188" s="47" t="s">
        <v>35</v>
      </c>
      <c r="D188" s="449" t="s">
        <v>2545</v>
      </c>
      <c r="E188" s="946">
        <v>1.0740000000000001</v>
      </c>
      <c r="F188" s="941">
        <v>1.0209999999999999</v>
      </c>
      <c r="G188" s="947">
        <v>1.0269999999999999</v>
      </c>
      <c r="H188" s="946">
        <v>1.0029999999999999</v>
      </c>
      <c r="I188" s="948">
        <v>1.0289999999999999</v>
      </c>
      <c r="J188" s="948">
        <v>1.0049999999999999</v>
      </c>
      <c r="K188" s="948">
        <v>1.026</v>
      </c>
      <c r="L188" s="948"/>
      <c r="M188" s="948">
        <v>1.0029999999999999</v>
      </c>
      <c r="N188" s="947">
        <v>1.0029999999999999</v>
      </c>
      <c r="O188" s="949">
        <v>1.0209999999999999</v>
      </c>
      <c r="P188" s="946">
        <v>1.032</v>
      </c>
      <c r="Q188" s="947">
        <v>1.0349999999999999</v>
      </c>
      <c r="R188" s="950">
        <v>1.3148549708569053</v>
      </c>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c r="BA188" s="926"/>
      <c r="BB188" s="926"/>
      <c r="BC188" s="926"/>
      <c r="BD188" s="926"/>
      <c r="BE188" s="926"/>
      <c r="BF188" s="926"/>
      <c r="BG188" s="926"/>
      <c r="BH188" s="926"/>
      <c r="BI188" s="926"/>
      <c r="BJ188" s="926"/>
      <c r="BK188" s="926"/>
      <c r="BL188" s="926"/>
      <c r="BM188" s="926"/>
      <c r="BN188" s="926"/>
      <c r="BO188" s="926"/>
      <c r="BP188" s="926"/>
      <c r="BQ188" s="926"/>
      <c r="BR188" s="926"/>
      <c r="BS188" s="926"/>
      <c r="BT188" s="926"/>
      <c r="BU188" s="926"/>
      <c r="BV188" s="926"/>
      <c r="BW188" s="926"/>
      <c r="BX188" s="926"/>
      <c r="BY188" s="926"/>
      <c r="BZ188" s="926"/>
      <c r="CA188" s="926"/>
      <c r="CB188" s="926"/>
      <c r="CC188" s="926"/>
      <c r="CD188" s="926"/>
      <c r="CE188" s="926"/>
      <c r="CF188" s="926"/>
      <c r="CG188" s="926"/>
      <c r="CH188" s="926"/>
      <c r="CI188" s="926"/>
      <c r="CJ188" s="926"/>
      <c r="CK188" s="926"/>
      <c r="CL188" s="926"/>
      <c r="CM188" s="926"/>
      <c r="CN188" s="926"/>
      <c r="CO188" s="926"/>
      <c r="CP188" s="926"/>
      <c r="CQ188" s="926"/>
      <c r="CR188" s="926"/>
      <c r="CS188" s="926"/>
      <c r="CT188" s="926"/>
      <c r="CU188" s="926"/>
      <c r="CV188" s="926"/>
      <c r="CW188" s="926"/>
      <c r="CX188" s="926"/>
      <c r="CY188" s="926"/>
      <c r="CZ188" s="926"/>
      <c r="DA188" s="926"/>
      <c r="DB188" s="926"/>
      <c r="DC188" s="926"/>
      <c r="DD188" s="926"/>
      <c r="DE188" s="926"/>
      <c r="DF188" s="926"/>
      <c r="DG188" s="926"/>
      <c r="DH188" s="926"/>
      <c r="DI188" s="926"/>
      <c r="DJ188" s="926"/>
      <c r="DK188" s="926"/>
      <c r="DL188" s="926"/>
      <c r="DM188" s="926"/>
      <c r="DN188" s="926"/>
      <c r="DO188" s="926"/>
      <c r="DP188" s="926"/>
      <c r="DQ188" s="926"/>
      <c r="DR188" s="926"/>
      <c r="DS188" s="926"/>
      <c r="DT188" s="926"/>
      <c r="DU188" s="926"/>
      <c r="DV188" s="926"/>
      <c r="DW188" s="926"/>
      <c r="DX188" s="926"/>
      <c r="DY188" s="926"/>
      <c r="DZ188" s="926"/>
      <c r="EA188" s="926"/>
      <c r="EB188" s="926"/>
      <c r="EC188" s="926"/>
      <c r="ED188" s="926"/>
      <c r="EE188" s="926"/>
      <c r="EF188" s="926"/>
      <c r="EG188" s="926"/>
      <c r="EH188" s="926"/>
      <c r="EI188" s="926"/>
      <c r="EJ188" s="926"/>
      <c r="EK188" s="926"/>
      <c r="EL188" s="926"/>
      <c r="EM188" s="926"/>
      <c r="EN188" s="926"/>
      <c r="EO188" s="926"/>
      <c r="EP188" s="926"/>
      <c r="EQ188" s="926"/>
      <c r="ER188" s="926"/>
      <c r="ES188" s="926"/>
      <c r="ET188" s="926"/>
      <c r="EU188" s="926"/>
      <c r="EV188" s="926"/>
      <c r="EW188" s="926"/>
      <c r="EX188" s="926"/>
      <c r="EY188" s="926"/>
      <c r="EZ188" s="926"/>
      <c r="FA188" s="926"/>
      <c r="FB188" s="926"/>
      <c r="FC188" s="926"/>
      <c r="FD188" s="926"/>
      <c r="FE188" s="926"/>
      <c r="FF188" s="926"/>
      <c r="FG188" s="926"/>
      <c r="FH188" s="926"/>
      <c r="FI188" s="926"/>
      <c r="FJ188" s="926"/>
      <c r="FK188" s="926"/>
      <c r="FL188" s="926"/>
      <c r="FM188" s="926"/>
      <c r="FN188" s="926"/>
      <c r="FO188" s="926"/>
      <c r="FP188" s="926"/>
      <c r="FQ188" s="926"/>
      <c r="FR188" s="926"/>
      <c r="FS188" s="926"/>
      <c r="FT188" s="926"/>
      <c r="FU188" s="926"/>
      <c r="FV188" s="926"/>
      <c r="FW188" s="926"/>
      <c r="FX188" s="926"/>
      <c r="FY188" s="926"/>
      <c r="FZ188" s="926"/>
      <c r="GA188" s="926"/>
      <c r="GB188" s="926"/>
      <c r="GC188" s="926"/>
      <c r="GD188" s="926"/>
      <c r="GE188" s="926"/>
      <c r="GF188" s="926"/>
      <c r="GG188" s="926"/>
      <c r="GH188" s="926"/>
      <c r="GI188" s="926"/>
      <c r="GJ188" s="926"/>
      <c r="GK188" s="926"/>
      <c r="GL188" s="926"/>
      <c r="GM188" s="926"/>
      <c r="GN188" s="926"/>
      <c r="GO188" s="926"/>
      <c r="GP188" s="926"/>
      <c r="GQ188" s="926"/>
      <c r="GR188" s="926"/>
      <c r="GS188" s="926"/>
      <c r="GT188" s="926"/>
      <c r="GU188" s="926"/>
      <c r="GV188" s="926"/>
      <c r="GW188" s="926"/>
      <c r="GX188" s="926"/>
      <c r="GY188" s="926"/>
      <c r="GZ188" s="926"/>
      <c r="HA188" s="926"/>
      <c r="HB188" s="926"/>
      <c r="HC188" s="926"/>
      <c r="HD188" s="926"/>
      <c r="HE188" s="926"/>
      <c r="HF188" s="926"/>
      <c r="HG188" s="926"/>
      <c r="HH188" s="926"/>
      <c r="HI188" s="926"/>
      <c r="HJ188" s="926"/>
      <c r="HK188" s="926"/>
      <c r="HL188" s="926"/>
      <c r="HM188" s="926"/>
      <c r="HN188" s="926"/>
      <c r="HO188" s="926"/>
      <c r="HP188" s="926"/>
      <c r="HQ188" s="926"/>
      <c r="HR188" s="926"/>
      <c r="HS188" s="926"/>
      <c r="HT188" s="926"/>
      <c r="HU188" s="926"/>
      <c r="HV188" s="926"/>
      <c r="HW188" s="926"/>
      <c r="HX188" s="926"/>
      <c r="HY188" s="926"/>
      <c r="HZ188" s="926"/>
      <c r="IA188" s="926"/>
      <c r="IB188" s="926"/>
      <c r="IC188" s="926"/>
      <c r="ID188" s="926"/>
      <c r="IE188" s="926"/>
      <c r="IF188" s="926"/>
      <c r="IG188" s="926"/>
      <c r="IH188" s="926"/>
      <c r="II188" s="926"/>
      <c r="IJ188" s="926"/>
      <c r="IK188" s="926"/>
      <c r="IL188" s="926"/>
      <c r="IM188" s="926"/>
    </row>
    <row r="189" spans="1:247" x14ac:dyDescent="0.45">
      <c r="A189" s="441">
        <v>7442</v>
      </c>
      <c r="B189" s="939" t="s">
        <v>2725</v>
      </c>
      <c r="C189" s="47" t="s">
        <v>35</v>
      </c>
      <c r="D189" s="449" t="s">
        <v>2545</v>
      </c>
      <c r="E189" s="946"/>
      <c r="F189" s="941">
        <f t="shared" si="29"/>
        <v>1.0209999999999999</v>
      </c>
      <c r="G189" s="947">
        <f t="shared" si="47"/>
        <v>1.0269999999999999</v>
      </c>
      <c r="H189" s="946"/>
      <c r="I189" s="948"/>
      <c r="J189" s="948">
        <f t="shared" si="49"/>
        <v>1.0049999999999999</v>
      </c>
      <c r="K189" s="948"/>
      <c r="L189" s="948"/>
      <c r="M189" s="948"/>
      <c r="N189" s="947">
        <f t="shared" si="50"/>
        <v>1.0029999999999999</v>
      </c>
      <c r="O189" s="949"/>
      <c r="P189" s="946">
        <f t="shared" si="52"/>
        <v>1.032</v>
      </c>
      <c r="Q189" s="947">
        <f t="shared" si="53"/>
        <v>1.0349999999999999</v>
      </c>
      <c r="R189" s="950">
        <f t="shared" si="30"/>
        <v>1.12897214704308</v>
      </c>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6"/>
      <c r="AV189" s="926"/>
      <c r="AW189" s="926"/>
      <c r="AX189" s="926"/>
      <c r="AY189" s="926"/>
      <c r="AZ189" s="926"/>
      <c r="BA189" s="926"/>
      <c r="BB189" s="926"/>
      <c r="BC189" s="926"/>
      <c r="BD189" s="926"/>
      <c r="BE189" s="926"/>
      <c r="BF189" s="926"/>
      <c r="BG189" s="926"/>
      <c r="BH189" s="926"/>
      <c r="BI189" s="926"/>
      <c r="BJ189" s="926"/>
      <c r="BK189" s="926"/>
      <c r="BL189" s="926"/>
      <c r="BM189" s="926"/>
      <c r="BN189" s="926"/>
      <c r="BO189" s="926"/>
      <c r="BP189" s="926"/>
      <c r="BQ189" s="926"/>
      <c r="BR189" s="926"/>
      <c r="BS189" s="926"/>
      <c r="BT189" s="926"/>
      <c r="BU189" s="926"/>
      <c r="BV189" s="926"/>
      <c r="BW189" s="926"/>
      <c r="BX189" s="926"/>
      <c r="BY189" s="926"/>
      <c r="BZ189" s="926"/>
      <c r="CA189" s="926"/>
      <c r="CB189" s="926"/>
      <c r="CC189" s="926"/>
      <c r="CD189" s="926"/>
      <c r="CE189" s="926"/>
      <c r="CF189" s="926"/>
      <c r="CG189" s="926"/>
      <c r="CH189" s="926"/>
      <c r="CI189" s="926"/>
      <c r="CJ189" s="926"/>
      <c r="CK189" s="926"/>
      <c r="CL189" s="926"/>
      <c r="CM189" s="926"/>
      <c r="CN189" s="926"/>
      <c r="CO189" s="926"/>
      <c r="CP189" s="926"/>
      <c r="CQ189" s="926"/>
      <c r="CR189" s="926"/>
      <c r="CS189" s="926"/>
      <c r="CT189" s="926"/>
      <c r="CU189" s="926"/>
      <c r="CV189" s="926"/>
      <c r="CW189" s="926"/>
      <c r="CX189" s="926"/>
      <c r="CY189" s="926"/>
      <c r="CZ189" s="926"/>
      <c r="DA189" s="926"/>
      <c r="DB189" s="926"/>
      <c r="DC189" s="926"/>
      <c r="DD189" s="926"/>
      <c r="DE189" s="926"/>
      <c r="DF189" s="926"/>
      <c r="DG189" s="926"/>
      <c r="DH189" s="926"/>
      <c r="DI189" s="926"/>
      <c r="DJ189" s="926"/>
      <c r="DK189" s="926"/>
      <c r="DL189" s="926"/>
      <c r="DM189" s="926"/>
      <c r="DN189" s="926"/>
      <c r="DO189" s="926"/>
      <c r="DP189" s="926"/>
      <c r="DQ189" s="926"/>
      <c r="DR189" s="926"/>
      <c r="DS189" s="926"/>
      <c r="DT189" s="926"/>
      <c r="DU189" s="926"/>
      <c r="DV189" s="926"/>
      <c r="DW189" s="926"/>
      <c r="DX189" s="926"/>
      <c r="DY189" s="926"/>
      <c r="DZ189" s="926"/>
      <c r="EA189" s="926"/>
      <c r="EB189" s="926"/>
      <c r="EC189" s="926"/>
      <c r="ED189" s="926"/>
      <c r="EE189" s="926"/>
      <c r="EF189" s="926"/>
      <c r="EG189" s="926"/>
      <c r="EH189" s="926"/>
      <c r="EI189" s="926"/>
      <c r="EJ189" s="926"/>
      <c r="EK189" s="926"/>
      <c r="EL189" s="926"/>
      <c r="EM189" s="926"/>
      <c r="EN189" s="926"/>
      <c r="EO189" s="926"/>
      <c r="EP189" s="926"/>
      <c r="EQ189" s="926"/>
      <c r="ER189" s="926"/>
      <c r="ES189" s="926"/>
      <c r="ET189" s="926"/>
      <c r="EU189" s="926"/>
      <c r="EV189" s="926"/>
      <c r="EW189" s="926"/>
      <c r="EX189" s="926"/>
      <c r="EY189" s="926"/>
      <c r="EZ189" s="926"/>
      <c r="FA189" s="926"/>
      <c r="FB189" s="926"/>
      <c r="FC189" s="926"/>
      <c r="FD189" s="926"/>
      <c r="FE189" s="926"/>
      <c r="FF189" s="926"/>
      <c r="FG189" s="926"/>
      <c r="FH189" s="926"/>
      <c r="FI189" s="926"/>
      <c r="FJ189" s="926"/>
      <c r="FK189" s="926"/>
      <c r="FL189" s="926"/>
      <c r="FM189" s="926"/>
      <c r="FN189" s="926"/>
      <c r="FO189" s="926"/>
      <c r="FP189" s="926"/>
      <c r="FQ189" s="926"/>
      <c r="FR189" s="926"/>
      <c r="FS189" s="926"/>
      <c r="FT189" s="926"/>
      <c r="FU189" s="926"/>
      <c r="FV189" s="926"/>
      <c r="FW189" s="926"/>
      <c r="FX189" s="926"/>
      <c r="FY189" s="926"/>
      <c r="FZ189" s="926"/>
      <c r="GA189" s="926"/>
      <c r="GB189" s="926"/>
      <c r="GC189" s="926"/>
      <c r="GD189" s="926"/>
      <c r="GE189" s="926"/>
      <c r="GF189" s="926"/>
      <c r="GG189" s="926"/>
      <c r="GH189" s="926"/>
      <c r="GI189" s="926"/>
      <c r="GJ189" s="926"/>
      <c r="GK189" s="926"/>
      <c r="GL189" s="926"/>
      <c r="GM189" s="926"/>
      <c r="GN189" s="926"/>
      <c r="GO189" s="926"/>
      <c r="GP189" s="926"/>
      <c r="GQ189" s="926"/>
      <c r="GR189" s="926"/>
      <c r="GS189" s="926"/>
      <c r="GT189" s="926"/>
      <c r="GU189" s="926"/>
      <c r="GV189" s="926"/>
      <c r="GW189" s="926"/>
      <c r="GX189" s="926"/>
      <c r="GY189" s="926"/>
      <c r="GZ189" s="926"/>
      <c r="HA189" s="926"/>
      <c r="HB189" s="926"/>
      <c r="HC189" s="926"/>
      <c r="HD189" s="926"/>
      <c r="HE189" s="926"/>
      <c r="HF189" s="926"/>
      <c r="HG189" s="926"/>
      <c r="HH189" s="926"/>
      <c r="HI189" s="926"/>
      <c r="HJ189" s="926"/>
      <c r="HK189" s="926"/>
      <c r="HL189" s="926"/>
      <c r="HM189" s="926"/>
      <c r="HN189" s="926"/>
      <c r="HO189" s="926"/>
      <c r="HP189" s="926"/>
      <c r="HQ189" s="926"/>
      <c r="HR189" s="926"/>
      <c r="HS189" s="926"/>
      <c r="HT189" s="926"/>
      <c r="HU189" s="926"/>
      <c r="HV189" s="926"/>
      <c r="HW189" s="926"/>
      <c r="HX189" s="926"/>
      <c r="HY189" s="926"/>
      <c r="HZ189" s="926"/>
      <c r="IA189" s="926"/>
      <c r="IB189" s="926"/>
      <c r="IC189" s="926"/>
      <c r="ID189" s="926"/>
      <c r="IE189" s="926"/>
      <c r="IF189" s="926"/>
      <c r="IG189" s="926"/>
      <c r="IH189" s="926"/>
      <c r="II189" s="926"/>
      <c r="IJ189" s="926"/>
      <c r="IK189" s="926"/>
      <c r="IL189" s="926"/>
      <c r="IM189" s="926"/>
    </row>
    <row r="190" spans="1:247" x14ac:dyDescent="0.45">
      <c r="A190" s="441">
        <v>7443</v>
      </c>
      <c r="B190" s="939" t="s">
        <v>2726</v>
      </c>
      <c r="C190" s="47" t="s">
        <v>35</v>
      </c>
      <c r="D190" s="449" t="s">
        <v>2545</v>
      </c>
      <c r="E190" s="946"/>
      <c r="F190" s="941">
        <f t="shared" si="29"/>
        <v>1.0209999999999999</v>
      </c>
      <c r="G190" s="947"/>
      <c r="H190" s="946">
        <f>+$H$3</f>
        <v>1.0029999999999999</v>
      </c>
      <c r="I190" s="948">
        <f>+$I$3</f>
        <v>1.0289999999999999</v>
      </c>
      <c r="J190" s="948">
        <f t="shared" si="49"/>
        <v>1.0049999999999999</v>
      </c>
      <c r="K190" s="948"/>
      <c r="L190" s="948"/>
      <c r="M190" s="948"/>
      <c r="N190" s="947"/>
      <c r="O190" s="949"/>
      <c r="P190" s="946"/>
      <c r="Q190" s="947"/>
      <c r="R190" s="950">
        <f t="shared" si="30"/>
        <v>1.0590296311349996</v>
      </c>
      <c r="S190" s="926"/>
      <c r="T190" s="926"/>
      <c r="U190" s="926"/>
      <c r="V190" s="926"/>
      <c r="W190" s="926"/>
      <c r="X190" s="926"/>
      <c r="Y190" s="926"/>
      <c r="Z190" s="926"/>
      <c r="AA190" s="926"/>
      <c r="AB190" s="926"/>
      <c r="AC190" s="926"/>
      <c r="AD190" s="926"/>
      <c r="AE190" s="926"/>
      <c r="AF190" s="926"/>
      <c r="AG190" s="926"/>
      <c r="AH190" s="926"/>
      <c r="AI190" s="926"/>
      <c r="AJ190" s="926"/>
      <c r="AK190" s="926"/>
      <c r="AL190" s="926"/>
      <c r="AM190" s="926"/>
      <c r="AN190" s="926"/>
      <c r="AO190" s="926"/>
      <c r="AP190" s="926"/>
      <c r="AQ190" s="926"/>
      <c r="AR190" s="926"/>
      <c r="AS190" s="926"/>
      <c r="AT190" s="926"/>
      <c r="AU190" s="926"/>
      <c r="AV190" s="926"/>
      <c r="AW190" s="926"/>
      <c r="AX190" s="926"/>
      <c r="AY190" s="926"/>
      <c r="AZ190" s="926"/>
      <c r="BA190" s="926"/>
      <c r="BB190" s="926"/>
      <c r="BC190" s="926"/>
      <c r="BD190" s="926"/>
      <c r="BE190" s="926"/>
      <c r="BF190" s="926"/>
      <c r="BG190" s="926"/>
      <c r="BH190" s="926"/>
      <c r="BI190" s="926"/>
      <c r="BJ190" s="926"/>
      <c r="BK190" s="926"/>
      <c r="BL190" s="926"/>
      <c r="BM190" s="926"/>
      <c r="BN190" s="926"/>
      <c r="BO190" s="926"/>
      <c r="BP190" s="926"/>
      <c r="BQ190" s="926"/>
      <c r="BR190" s="926"/>
      <c r="BS190" s="926"/>
      <c r="BT190" s="926"/>
      <c r="BU190" s="926"/>
      <c r="BV190" s="926"/>
      <c r="BW190" s="926"/>
      <c r="BX190" s="926"/>
      <c r="BY190" s="926"/>
      <c r="BZ190" s="926"/>
      <c r="CA190" s="926"/>
      <c r="CB190" s="926"/>
      <c r="CC190" s="926"/>
      <c r="CD190" s="926"/>
      <c r="CE190" s="926"/>
      <c r="CF190" s="926"/>
      <c r="CG190" s="926"/>
      <c r="CH190" s="926"/>
      <c r="CI190" s="926"/>
      <c r="CJ190" s="926"/>
      <c r="CK190" s="926"/>
      <c r="CL190" s="926"/>
      <c r="CM190" s="926"/>
      <c r="CN190" s="926"/>
      <c r="CO190" s="926"/>
      <c r="CP190" s="926"/>
      <c r="CQ190" s="926"/>
      <c r="CR190" s="926"/>
      <c r="CS190" s="926"/>
      <c r="CT190" s="926"/>
      <c r="CU190" s="926"/>
      <c r="CV190" s="926"/>
      <c r="CW190" s="926"/>
      <c r="CX190" s="926"/>
      <c r="CY190" s="926"/>
      <c r="CZ190" s="926"/>
      <c r="DA190" s="926"/>
      <c r="DB190" s="926"/>
      <c r="DC190" s="926"/>
      <c r="DD190" s="926"/>
      <c r="DE190" s="926"/>
      <c r="DF190" s="926"/>
      <c r="DG190" s="926"/>
      <c r="DH190" s="926"/>
      <c r="DI190" s="926"/>
      <c r="DJ190" s="926"/>
      <c r="DK190" s="926"/>
      <c r="DL190" s="926"/>
      <c r="DM190" s="926"/>
      <c r="DN190" s="926"/>
      <c r="DO190" s="926"/>
      <c r="DP190" s="926"/>
      <c r="DQ190" s="926"/>
      <c r="DR190" s="926"/>
      <c r="DS190" s="926"/>
      <c r="DT190" s="926"/>
      <c r="DU190" s="926"/>
      <c r="DV190" s="926"/>
      <c r="DW190" s="926"/>
      <c r="DX190" s="926"/>
      <c r="DY190" s="926"/>
      <c r="DZ190" s="926"/>
      <c r="EA190" s="926"/>
      <c r="EB190" s="926"/>
      <c r="EC190" s="926"/>
      <c r="ED190" s="926"/>
      <c r="EE190" s="926"/>
      <c r="EF190" s="926"/>
      <c r="EG190" s="926"/>
      <c r="EH190" s="926"/>
      <c r="EI190" s="926"/>
      <c r="EJ190" s="926"/>
      <c r="EK190" s="926"/>
      <c r="EL190" s="926"/>
      <c r="EM190" s="926"/>
      <c r="EN190" s="926"/>
      <c r="EO190" s="926"/>
      <c r="EP190" s="926"/>
      <c r="EQ190" s="926"/>
      <c r="ER190" s="926"/>
      <c r="ES190" s="926"/>
      <c r="ET190" s="926"/>
      <c r="EU190" s="926"/>
      <c r="EV190" s="926"/>
      <c r="EW190" s="926"/>
      <c r="EX190" s="926"/>
      <c r="EY190" s="926"/>
      <c r="EZ190" s="926"/>
      <c r="FA190" s="926"/>
      <c r="FB190" s="926"/>
      <c r="FC190" s="926"/>
      <c r="FD190" s="926"/>
      <c r="FE190" s="926"/>
      <c r="FF190" s="926"/>
      <c r="FG190" s="926"/>
      <c r="FH190" s="926"/>
      <c r="FI190" s="926"/>
      <c r="FJ190" s="926"/>
      <c r="FK190" s="926"/>
      <c r="FL190" s="926"/>
      <c r="FM190" s="926"/>
      <c r="FN190" s="926"/>
      <c r="FO190" s="926"/>
      <c r="FP190" s="926"/>
      <c r="FQ190" s="926"/>
      <c r="FR190" s="926"/>
      <c r="FS190" s="926"/>
      <c r="FT190" s="926"/>
      <c r="FU190" s="926"/>
      <c r="FV190" s="926"/>
      <c r="FW190" s="926"/>
      <c r="FX190" s="926"/>
      <c r="FY190" s="926"/>
      <c r="FZ190" s="926"/>
      <c r="GA190" s="926"/>
      <c r="GB190" s="926"/>
      <c r="GC190" s="926"/>
      <c r="GD190" s="926"/>
      <c r="GE190" s="926"/>
      <c r="GF190" s="926"/>
      <c r="GG190" s="926"/>
      <c r="GH190" s="926"/>
      <c r="GI190" s="926"/>
      <c r="GJ190" s="926"/>
      <c r="GK190" s="926"/>
      <c r="GL190" s="926"/>
      <c r="GM190" s="926"/>
      <c r="GN190" s="926"/>
      <c r="GO190" s="926"/>
      <c r="GP190" s="926"/>
      <c r="GQ190" s="926"/>
      <c r="GR190" s="926"/>
      <c r="GS190" s="926"/>
      <c r="GT190" s="926"/>
      <c r="GU190" s="926"/>
      <c r="GV190" s="926"/>
      <c r="GW190" s="926"/>
      <c r="GX190" s="926"/>
      <c r="GY190" s="926"/>
      <c r="GZ190" s="926"/>
      <c r="HA190" s="926"/>
      <c r="HB190" s="926"/>
      <c r="HC190" s="926"/>
      <c r="HD190" s="926"/>
      <c r="HE190" s="926"/>
      <c r="HF190" s="926"/>
      <c r="HG190" s="926"/>
      <c r="HH190" s="926"/>
      <c r="HI190" s="926"/>
      <c r="HJ190" s="926"/>
      <c r="HK190" s="926"/>
      <c r="HL190" s="926"/>
      <c r="HM190" s="926"/>
      <c r="HN190" s="926"/>
      <c r="HO190" s="926"/>
      <c r="HP190" s="926"/>
      <c r="HQ190" s="926"/>
      <c r="HR190" s="926"/>
      <c r="HS190" s="926"/>
      <c r="HT190" s="926"/>
      <c r="HU190" s="926"/>
      <c r="HV190" s="926"/>
      <c r="HW190" s="926"/>
      <c r="HX190" s="926"/>
      <c r="HY190" s="926"/>
      <c r="HZ190" s="926"/>
      <c r="IA190" s="926"/>
      <c r="IB190" s="926"/>
      <c r="IC190" s="926"/>
      <c r="ID190" s="926"/>
      <c r="IE190" s="926"/>
      <c r="IF190" s="926"/>
      <c r="IG190" s="926"/>
      <c r="IH190" s="926"/>
      <c r="II190" s="926"/>
      <c r="IJ190" s="926"/>
      <c r="IK190" s="926"/>
      <c r="IL190" s="926"/>
      <c r="IM190" s="926"/>
    </row>
    <row r="191" spans="1:247" x14ac:dyDescent="0.45">
      <c r="A191" s="441">
        <v>7444</v>
      </c>
      <c r="B191" s="939" t="s">
        <v>2727</v>
      </c>
      <c r="C191" s="47" t="s">
        <v>35</v>
      </c>
      <c r="D191" s="449" t="s">
        <v>2545</v>
      </c>
      <c r="E191" s="946"/>
      <c r="F191" s="941">
        <f t="shared" si="29"/>
        <v>1.0209999999999999</v>
      </c>
      <c r="G191" s="947"/>
      <c r="H191" s="946"/>
      <c r="I191" s="948"/>
      <c r="J191" s="948"/>
      <c r="K191" s="948"/>
      <c r="L191" s="948"/>
      <c r="M191" s="948"/>
      <c r="N191" s="947"/>
      <c r="O191" s="949"/>
      <c r="P191" s="946"/>
      <c r="Q191" s="947"/>
      <c r="R191" s="950">
        <f t="shared" si="30"/>
        <v>1.0209999999999999</v>
      </c>
      <c r="S191" s="926"/>
      <c r="T191" s="926"/>
      <c r="U191" s="926"/>
      <c r="V191" s="926"/>
      <c r="W191" s="926"/>
      <c r="X191" s="926"/>
      <c r="Y191" s="926"/>
      <c r="Z191" s="926"/>
      <c r="AA191" s="926"/>
      <c r="AB191" s="926"/>
      <c r="AC191" s="926"/>
      <c r="AD191" s="926"/>
      <c r="AE191" s="926"/>
      <c r="AF191" s="926"/>
      <c r="AG191" s="926"/>
      <c r="AH191" s="926"/>
      <c r="AI191" s="926"/>
      <c r="AJ191" s="926"/>
      <c r="AK191" s="926"/>
      <c r="AL191" s="926"/>
      <c r="AM191" s="926"/>
      <c r="AN191" s="926"/>
      <c r="AO191" s="926"/>
      <c r="AP191" s="926"/>
      <c r="AQ191" s="926"/>
      <c r="AR191" s="926"/>
      <c r="AS191" s="926"/>
      <c r="AT191" s="926"/>
      <c r="AU191" s="926"/>
      <c r="AV191" s="926"/>
      <c r="AW191" s="926"/>
      <c r="AX191" s="926"/>
      <c r="AY191" s="926"/>
      <c r="AZ191" s="926"/>
      <c r="BA191" s="926"/>
      <c r="BB191" s="926"/>
      <c r="BC191" s="926"/>
      <c r="BD191" s="926"/>
      <c r="BE191" s="926"/>
      <c r="BF191" s="926"/>
      <c r="BG191" s="926"/>
      <c r="BH191" s="926"/>
      <c r="BI191" s="926"/>
      <c r="BJ191" s="926"/>
      <c r="BK191" s="926"/>
      <c r="BL191" s="926"/>
      <c r="BM191" s="926"/>
      <c r="BN191" s="926"/>
      <c r="BO191" s="926"/>
      <c r="BP191" s="926"/>
      <c r="BQ191" s="926"/>
      <c r="BR191" s="926"/>
      <c r="BS191" s="926"/>
      <c r="BT191" s="926"/>
      <c r="BU191" s="926"/>
      <c r="BV191" s="926"/>
      <c r="BW191" s="926"/>
      <c r="BX191" s="926"/>
      <c r="BY191" s="926"/>
      <c r="BZ191" s="926"/>
      <c r="CA191" s="926"/>
      <c r="CB191" s="926"/>
      <c r="CC191" s="926"/>
      <c r="CD191" s="926"/>
      <c r="CE191" s="926"/>
      <c r="CF191" s="926"/>
      <c r="CG191" s="926"/>
      <c r="CH191" s="926"/>
      <c r="CI191" s="926"/>
      <c r="CJ191" s="926"/>
      <c r="CK191" s="926"/>
      <c r="CL191" s="926"/>
      <c r="CM191" s="926"/>
      <c r="CN191" s="926"/>
      <c r="CO191" s="926"/>
      <c r="CP191" s="926"/>
      <c r="CQ191" s="926"/>
      <c r="CR191" s="926"/>
      <c r="CS191" s="926"/>
      <c r="CT191" s="926"/>
      <c r="CU191" s="926"/>
      <c r="CV191" s="926"/>
      <c r="CW191" s="926"/>
      <c r="CX191" s="926"/>
      <c r="CY191" s="926"/>
      <c r="CZ191" s="926"/>
      <c r="DA191" s="926"/>
      <c r="DB191" s="926"/>
      <c r="DC191" s="926"/>
      <c r="DD191" s="926"/>
      <c r="DE191" s="926"/>
      <c r="DF191" s="926"/>
      <c r="DG191" s="926"/>
      <c r="DH191" s="926"/>
      <c r="DI191" s="926"/>
      <c r="DJ191" s="926"/>
      <c r="DK191" s="926"/>
      <c r="DL191" s="926"/>
      <c r="DM191" s="926"/>
      <c r="DN191" s="926"/>
      <c r="DO191" s="926"/>
      <c r="DP191" s="926"/>
      <c r="DQ191" s="926"/>
      <c r="DR191" s="926"/>
      <c r="DS191" s="926"/>
      <c r="DT191" s="926"/>
      <c r="DU191" s="926"/>
      <c r="DV191" s="926"/>
      <c r="DW191" s="926"/>
      <c r="DX191" s="926"/>
      <c r="DY191" s="926"/>
      <c r="DZ191" s="926"/>
      <c r="EA191" s="926"/>
      <c r="EB191" s="926"/>
      <c r="EC191" s="926"/>
      <c r="ED191" s="926"/>
      <c r="EE191" s="926"/>
      <c r="EF191" s="926"/>
      <c r="EG191" s="926"/>
      <c r="EH191" s="926"/>
      <c r="EI191" s="926"/>
      <c r="EJ191" s="926"/>
      <c r="EK191" s="926"/>
      <c r="EL191" s="926"/>
      <c r="EM191" s="926"/>
      <c r="EN191" s="926"/>
      <c r="EO191" s="926"/>
      <c r="EP191" s="926"/>
      <c r="EQ191" s="926"/>
      <c r="ER191" s="926"/>
      <c r="ES191" s="926"/>
      <c r="ET191" s="926"/>
      <c r="EU191" s="926"/>
      <c r="EV191" s="926"/>
      <c r="EW191" s="926"/>
      <c r="EX191" s="926"/>
      <c r="EY191" s="926"/>
      <c r="EZ191" s="926"/>
      <c r="FA191" s="926"/>
      <c r="FB191" s="926"/>
      <c r="FC191" s="926"/>
      <c r="FD191" s="926"/>
      <c r="FE191" s="926"/>
      <c r="FF191" s="926"/>
      <c r="FG191" s="926"/>
      <c r="FH191" s="926"/>
      <c r="FI191" s="926"/>
      <c r="FJ191" s="926"/>
      <c r="FK191" s="926"/>
      <c r="FL191" s="926"/>
      <c r="FM191" s="926"/>
      <c r="FN191" s="926"/>
      <c r="FO191" s="926"/>
      <c r="FP191" s="926"/>
      <c r="FQ191" s="926"/>
      <c r="FR191" s="926"/>
      <c r="FS191" s="926"/>
      <c r="FT191" s="926"/>
      <c r="FU191" s="926"/>
      <c r="FV191" s="926"/>
      <c r="FW191" s="926"/>
      <c r="FX191" s="926"/>
      <c r="FY191" s="926"/>
      <c r="FZ191" s="926"/>
      <c r="GA191" s="926"/>
      <c r="GB191" s="926"/>
      <c r="GC191" s="926"/>
      <c r="GD191" s="926"/>
      <c r="GE191" s="926"/>
      <c r="GF191" s="926"/>
      <c r="GG191" s="926"/>
      <c r="GH191" s="926"/>
      <c r="GI191" s="926"/>
      <c r="GJ191" s="926"/>
      <c r="GK191" s="926"/>
      <c r="GL191" s="926"/>
      <c r="GM191" s="926"/>
      <c r="GN191" s="926"/>
      <c r="GO191" s="926"/>
      <c r="GP191" s="926"/>
      <c r="GQ191" s="926"/>
      <c r="GR191" s="926"/>
      <c r="GS191" s="926"/>
      <c r="GT191" s="926"/>
      <c r="GU191" s="926"/>
      <c r="GV191" s="926"/>
      <c r="GW191" s="926"/>
      <c r="GX191" s="926"/>
      <c r="GY191" s="926"/>
      <c r="GZ191" s="926"/>
      <c r="HA191" s="926"/>
      <c r="HB191" s="926"/>
      <c r="HC191" s="926"/>
      <c r="HD191" s="926"/>
      <c r="HE191" s="926"/>
      <c r="HF191" s="926"/>
      <c r="HG191" s="926"/>
      <c r="HH191" s="926"/>
      <c r="HI191" s="926"/>
      <c r="HJ191" s="926"/>
      <c r="HK191" s="926"/>
      <c r="HL191" s="926"/>
      <c r="HM191" s="926"/>
      <c r="HN191" s="926"/>
      <c r="HO191" s="926"/>
      <c r="HP191" s="926"/>
      <c r="HQ191" s="926"/>
      <c r="HR191" s="926"/>
      <c r="HS191" s="926"/>
      <c r="HT191" s="926"/>
      <c r="HU191" s="926"/>
      <c r="HV191" s="926"/>
      <c r="HW191" s="926"/>
      <c r="HX191" s="926"/>
      <c r="HY191" s="926"/>
      <c r="HZ191" s="926"/>
      <c r="IA191" s="926"/>
      <c r="IB191" s="926"/>
      <c r="IC191" s="926"/>
      <c r="ID191" s="926"/>
      <c r="IE191" s="926"/>
      <c r="IF191" s="926"/>
      <c r="IG191" s="926"/>
      <c r="IH191" s="926"/>
      <c r="II191" s="926"/>
      <c r="IJ191" s="926"/>
      <c r="IK191" s="926"/>
      <c r="IL191" s="926"/>
      <c r="IM191" s="926"/>
    </row>
    <row r="192" spans="1:247" x14ac:dyDescent="0.45">
      <c r="A192" s="441">
        <v>7445</v>
      </c>
      <c r="B192" s="939" t="s">
        <v>2728</v>
      </c>
      <c r="C192" s="47" t="s">
        <v>35</v>
      </c>
      <c r="D192" s="449" t="s">
        <v>2545</v>
      </c>
      <c r="E192" s="946"/>
      <c r="F192" s="941">
        <f t="shared" si="29"/>
        <v>1.0209999999999999</v>
      </c>
      <c r="G192" s="947"/>
      <c r="H192" s="946"/>
      <c r="I192" s="948"/>
      <c r="J192" s="948"/>
      <c r="K192" s="948"/>
      <c r="L192" s="948"/>
      <c r="M192" s="948"/>
      <c r="N192" s="947"/>
      <c r="O192" s="949"/>
      <c r="P192" s="946"/>
      <c r="Q192" s="947"/>
      <c r="R192" s="950">
        <f t="shared" si="30"/>
        <v>1.0209999999999999</v>
      </c>
      <c r="S192" s="926"/>
      <c r="T192" s="926"/>
      <c r="U192" s="926"/>
      <c r="V192" s="926"/>
      <c r="W192" s="926"/>
      <c r="X192" s="926"/>
      <c r="Y192" s="926"/>
      <c r="Z192" s="926"/>
      <c r="AA192" s="926"/>
      <c r="AB192" s="926"/>
      <c r="AC192" s="926"/>
      <c r="AD192" s="926"/>
      <c r="AE192" s="926"/>
      <c r="AF192" s="926"/>
      <c r="AG192" s="926"/>
      <c r="AH192" s="926"/>
      <c r="AI192" s="926"/>
      <c r="AJ192" s="926"/>
      <c r="AK192" s="926"/>
      <c r="AL192" s="926"/>
      <c r="AM192" s="926"/>
      <c r="AN192" s="926"/>
      <c r="AO192" s="926"/>
      <c r="AP192" s="926"/>
      <c r="AQ192" s="926"/>
      <c r="AR192" s="926"/>
      <c r="AS192" s="926"/>
      <c r="AT192" s="926"/>
      <c r="AU192" s="926"/>
      <c r="AV192" s="926"/>
      <c r="AW192" s="926"/>
      <c r="AX192" s="926"/>
      <c r="AY192" s="926"/>
      <c r="AZ192" s="926"/>
      <c r="BA192" s="926"/>
      <c r="BB192" s="926"/>
      <c r="BC192" s="926"/>
      <c r="BD192" s="926"/>
      <c r="BE192" s="926"/>
      <c r="BF192" s="926"/>
      <c r="BG192" s="926"/>
      <c r="BH192" s="926"/>
      <c r="BI192" s="926"/>
      <c r="BJ192" s="926"/>
      <c r="BK192" s="926"/>
      <c r="BL192" s="926"/>
      <c r="BM192" s="926"/>
      <c r="BN192" s="926"/>
      <c r="BO192" s="926"/>
      <c r="BP192" s="926"/>
      <c r="BQ192" s="926"/>
      <c r="BR192" s="926"/>
      <c r="BS192" s="926"/>
      <c r="BT192" s="926"/>
      <c r="BU192" s="926"/>
      <c r="BV192" s="926"/>
      <c r="BW192" s="926"/>
      <c r="BX192" s="926"/>
      <c r="BY192" s="926"/>
      <c r="BZ192" s="926"/>
      <c r="CA192" s="926"/>
      <c r="CB192" s="926"/>
      <c r="CC192" s="926"/>
      <c r="CD192" s="926"/>
      <c r="CE192" s="926"/>
      <c r="CF192" s="926"/>
      <c r="CG192" s="926"/>
      <c r="CH192" s="926"/>
      <c r="CI192" s="926"/>
      <c r="CJ192" s="926"/>
      <c r="CK192" s="926"/>
      <c r="CL192" s="926"/>
      <c r="CM192" s="926"/>
      <c r="CN192" s="926"/>
      <c r="CO192" s="926"/>
      <c r="CP192" s="926"/>
      <c r="CQ192" s="926"/>
      <c r="CR192" s="926"/>
      <c r="CS192" s="926"/>
      <c r="CT192" s="926"/>
      <c r="CU192" s="926"/>
      <c r="CV192" s="926"/>
      <c r="CW192" s="926"/>
      <c r="CX192" s="926"/>
      <c r="CY192" s="926"/>
      <c r="CZ192" s="926"/>
      <c r="DA192" s="926"/>
      <c r="DB192" s="926"/>
      <c r="DC192" s="926"/>
      <c r="DD192" s="926"/>
      <c r="DE192" s="926"/>
      <c r="DF192" s="926"/>
      <c r="DG192" s="926"/>
      <c r="DH192" s="926"/>
      <c r="DI192" s="926"/>
      <c r="DJ192" s="926"/>
      <c r="DK192" s="926"/>
      <c r="DL192" s="926"/>
      <c r="DM192" s="926"/>
      <c r="DN192" s="926"/>
      <c r="DO192" s="926"/>
      <c r="DP192" s="926"/>
      <c r="DQ192" s="926"/>
      <c r="DR192" s="926"/>
      <c r="DS192" s="926"/>
      <c r="DT192" s="926"/>
      <c r="DU192" s="926"/>
      <c r="DV192" s="926"/>
      <c r="DW192" s="926"/>
      <c r="DX192" s="926"/>
      <c r="DY192" s="926"/>
      <c r="DZ192" s="926"/>
      <c r="EA192" s="926"/>
      <c r="EB192" s="926"/>
      <c r="EC192" s="926"/>
      <c r="ED192" s="926"/>
      <c r="EE192" s="926"/>
      <c r="EF192" s="926"/>
      <c r="EG192" s="926"/>
      <c r="EH192" s="926"/>
      <c r="EI192" s="926"/>
      <c r="EJ192" s="926"/>
      <c r="EK192" s="926"/>
      <c r="EL192" s="926"/>
      <c r="EM192" s="926"/>
      <c r="EN192" s="926"/>
      <c r="EO192" s="926"/>
      <c r="EP192" s="926"/>
      <c r="EQ192" s="926"/>
      <c r="ER192" s="926"/>
      <c r="ES192" s="926"/>
      <c r="ET192" s="926"/>
      <c r="EU192" s="926"/>
      <c r="EV192" s="926"/>
      <c r="EW192" s="926"/>
      <c r="EX192" s="926"/>
      <c r="EY192" s="926"/>
      <c r="EZ192" s="926"/>
      <c r="FA192" s="926"/>
      <c r="FB192" s="926"/>
      <c r="FC192" s="926"/>
      <c r="FD192" s="926"/>
      <c r="FE192" s="926"/>
      <c r="FF192" s="926"/>
      <c r="FG192" s="926"/>
      <c r="FH192" s="926"/>
      <c r="FI192" s="926"/>
      <c r="FJ192" s="926"/>
      <c r="FK192" s="926"/>
      <c r="FL192" s="926"/>
      <c r="FM192" s="926"/>
      <c r="FN192" s="926"/>
      <c r="FO192" s="926"/>
      <c r="FP192" s="926"/>
      <c r="FQ192" s="926"/>
      <c r="FR192" s="926"/>
      <c r="FS192" s="926"/>
      <c r="FT192" s="926"/>
      <c r="FU192" s="926"/>
      <c r="FV192" s="926"/>
      <c r="FW192" s="926"/>
      <c r="FX192" s="926"/>
      <c r="FY192" s="926"/>
      <c r="FZ192" s="926"/>
      <c r="GA192" s="926"/>
      <c r="GB192" s="926"/>
      <c r="GC192" s="926"/>
      <c r="GD192" s="926"/>
      <c r="GE192" s="926"/>
      <c r="GF192" s="926"/>
      <c r="GG192" s="926"/>
      <c r="GH192" s="926"/>
      <c r="GI192" s="926"/>
      <c r="GJ192" s="926"/>
      <c r="GK192" s="926"/>
      <c r="GL192" s="926"/>
      <c r="GM192" s="926"/>
      <c r="GN192" s="926"/>
      <c r="GO192" s="926"/>
      <c r="GP192" s="926"/>
      <c r="GQ192" s="926"/>
      <c r="GR192" s="926"/>
      <c r="GS192" s="926"/>
      <c r="GT192" s="926"/>
      <c r="GU192" s="926"/>
      <c r="GV192" s="926"/>
      <c r="GW192" s="926"/>
      <c r="GX192" s="926"/>
      <c r="GY192" s="926"/>
      <c r="GZ192" s="926"/>
      <c r="HA192" s="926"/>
      <c r="HB192" s="926"/>
      <c r="HC192" s="926"/>
      <c r="HD192" s="926"/>
      <c r="HE192" s="926"/>
      <c r="HF192" s="926"/>
      <c r="HG192" s="926"/>
      <c r="HH192" s="926"/>
      <c r="HI192" s="926"/>
      <c r="HJ192" s="926"/>
      <c r="HK192" s="926"/>
      <c r="HL192" s="926"/>
      <c r="HM192" s="926"/>
      <c r="HN192" s="926"/>
      <c r="HO192" s="926"/>
      <c r="HP192" s="926"/>
      <c r="HQ192" s="926"/>
      <c r="HR192" s="926"/>
      <c r="HS192" s="926"/>
      <c r="HT192" s="926"/>
      <c r="HU192" s="926"/>
      <c r="HV192" s="926"/>
      <c r="HW192" s="926"/>
      <c r="HX192" s="926"/>
      <c r="HY192" s="926"/>
      <c r="HZ192" s="926"/>
      <c r="IA192" s="926"/>
      <c r="IB192" s="926"/>
      <c r="IC192" s="926"/>
      <c r="ID192" s="926"/>
      <c r="IE192" s="926"/>
      <c r="IF192" s="926"/>
      <c r="IG192" s="926"/>
      <c r="IH192" s="926"/>
      <c r="II192" s="926"/>
      <c r="IJ192" s="926"/>
      <c r="IK192" s="926"/>
      <c r="IL192" s="926"/>
      <c r="IM192" s="926"/>
    </row>
    <row r="193" spans="1:247" x14ac:dyDescent="0.45">
      <c r="A193" s="441">
        <v>7446</v>
      </c>
      <c r="B193" s="939" t="s">
        <v>2729</v>
      </c>
      <c r="C193" s="47" t="s">
        <v>35</v>
      </c>
      <c r="D193" s="449" t="s">
        <v>2545</v>
      </c>
      <c r="E193" s="946"/>
      <c r="F193" s="941">
        <f t="shared" si="29"/>
        <v>1.0209999999999999</v>
      </c>
      <c r="G193" s="947"/>
      <c r="H193" s="946"/>
      <c r="I193" s="948"/>
      <c r="J193" s="948"/>
      <c r="K193" s="948"/>
      <c r="L193" s="948"/>
      <c r="M193" s="948"/>
      <c r="N193" s="947"/>
      <c r="O193" s="949"/>
      <c r="P193" s="946"/>
      <c r="Q193" s="947"/>
      <c r="R193" s="950">
        <f t="shared" si="30"/>
        <v>1.0209999999999999</v>
      </c>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6"/>
      <c r="AV193" s="926"/>
      <c r="AW193" s="926"/>
      <c r="AX193" s="926"/>
      <c r="AY193" s="926"/>
      <c r="AZ193" s="926"/>
      <c r="BA193" s="926"/>
      <c r="BB193" s="926"/>
      <c r="BC193" s="926"/>
      <c r="BD193" s="926"/>
      <c r="BE193" s="926"/>
      <c r="BF193" s="926"/>
      <c r="BG193" s="926"/>
      <c r="BH193" s="926"/>
      <c r="BI193" s="926"/>
      <c r="BJ193" s="926"/>
      <c r="BK193" s="926"/>
      <c r="BL193" s="926"/>
      <c r="BM193" s="926"/>
      <c r="BN193" s="926"/>
      <c r="BO193" s="926"/>
      <c r="BP193" s="926"/>
      <c r="BQ193" s="926"/>
      <c r="BR193" s="926"/>
      <c r="BS193" s="926"/>
      <c r="BT193" s="926"/>
      <c r="BU193" s="926"/>
      <c r="BV193" s="926"/>
      <c r="BW193" s="926"/>
      <c r="BX193" s="926"/>
      <c r="BY193" s="926"/>
      <c r="BZ193" s="926"/>
      <c r="CA193" s="926"/>
      <c r="CB193" s="926"/>
      <c r="CC193" s="926"/>
      <c r="CD193" s="926"/>
      <c r="CE193" s="926"/>
      <c r="CF193" s="926"/>
      <c r="CG193" s="926"/>
      <c r="CH193" s="926"/>
      <c r="CI193" s="926"/>
      <c r="CJ193" s="926"/>
      <c r="CK193" s="926"/>
      <c r="CL193" s="926"/>
      <c r="CM193" s="926"/>
      <c r="CN193" s="926"/>
      <c r="CO193" s="926"/>
      <c r="CP193" s="926"/>
      <c r="CQ193" s="926"/>
      <c r="CR193" s="926"/>
      <c r="CS193" s="926"/>
      <c r="CT193" s="926"/>
      <c r="CU193" s="926"/>
      <c r="CV193" s="926"/>
      <c r="CW193" s="926"/>
      <c r="CX193" s="926"/>
      <c r="CY193" s="926"/>
      <c r="CZ193" s="926"/>
      <c r="DA193" s="926"/>
      <c r="DB193" s="926"/>
      <c r="DC193" s="926"/>
      <c r="DD193" s="926"/>
      <c r="DE193" s="926"/>
      <c r="DF193" s="926"/>
      <c r="DG193" s="926"/>
      <c r="DH193" s="926"/>
      <c r="DI193" s="926"/>
      <c r="DJ193" s="926"/>
      <c r="DK193" s="926"/>
      <c r="DL193" s="926"/>
      <c r="DM193" s="926"/>
      <c r="DN193" s="926"/>
      <c r="DO193" s="926"/>
      <c r="DP193" s="926"/>
      <c r="DQ193" s="926"/>
      <c r="DR193" s="926"/>
      <c r="DS193" s="926"/>
      <c r="DT193" s="926"/>
      <c r="DU193" s="926"/>
      <c r="DV193" s="926"/>
      <c r="DW193" s="926"/>
      <c r="DX193" s="926"/>
      <c r="DY193" s="926"/>
      <c r="DZ193" s="926"/>
      <c r="EA193" s="926"/>
      <c r="EB193" s="926"/>
      <c r="EC193" s="926"/>
      <c r="ED193" s="926"/>
      <c r="EE193" s="926"/>
      <c r="EF193" s="926"/>
      <c r="EG193" s="926"/>
      <c r="EH193" s="926"/>
      <c r="EI193" s="926"/>
      <c r="EJ193" s="926"/>
      <c r="EK193" s="926"/>
      <c r="EL193" s="926"/>
      <c r="EM193" s="926"/>
      <c r="EN193" s="926"/>
      <c r="EO193" s="926"/>
      <c r="EP193" s="926"/>
      <c r="EQ193" s="926"/>
      <c r="ER193" s="926"/>
      <c r="ES193" s="926"/>
      <c r="ET193" s="926"/>
      <c r="EU193" s="926"/>
      <c r="EV193" s="926"/>
      <c r="EW193" s="926"/>
      <c r="EX193" s="926"/>
      <c r="EY193" s="926"/>
      <c r="EZ193" s="926"/>
      <c r="FA193" s="926"/>
      <c r="FB193" s="926"/>
      <c r="FC193" s="926"/>
      <c r="FD193" s="926"/>
      <c r="FE193" s="926"/>
      <c r="FF193" s="926"/>
      <c r="FG193" s="926"/>
      <c r="FH193" s="926"/>
      <c r="FI193" s="926"/>
      <c r="FJ193" s="926"/>
      <c r="FK193" s="926"/>
      <c r="FL193" s="926"/>
      <c r="FM193" s="926"/>
      <c r="FN193" s="926"/>
      <c r="FO193" s="926"/>
      <c r="FP193" s="926"/>
      <c r="FQ193" s="926"/>
      <c r="FR193" s="926"/>
      <c r="FS193" s="926"/>
      <c r="FT193" s="926"/>
      <c r="FU193" s="926"/>
      <c r="FV193" s="926"/>
      <c r="FW193" s="926"/>
      <c r="FX193" s="926"/>
      <c r="FY193" s="926"/>
      <c r="FZ193" s="926"/>
      <c r="GA193" s="926"/>
      <c r="GB193" s="926"/>
      <c r="GC193" s="926"/>
      <c r="GD193" s="926"/>
      <c r="GE193" s="926"/>
      <c r="GF193" s="926"/>
      <c r="GG193" s="926"/>
      <c r="GH193" s="926"/>
      <c r="GI193" s="926"/>
      <c r="GJ193" s="926"/>
      <c r="GK193" s="926"/>
      <c r="GL193" s="926"/>
      <c r="GM193" s="926"/>
      <c r="GN193" s="926"/>
      <c r="GO193" s="926"/>
      <c r="GP193" s="926"/>
      <c r="GQ193" s="926"/>
      <c r="GR193" s="926"/>
      <c r="GS193" s="926"/>
      <c r="GT193" s="926"/>
      <c r="GU193" s="926"/>
      <c r="GV193" s="926"/>
      <c r="GW193" s="926"/>
      <c r="GX193" s="926"/>
      <c r="GY193" s="926"/>
      <c r="GZ193" s="926"/>
      <c r="HA193" s="926"/>
      <c r="HB193" s="926"/>
      <c r="HC193" s="926"/>
      <c r="HD193" s="926"/>
      <c r="HE193" s="926"/>
      <c r="HF193" s="926"/>
      <c r="HG193" s="926"/>
      <c r="HH193" s="926"/>
      <c r="HI193" s="926"/>
      <c r="HJ193" s="926"/>
      <c r="HK193" s="926"/>
      <c r="HL193" s="926"/>
      <c r="HM193" s="926"/>
      <c r="HN193" s="926"/>
      <c r="HO193" s="926"/>
      <c r="HP193" s="926"/>
      <c r="HQ193" s="926"/>
      <c r="HR193" s="926"/>
      <c r="HS193" s="926"/>
      <c r="HT193" s="926"/>
      <c r="HU193" s="926"/>
      <c r="HV193" s="926"/>
      <c r="HW193" s="926"/>
      <c r="HX193" s="926"/>
      <c r="HY193" s="926"/>
      <c r="HZ193" s="926"/>
      <c r="IA193" s="926"/>
      <c r="IB193" s="926"/>
      <c r="IC193" s="926"/>
      <c r="ID193" s="926"/>
      <c r="IE193" s="926"/>
      <c r="IF193" s="926"/>
      <c r="IG193" s="926"/>
      <c r="IH193" s="926"/>
      <c r="II193" s="926"/>
      <c r="IJ193" s="926"/>
      <c r="IK193" s="926"/>
      <c r="IL193" s="926"/>
      <c r="IM193" s="926"/>
    </row>
    <row r="194" spans="1:247" x14ac:dyDescent="0.45">
      <c r="A194" s="441">
        <v>7448</v>
      </c>
      <c r="B194" s="939" t="s">
        <v>2730</v>
      </c>
      <c r="C194" s="47" t="s">
        <v>35</v>
      </c>
      <c r="D194" s="449" t="s">
        <v>2545</v>
      </c>
      <c r="E194" s="946"/>
      <c r="F194" s="941">
        <f t="shared" si="29"/>
        <v>1.0209999999999999</v>
      </c>
      <c r="G194" s="947">
        <f>+$G$3</f>
        <v>1.0269999999999999</v>
      </c>
      <c r="H194" s="946"/>
      <c r="I194" s="948"/>
      <c r="J194" s="948"/>
      <c r="K194" s="948"/>
      <c r="L194" s="948">
        <f>+$L$3</f>
        <v>1.0129999999999999</v>
      </c>
      <c r="M194" s="948"/>
      <c r="N194" s="947">
        <f>+$N$3</f>
        <v>1.0029999999999999</v>
      </c>
      <c r="O194" s="949"/>
      <c r="P194" s="946">
        <f t="shared" ref="P194:P199" si="54">+$P$3</f>
        <v>1.032</v>
      </c>
      <c r="Q194" s="947">
        <f t="shared" ref="Q194:Q199" si="55">+$Q$3</f>
        <v>1.0349999999999999</v>
      </c>
      <c r="R194" s="950">
        <f t="shared" si="30"/>
        <v>1.1379589900046172</v>
      </c>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6"/>
      <c r="AV194" s="926"/>
      <c r="AW194" s="926"/>
      <c r="AX194" s="926"/>
      <c r="AY194" s="926"/>
      <c r="AZ194" s="926"/>
      <c r="BA194" s="926"/>
      <c r="BB194" s="926"/>
      <c r="BC194" s="926"/>
      <c r="BD194" s="926"/>
      <c r="BE194" s="926"/>
      <c r="BF194" s="926"/>
      <c r="BG194" s="926"/>
      <c r="BH194" s="926"/>
      <c r="BI194" s="926"/>
      <c r="BJ194" s="926"/>
      <c r="BK194" s="926"/>
      <c r="BL194" s="926"/>
      <c r="BM194" s="926"/>
      <c r="BN194" s="926"/>
      <c r="BO194" s="926"/>
      <c r="BP194" s="926"/>
      <c r="BQ194" s="926"/>
      <c r="BR194" s="926"/>
      <c r="BS194" s="926"/>
      <c r="BT194" s="926"/>
      <c r="BU194" s="926"/>
      <c r="BV194" s="926"/>
      <c r="BW194" s="926"/>
      <c r="BX194" s="926"/>
      <c r="BY194" s="926"/>
      <c r="BZ194" s="926"/>
      <c r="CA194" s="926"/>
      <c r="CB194" s="926"/>
      <c r="CC194" s="926"/>
      <c r="CD194" s="926"/>
      <c r="CE194" s="926"/>
      <c r="CF194" s="926"/>
      <c r="CG194" s="926"/>
      <c r="CH194" s="926"/>
      <c r="CI194" s="926"/>
      <c r="CJ194" s="926"/>
      <c r="CK194" s="926"/>
      <c r="CL194" s="926"/>
      <c r="CM194" s="926"/>
      <c r="CN194" s="926"/>
      <c r="CO194" s="926"/>
      <c r="CP194" s="926"/>
      <c r="CQ194" s="926"/>
      <c r="CR194" s="926"/>
      <c r="CS194" s="926"/>
      <c r="CT194" s="926"/>
      <c r="CU194" s="926"/>
      <c r="CV194" s="926"/>
      <c r="CW194" s="926"/>
      <c r="CX194" s="926"/>
      <c r="CY194" s="926"/>
      <c r="CZ194" s="926"/>
      <c r="DA194" s="926"/>
      <c r="DB194" s="926"/>
      <c r="DC194" s="926"/>
      <c r="DD194" s="926"/>
      <c r="DE194" s="926"/>
      <c r="DF194" s="926"/>
      <c r="DG194" s="926"/>
      <c r="DH194" s="926"/>
      <c r="DI194" s="926"/>
      <c r="DJ194" s="926"/>
      <c r="DK194" s="926"/>
      <c r="DL194" s="926"/>
      <c r="DM194" s="926"/>
      <c r="DN194" s="926"/>
      <c r="DO194" s="926"/>
      <c r="DP194" s="926"/>
      <c r="DQ194" s="926"/>
      <c r="DR194" s="926"/>
      <c r="DS194" s="926"/>
      <c r="DT194" s="926"/>
      <c r="DU194" s="926"/>
      <c r="DV194" s="926"/>
      <c r="DW194" s="926"/>
      <c r="DX194" s="926"/>
      <c r="DY194" s="926"/>
      <c r="DZ194" s="926"/>
      <c r="EA194" s="926"/>
      <c r="EB194" s="926"/>
      <c r="EC194" s="926"/>
      <c r="ED194" s="926"/>
      <c r="EE194" s="926"/>
      <c r="EF194" s="926"/>
      <c r="EG194" s="926"/>
      <c r="EH194" s="926"/>
      <c r="EI194" s="926"/>
      <c r="EJ194" s="926"/>
      <c r="EK194" s="926"/>
      <c r="EL194" s="926"/>
      <c r="EM194" s="926"/>
      <c r="EN194" s="926"/>
      <c r="EO194" s="926"/>
      <c r="EP194" s="926"/>
      <c r="EQ194" s="926"/>
      <c r="ER194" s="926"/>
      <c r="ES194" s="926"/>
      <c r="ET194" s="926"/>
      <c r="EU194" s="926"/>
      <c r="EV194" s="926"/>
      <c r="EW194" s="926"/>
      <c r="EX194" s="926"/>
      <c r="EY194" s="926"/>
      <c r="EZ194" s="926"/>
      <c r="FA194" s="926"/>
      <c r="FB194" s="926"/>
      <c r="FC194" s="926"/>
      <c r="FD194" s="926"/>
      <c r="FE194" s="926"/>
      <c r="FF194" s="926"/>
      <c r="FG194" s="926"/>
      <c r="FH194" s="926"/>
      <c r="FI194" s="926"/>
      <c r="FJ194" s="926"/>
      <c r="FK194" s="926"/>
      <c r="FL194" s="926"/>
      <c r="FM194" s="926"/>
      <c r="FN194" s="926"/>
      <c r="FO194" s="926"/>
      <c r="FP194" s="926"/>
      <c r="FQ194" s="926"/>
      <c r="FR194" s="926"/>
      <c r="FS194" s="926"/>
      <c r="FT194" s="926"/>
      <c r="FU194" s="926"/>
      <c r="FV194" s="926"/>
      <c r="FW194" s="926"/>
      <c r="FX194" s="926"/>
      <c r="FY194" s="926"/>
      <c r="FZ194" s="926"/>
      <c r="GA194" s="926"/>
      <c r="GB194" s="926"/>
      <c r="GC194" s="926"/>
      <c r="GD194" s="926"/>
      <c r="GE194" s="926"/>
      <c r="GF194" s="926"/>
      <c r="GG194" s="926"/>
      <c r="GH194" s="926"/>
      <c r="GI194" s="926"/>
      <c r="GJ194" s="926"/>
      <c r="GK194" s="926"/>
      <c r="GL194" s="926"/>
      <c r="GM194" s="926"/>
      <c r="GN194" s="926"/>
      <c r="GO194" s="926"/>
      <c r="GP194" s="926"/>
      <c r="GQ194" s="926"/>
      <c r="GR194" s="926"/>
      <c r="GS194" s="926"/>
      <c r="GT194" s="926"/>
      <c r="GU194" s="926"/>
      <c r="GV194" s="926"/>
      <c r="GW194" s="926"/>
      <c r="GX194" s="926"/>
      <c r="GY194" s="926"/>
      <c r="GZ194" s="926"/>
      <c r="HA194" s="926"/>
      <c r="HB194" s="926"/>
      <c r="HC194" s="926"/>
      <c r="HD194" s="926"/>
      <c r="HE194" s="926"/>
      <c r="HF194" s="926"/>
      <c r="HG194" s="926"/>
      <c r="HH194" s="926"/>
      <c r="HI194" s="926"/>
      <c r="HJ194" s="926"/>
      <c r="HK194" s="926"/>
      <c r="HL194" s="926"/>
      <c r="HM194" s="926"/>
      <c r="HN194" s="926"/>
      <c r="HO194" s="926"/>
      <c r="HP194" s="926"/>
      <c r="HQ194" s="926"/>
      <c r="HR194" s="926"/>
      <c r="HS194" s="926"/>
      <c r="HT194" s="926"/>
      <c r="HU194" s="926"/>
      <c r="HV194" s="926"/>
      <c r="HW194" s="926"/>
      <c r="HX194" s="926"/>
      <c r="HY194" s="926"/>
      <c r="HZ194" s="926"/>
      <c r="IA194" s="926"/>
      <c r="IB194" s="926"/>
      <c r="IC194" s="926"/>
      <c r="ID194" s="926"/>
      <c r="IE194" s="926"/>
      <c r="IF194" s="926"/>
      <c r="IG194" s="926"/>
      <c r="IH194" s="926"/>
      <c r="II194" s="926"/>
      <c r="IJ194" s="926"/>
      <c r="IK194" s="926"/>
      <c r="IL194" s="926"/>
      <c r="IM194" s="926"/>
    </row>
    <row r="195" spans="1:247" x14ac:dyDescent="0.45">
      <c r="A195" s="441">
        <v>7449</v>
      </c>
      <c r="B195" s="939" t="s">
        <v>2731</v>
      </c>
      <c r="C195" s="47" t="s">
        <v>35</v>
      </c>
      <c r="D195" s="449" t="s">
        <v>2545</v>
      </c>
      <c r="E195" s="946">
        <f>+$E$3</f>
        <v>1.0740000000000001</v>
      </c>
      <c r="F195" s="941">
        <f t="shared" si="29"/>
        <v>1.0209999999999999</v>
      </c>
      <c r="G195" s="947">
        <f>+$G$3</f>
        <v>1.0269999999999999</v>
      </c>
      <c r="H195" s="946">
        <f>+$H$3</f>
        <v>1.0029999999999999</v>
      </c>
      <c r="I195" s="948">
        <f>+$I$3</f>
        <v>1.0289999999999999</v>
      </c>
      <c r="J195" s="948">
        <f>+$J$3</f>
        <v>1.0049999999999999</v>
      </c>
      <c r="K195" s="948">
        <f>+$K$3</f>
        <v>1.026</v>
      </c>
      <c r="L195" s="948">
        <f>+$L$3</f>
        <v>1.0129999999999999</v>
      </c>
      <c r="M195" s="948">
        <f>+$M$3</f>
        <v>1.0029999999999999</v>
      </c>
      <c r="N195" s="947">
        <f>+$N$3</f>
        <v>1.0029999999999999</v>
      </c>
      <c r="O195" s="949">
        <f>+$O$3</f>
        <v>1.0209999999999999</v>
      </c>
      <c r="P195" s="946">
        <f t="shared" si="54"/>
        <v>1.032</v>
      </c>
      <c r="Q195" s="947">
        <f t="shared" si="55"/>
        <v>1.0349999999999999</v>
      </c>
      <c r="R195" s="950">
        <f t="shared" si="30"/>
        <v>1.3319480854780448</v>
      </c>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6"/>
      <c r="AV195" s="926"/>
      <c r="AW195" s="926"/>
      <c r="AX195" s="926"/>
      <c r="AY195" s="926"/>
      <c r="AZ195" s="926"/>
      <c r="BA195" s="926"/>
      <c r="BB195" s="926"/>
      <c r="BC195" s="926"/>
      <c r="BD195" s="926"/>
      <c r="BE195" s="926"/>
      <c r="BF195" s="926"/>
      <c r="BG195" s="926"/>
      <c r="BH195" s="926"/>
      <c r="BI195" s="926"/>
      <c r="BJ195" s="926"/>
      <c r="BK195" s="926"/>
      <c r="BL195" s="926"/>
      <c r="BM195" s="926"/>
      <c r="BN195" s="926"/>
      <c r="BO195" s="926"/>
      <c r="BP195" s="926"/>
      <c r="BQ195" s="926"/>
      <c r="BR195" s="926"/>
      <c r="BS195" s="926"/>
      <c r="BT195" s="926"/>
      <c r="BU195" s="926"/>
      <c r="BV195" s="926"/>
      <c r="BW195" s="926"/>
      <c r="BX195" s="926"/>
      <c r="BY195" s="926"/>
      <c r="BZ195" s="926"/>
      <c r="CA195" s="926"/>
      <c r="CB195" s="926"/>
      <c r="CC195" s="926"/>
      <c r="CD195" s="926"/>
      <c r="CE195" s="926"/>
      <c r="CF195" s="926"/>
      <c r="CG195" s="926"/>
      <c r="CH195" s="926"/>
      <c r="CI195" s="926"/>
      <c r="CJ195" s="926"/>
      <c r="CK195" s="926"/>
      <c r="CL195" s="926"/>
      <c r="CM195" s="926"/>
      <c r="CN195" s="926"/>
      <c r="CO195" s="926"/>
      <c r="CP195" s="926"/>
      <c r="CQ195" s="926"/>
      <c r="CR195" s="926"/>
      <c r="CS195" s="926"/>
      <c r="CT195" s="926"/>
      <c r="CU195" s="926"/>
      <c r="CV195" s="926"/>
      <c r="CW195" s="926"/>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926"/>
      <c r="EK195" s="926"/>
      <c r="EL195" s="926"/>
      <c r="EM195" s="926"/>
      <c r="EN195" s="926"/>
      <c r="EO195" s="926"/>
      <c r="EP195" s="926"/>
      <c r="EQ195" s="926"/>
      <c r="ER195" s="926"/>
      <c r="ES195" s="926"/>
      <c r="ET195" s="926"/>
      <c r="EU195" s="926"/>
      <c r="EV195" s="926"/>
      <c r="EW195" s="926"/>
      <c r="EX195" s="926"/>
      <c r="EY195" s="926"/>
      <c r="EZ195" s="926"/>
      <c r="FA195" s="926"/>
      <c r="FB195" s="926"/>
      <c r="FC195" s="926"/>
      <c r="FD195" s="926"/>
      <c r="FE195" s="926"/>
      <c r="FF195" s="926"/>
      <c r="FG195" s="926"/>
      <c r="FH195" s="926"/>
      <c r="FI195" s="926"/>
      <c r="FJ195" s="926"/>
      <c r="FK195" s="926"/>
      <c r="FL195" s="926"/>
      <c r="FM195" s="926"/>
      <c r="FN195" s="926"/>
      <c r="FO195" s="926"/>
      <c r="FP195" s="926"/>
      <c r="FQ195" s="926"/>
      <c r="FR195" s="926"/>
      <c r="FS195" s="926"/>
      <c r="FT195" s="926"/>
      <c r="FU195" s="926"/>
      <c r="FV195" s="926"/>
      <c r="FW195" s="926"/>
      <c r="FX195" s="926"/>
      <c r="FY195" s="926"/>
      <c r="FZ195" s="926"/>
      <c r="GA195" s="926"/>
      <c r="GB195" s="926"/>
      <c r="GC195" s="926"/>
      <c r="GD195" s="926"/>
      <c r="GE195" s="926"/>
      <c r="GF195" s="926"/>
      <c r="GG195" s="926"/>
      <c r="GH195" s="926"/>
      <c r="GI195" s="926"/>
      <c r="GJ195" s="926"/>
      <c r="GK195" s="926"/>
      <c r="GL195" s="926"/>
      <c r="GM195" s="926"/>
      <c r="GN195" s="926"/>
      <c r="GO195" s="926"/>
      <c r="GP195" s="926"/>
      <c r="GQ195" s="926"/>
      <c r="GR195" s="926"/>
      <c r="GS195" s="926"/>
      <c r="GT195" s="926"/>
      <c r="GU195" s="926"/>
      <c r="GV195" s="926"/>
      <c r="GW195" s="926"/>
      <c r="GX195" s="926"/>
      <c r="GY195" s="926"/>
      <c r="GZ195" s="926"/>
      <c r="HA195" s="926"/>
      <c r="HB195" s="926"/>
      <c r="HC195" s="926"/>
      <c r="HD195" s="926"/>
      <c r="HE195" s="926"/>
      <c r="HF195" s="926"/>
      <c r="HG195" s="926"/>
      <c r="HH195" s="926"/>
      <c r="HI195" s="926"/>
      <c r="HJ195" s="926"/>
      <c r="HK195" s="926"/>
      <c r="HL195" s="926"/>
      <c r="HM195" s="926"/>
      <c r="HN195" s="926"/>
      <c r="HO195" s="926"/>
      <c r="HP195" s="926"/>
      <c r="HQ195" s="926"/>
      <c r="HR195" s="926"/>
      <c r="HS195" s="926"/>
      <c r="HT195" s="926"/>
      <c r="HU195" s="926"/>
      <c r="HV195" s="926"/>
      <c r="HW195" s="926"/>
      <c r="HX195" s="926"/>
      <c r="HY195" s="926"/>
      <c r="HZ195" s="926"/>
      <c r="IA195" s="926"/>
      <c r="IB195" s="926"/>
      <c r="IC195" s="926"/>
      <c r="ID195" s="926"/>
      <c r="IE195" s="926"/>
      <c r="IF195" s="926"/>
      <c r="IG195" s="926"/>
      <c r="IH195" s="926"/>
      <c r="II195" s="926"/>
      <c r="IJ195" s="926"/>
      <c r="IK195" s="926"/>
      <c r="IL195" s="926"/>
      <c r="IM195" s="926"/>
    </row>
    <row r="196" spans="1:247" x14ac:dyDescent="0.45">
      <c r="A196" s="441">
        <v>7512</v>
      </c>
      <c r="B196" s="939" t="s">
        <v>2732</v>
      </c>
      <c r="C196" s="47" t="s">
        <v>88</v>
      </c>
      <c r="D196" s="449" t="s">
        <v>2537</v>
      </c>
      <c r="E196" s="946"/>
      <c r="F196" s="941">
        <f t="shared" si="29"/>
        <v>1.0209999999999999</v>
      </c>
      <c r="G196" s="947">
        <f>+$G$3</f>
        <v>1.0269999999999999</v>
      </c>
      <c r="H196" s="946"/>
      <c r="I196" s="948"/>
      <c r="J196" s="948"/>
      <c r="K196" s="948"/>
      <c r="L196" s="948">
        <f>+$L$3</f>
        <v>1.0129999999999999</v>
      </c>
      <c r="M196" s="948"/>
      <c r="N196" s="947">
        <f>+$N$3</f>
        <v>1.0029999999999999</v>
      </c>
      <c r="O196" s="949"/>
      <c r="P196" s="946">
        <f t="shared" si="54"/>
        <v>1.032</v>
      </c>
      <c r="Q196" s="947">
        <f t="shared" si="55"/>
        <v>1.0349999999999999</v>
      </c>
      <c r="R196" s="950">
        <f t="shared" si="30"/>
        <v>1.1379589900046172</v>
      </c>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6"/>
      <c r="AV196" s="926"/>
      <c r="AW196" s="926"/>
      <c r="AX196" s="926"/>
      <c r="AY196" s="926"/>
      <c r="AZ196" s="926"/>
      <c r="BA196" s="926"/>
      <c r="BB196" s="926"/>
      <c r="BC196" s="926"/>
      <c r="BD196" s="926"/>
      <c r="BE196" s="926"/>
      <c r="BF196" s="926"/>
      <c r="BG196" s="926"/>
      <c r="BH196" s="926"/>
      <c r="BI196" s="926"/>
      <c r="BJ196" s="926"/>
      <c r="BK196" s="926"/>
      <c r="BL196" s="926"/>
      <c r="BM196" s="926"/>
      <c r="BN196" s="926"/>
      <c r="BO196" s="926"/>
      <c r="BP196" s="926"/>
      <c r="BQ196" s="926"/>
      <c r="BR196" s="926"/>
      <c r="BS196" s="926"/>
      <c r="BT196" s="926"/>
      <c r="BU196" s="926"/>
      <c r="BV196" s="926"/>
      <c r="BW196" s="926"/>
      <c r="BX196" s="926"/>
      <c r="BY196" s="926"/>
      <c r="BZ196" s="926"/>
      <c r="CA196" s="926"/>
      <c r="CB196" s="926"/>
      <c r="CC196" s="926"/>
      <c r="CD196" s="926"/>
      <c r="CE196" s="926"/>
      <c r="CF196" s="926"/>
      <c r="CG196" s="926"/>
      <c r="CH196" s="926"/>
      <c r="CI196" s="926"/>
      <c r="CJ196" s="926"/>
      <c r="CK196" s="926"/>
      <c r="CL196" s="926"/>
      <c r="CM196" s="926"/>
      <c r="CN196" s="926"/>
      <c r="CO196" s="926"/>
      <c r="CP196" s="926"/>
      <c r="CQ196" s="926"/>
      <c r="CR196" s="926"/>
      <c r="CS196" s="926"/>
      <c r="CT196" s="926"/>
      <c r="CU196" s="926"/>
      <c r="CV196" s="926"/>
      <c r="CW196" s="926"/>
      <c r="CX196" s="926"/>
      <c r="CY196" s="926"/>
      <c r="CZ196" s="926"/>
      <c r="DA196" s="926"/>
      <c r="DB196" s="926"/>
      <c r="DC196" s="926"/>
      <c r="DD196" s="926"/>
      <c r="DE196" s="926"/>
      <c r="DF196" s="926"/>
      <c r="DG196" s="926"/>
      <c r="DH196" s="926"/>
      <c r="DI196" s="926"/>
      <c r="DJ196" s="926"/>
      <c r="DK196" s="926"/>
      <c r="DL196" s="926"/>
      <c r="DM196" s="926"/>
      <c r="DN196" s="926"/>
      <c r="DO196" s="926"/>
      <c r="DP196" s="926"/>
      <c r="DQ196" s="926"/>
      <c r="DR196" s="926"/>
      <c r="DS196" s="926"/>
      <c r="DT196" s="926"/>
      <c r="DU196" s="926"/>
      <c r="DV196" s="926"/>
      <c r="DW196" s="926"/>
      <c r="DX196" s="926"/>
      <c r="DY196" s="926"/>
      <c r="DZ196" s="926"/>
      <c r="EA196" s="926"/>
      <c r="EB196" s="926"/>
      <c r="EC196" s="926"/>
      <c r="ED196" s="926"/>
      <c r="EE196" s="926"/>
      <c r="EF196" s="926"/>
      <c r="EG196" s="926"/>
      <c r="EH196" s="926"/>
      <c r="EI196" s="926"/>
      <c r="EJ196" s="926"/>
      <c r="EK196" s="926"/>
      <c r="EL196" s="926"/>
      <c r="EM196" s="926"/>
      <c r="EN196" s="926"/>
      <c r="EO196" s="926"/>
      <c r="EP196" s="926"/>
      <c r="EQ196" s="926"/>
      <c r="ER196" s="926"/>
      <c r="ES196" s="926"/>
      <c r="ET196" s="926"/>
      <c r="EU196" s="926"/>
      <c r="EV196" s="926"/>
      <c r="EW196" s="926"/>
      <c r="EX196" s="926"/>
      <c r="EY196" s="926"/>
      <c r="EZ196" s="926"/>
      <c r="FA196" s="926"/>
      <c r="FB196" s="926"/>
      <c r="FC196" s="926"/>
      <c r="FD196" s="926"/>
      <c r="FE196" s="926"/>
      <c r="FF196" s="926"/>
      <c r="FG196" s="926"/>
      <c r="FH196" s="926"/>
      <c r="FI196" s="926"/>
      <c r="FJ196" s="926"/>
      <c r="FK196" s="926"/>
      <c r="FL196" s="926"/>
      <c r="FM196" s="926"/>
      <c r="FN196" s="926"/>
      <c r="FO196" s="926"/>
      <c r="FP196" s="926"/>
      <c r="FQ196" s="926"/>
      <c r="FR196" s="926"/>
      <c r="FS196" s="926"/>
      <c r="FT196" s="926"/>
      <c r="FU196" s="926"/>
      <c r="FV196" s="926"/>
      <c r="FW196" s="926"/>
      <c r="FX196" s="926"/>
      <c r="FY196" s="926"/>
      <c r="FZ196" s="926"/>
      <c r="GA196" s="926"/>
      <c r="GB196" s="926"/>
      <c r="GC196" s="926"/>
      <c r="GD196" s="926"/>
      <c r="GE196" s="926"/>
      <c r="GF196" s="926"/>
      <c r="GG196" s="926"/>
      <c r="GH196" s="926"/>
      <c r="GI196" s="926"/>
      <c r="GJ196" s="926"/>
      <c r="GK196" s="926"/>
      <c r="GL196" s="926"/>
      <c r="GM196" s="926"/>
      <c r="GN196" s="926"/>
      <c r="GO196" s="926"/>
      <c r="GP196" s="926"/>
      <c r="GQ196" s="926"/>
      <c r="GR196" s="926"/>
      <c r="GS196" s="926"/>
      <c r="GT196" s="926"/>
      <c r="GU196" s="926"/>
      <c r="GV196" s="926"/>
      <c r="GW196" s="926"/>
      <c r="GX196" s="926"/>
      <c r="GY196" s="926"/>
      <c r="GZ196" s="926"/>
      <c r="HA196" s="926"/>
      <c r="HB196" s="926"/>
      <c r="HC196" s="926"/>
      <c r="HD196" s="926"/>
      <c r="HE196" s="926"/>
      <c r="HF196" s="926"/>
      <c r="HG196" s="926"/>
      <c r="HH196" s="926"/>
      <c r="HI196" s="926"/>
      <c r="HJ196" s="926"/>
      <c r="HK196" s="926"/>
      <c r="HL196" s="926"/>
      <c r="HM196" s="926"/>
      <c r="HN196" s="926"/>
      <c r="HO196" s="926"/>
      <c r="HP196" s="926"/>
      <c r="HQ196" s="926"/>
      <c r="HR196" s="926"/>
      <c r="HS196" s="926"/>
      <c r="HT196" s="926"/>
      <c r="HU196" s="926"/>
      <c r="HV196" s="926"/>
      <c r="HW196" s="926"/>
      <c r="HX196" s="926"/>
      <c r="HY196" s="926"/>
      <c r="HZ196" s="926"/>
      <c r="IA196" s="926"/>
      <c r="IB196" s="926"/>
      <c r="IC196" s="926"/>
      <c r="ID196" s="926"/>
      <c r="IE196" s="926"/>
      <c r="IF196" s="926"/>
      <c r="IG196" s="926"/>
      <c r="IH196" s="926"/>
      <c r="II196" s="926"/>
      <c r="IJ196" s="926"/>
      <c r="IK196" s="926"/>
      <c r="IL196" s="926"/>
      <c r="IM196" s="926"/>
    </row>
    <row r="197" spans="1:247" x14ac:dyDescent="0.45">
      <c r="A197" s="441">
        <v>7513</v>
      </c>
      <c r="B197" s="939" t="s">
        <v>2733</v>
      </c>
      <c r="C197" s="47" t="s">
        <v>88</v>
      </c>
      <c r="D197" s="449" t="s">
        <v>2537</v>
      </c>
      <c r="E197" s="946"/>
      <c r="F197" s="941">
        <f t="shared" si="29"/>
        <v>1.0209999999999999</v>
      </c>
      <c r="G197" s="947">
        <f>+$G$3</f>
        <v>1.0269999999999999</v>
      </c>
      <c r="H197" s="946"/>
      <c r="I197" s="948"/>
      <c r="J197" s="948"/>
      <c r="K197" s="948"/>
      <c r="L197" s="948"/>
      <c r="M197" s="948"/>
      <c r="N197" s="947"/>
      <c r="O197" s="949"/>
      <c r="P197" s="946">
        <f t="shared" si="54"/>
        <v>1.032</v>
      </c>
      <c r="Q197" s="947">
        <f t="shared" si="55"/>
        <v>1.0349999999999999</v>
      </c>
      <c r="R197" s="950">
        <f t="shared" si="30"/>
        <v>1.1199953840399997</v>
      </c>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6"/>
      <c r="AV197" s="926"/>
      <c r="AW197" s="926"/>
      <c r="AX197" s="926"/>
      <c r="AY197" s="926"/>
      <c r="AZ197" s="926"/>
      <c r="BA197" s="926"/>
      <c r="BB197" s="926"/>
      <c r="BC197" s="926"/>
      <c r="BD197" s="926"/>
      <c r="BE197" s="926"/>
      <c r="BF197" s="926"/>
      <c r="BG197" s="926"/>
      <c r="BH197" s="926"/>
      <c r="BI197" s="926"/>
      <c r="BJ197" s="926"/>
      <c r="BK197" s="926"/>
      <c r="BL197" s="926"/>
      <c r="BM197" s="926"/>
      <c r="BN197" s="926"/>
      <c r="BO197" s="926"/>
      <c r="BP197" s="926"/>
      <c r="BQ197" s="926"/>
      <c r="BR197" s="926"/>
      <c r="BS197" s="926"/>
      <c r="BT197" s="926"/>
      <c r="BU197" s="926"/>
      <c r="BV197" s="926"/>
      <c r="BW197" s="926"/>
      <c r="BX197" s="926"/>
      <c r="BY197" s="926"/>
      <c r="BZ197" s="926"/>
      <c r="CA197" s="926"/>
      <c r="CB197" s="926"/>
      <c r="CC197" s="926"/>
      <c r="CD197" s="926"/>
      <c r="CE197" s="926"/>
      <c r="CF197" s="926"/>
      <c r="CG197" s="926"/>
      <c r="CH197" s="926"/>
      <c r="CI197" s="926"/>
      <c r="CJ197" s="926"/>
      <c r="CK197" s="926"/>
      <c r="CL197" s="926"/>
      <c r="CM197" s="926"/>
      <c r="CN197" s="926"/>
      <c r="CO197" s="926"/>
      <c r="CP197" s="926"/>
      <c r="CQ197" s="926"/>
      <c r="CR197" s="926"/>
      <c r="CS197" s="926"/>
      <c r="CT197" s="926"/>
      <c r="CU197" s="926"/>
      <c r="CV197" s="926"/>
      <c r="CW197" s="926"/>
      <c r="CX197" s="926"/>
      <c r="CY197" s="926"/>
      <c r="CZ197" s="926"/>
      <c r="DA197" s="926"/>
      <c r="DB197" s="926"/>
      <c r="DC197" s="926"/>
      <c r="DD197" s="926"/>
      <c r="DE197" s="926"/>
      <c r="DF197" s="926"/>
      <c r="DG197" s="926"/>
      <c r="DH197" s="926"/>
      <c r="DI197" s="926"/>
      <c r="DJ197" s="926"/>
      <c r="DK197" s="926"/>
      <c r="DL197" s="926"/>
      <c r="DM197" s="926"/>
      <c r="DN197" s="926"/>
      <c r="DO197" s="926"/>
      <c r="DP197" s="926"/>
      <c r="DQ197" s="926"/>
      <c r="DR197" s="926"/>
      <c r="DS197" s="926"/>
      <c r="DT197" s="926"/>
      <c r="DU197" s="926"/>
      <c r="DV197" s="926"/>
      <c r="DW197" s="926"/>
      <c r="DX197" s="926"/>
      <c r="DY197" s="926"/>
      <c r="DZ197" s="926"/>
      <c r="EA197" s="926"/>
      <c r="EB197" s="926"/>
      <c r="EC197" s="926"/>
      <c r="ED197" s="926"/>
      <c r="EE197" s="926"/>
      <c r="EF197" s="926"/>
      <c r="EG197" s="926"/>
      <c r="EH197" s="926"/>
      <c r="EI197" s="926"/>
      <c r="EJ197" s="926"/>
      <c r="EK197" s="926"/>
      <c r="EL197" s="926"/>
      <c r="EM197" s="926"/>
      <c r="EN197" s="926"/>
      <c r="EO197" s="926"/>
      <c r="EP197" s="926"/>
      <c r="EQ197" s="926"/>
      <c r="ER197" s="926"/>
      <c r="ES197" s="926"/>
      <c r="ET197" s="926"/>
      <c r="EU197" s="926"/>
      <c r="EV197" s="926"/>
      <c r="EW197" s="926"/>
      <c r="EX197" s="926"/>
      <c r="EY197" s="926"/>
      <c r="EZ197" s="926"/>
      <c r="FA197" s="926"/>
      <c r="FB197" s="926"/>
      <c r="FC197" s="926"/>
      <c r="FD197" s="926"/>
      <c r="FE197" s="926"/>
      <c r="FF197" s="926"/>
      <c r="FG197" s="926"/>
      <c r="FH197" s="926"/>
      <c r="FI197" s="926"/>
      <c r="FJ197" s="926"/>
      <c r="FK197" s="926"/>
      <c r="FL197" s="926"/>
      <c r="FM197" s="926"/>
      <c r="FN197" s="926"/>
      <c r="FO197" s="926"/>
      <c r="FP197" s="926"/>
      <c r="FQ197" s="926"/>
      <c r="FR197" s="926"/>
      <c r="FS197" s="926"/>
      <c r="FT197" s="926"/>
      <c r="FU197" s="926"/>
      <c r="FV197" s="926"/>
      <c r="FW197" s="926"/>
      <c r="FX197" s="926"/>
      <c r="FY197" s="926"/>
      <c r="FZ197" s="926"/>
      <c r="GA197" s="926"/>
      <c r="GB197" s="926"/>
      <c r="GC197" s="926"/>
      <c r="GD197" s="926"/>
      <c r="GE197" s="926"/>
      <c r="GF197" s="926"/>
      <c r="GG197" s="926"/>
      <c r="GH197" s="926"/>
      <c r="GI197" s="926"/>
      <c r="GJ197" s="926"/>
      <c r="GK197" s="926"/>
      <c r="GL197" s="926"/>
      <c r="GM197" s="926"/>
      <c r="GN197" s="926"/>
      <c r="GO197" s="926"/>
      <c r="GP197" s="926"/>
      <c r="GQ197" s="926"/>
      <c r="GR197" s="926"/>
      <c r="GS197" s="926"/>
      <c r="GT197" s="926"/>
      <c r="GU197" s="926"/>
      <c r="GV197" s="926"/>
      <c r="GW197" s="926"/>
      <c r="GX197" s="926"/>
      <c r="GY197" s="926"/>
      <c r="GZ197" s="926"/>
      <c r="HA197" s="926"/>
      <c r="HB197" s="926"/>
      <c r="HC197" s="926"/>
      <c r="HD197" s="926"/>
      <c r="HE197" s="926"/>
      <c r="HF197" s="926"/>
      <c r="HG197" s="926"/>
      <c r="HH197" s="926"/>
      <c r="HI197" s="926"/>
      <c r="HJ197" s="926"/>
      <c r="HK197" s="926"/>
      <c r="HL197" s="926"/>
      <c r="HM197" s="926"/>
      <c r="HN197" s="926"/>
      <c r="HO197" s="926"/>
      <c r="HP197" s="926"/>
      <c r="HQ197" s="926"/>
      <c r="HR197" s="926"/>
      <c r="HS197" s="926"/>
      <c r="HT197" s="926"/>
      <c r="HU197" s="926"/>
      <c r="HV197" s="926"/>
      <c r="HW197" s="926"/>
      <c r="HX197" s="926"/>
      <c r="HY197" s="926"/>
      <c r="HZ197" s="926"/>
      <c r="IA197" s="926"/>
      <c r="IB197" s="926"/>
      <c r="IC197" s="926"/>
      <c r="ID197" s="926"/>
      <c r="IE197" s="926"/>
      <c r="IF197" s="926"/>
      <c r="IG197" s="926"/>
      <c r="IH197" s="926"/>
      <c r="II197" s="926"/>
      <c r="IJ197" s="926"/>
      <c r="IK197" s="926"/>
      <c r="IL197" s="926"/>
      <c r="IM197" s="926"/>
    </row>
    <row r="198" spans="1:247" x14ac:dyDescent="0.45">
      <c r="A198" s="441">
        <v>7514</v>
      </c>
      <c r="B198" s="939" t="s">
        <v>2734</v>
      </c>
      <c r="C198" s="47" t="s">
        <v>88</v>
      </c>
      <c r="D198" s="449" t="s">
        <v>2537</v>
      </c>
      <c r="E198" s="946"/>
      <c r="F198" s="941">
        <f t="shared" si="29"/>
        <v>1.0209999999999999</v>
      </c>
      <c r="G198" s="947">
        <f>+$G$3</f>
        <v>1.0269999999999999</v>
      </c>
      <c r="H198" s="946"/>
      <c r="I198" s="948"/>
      <c r="J198" s="948"/>
      <c r="K198" s="948"/>
      <c r="L198" s="948"/>
      <c r="M198" s="948"/>
      <c r="N198" s="947"/>
      <c r="O198" s="949"/>
      <c r="P198" s="946">
        <f t="shared" si="54"/>
        <v>1.032</v>
      </c>
      <c r="Q198" s="947">
        <f t="shared" si="55"/>
        <v>1.0349999999999999</v>
      </c>
      <c r="R198" s="950">
        <f t="shared" si="30"/>
        <v>1.1199953840399997</v>
      </c>
      <c r="S198" s="926"/>
      <c r="T198" s="926"/>
      <c r="U198" s="926"/>
      <c r="V198" s="926"/>
      <c r="W198" s="926"/>
      <c r="X198" s="926"/>
      <c r="Y198" s="926"/>
      <c r="Z198" s="926"/>
      <c r="AA198" s="926"/>
      <c r="AB198" s="926"/>
      <c r="AC198" s="926"/>
      <c r="AD198" s="926"/>
      <c r="AE198" s="926"/>
      <c r="AF198" s="926"/>
      <c r="AG198" s="926"/>
      <c r="AH198" s="926"/>
      <c r="AI198" s="926"/>
      <c r="AJ198" s="926"/>
      <c r="AK198" s="926"/>
      <c r="AL198" s="926"/>
      <c r="AM198" s="926"/>
      <c r="AN198" s="926"/>
      <c r="AO198" s="926"/>
      <c r="AP198" s="926"/>
      <c r="AQ198" s="926"/>
      <c r="AR198" s="926"/>
      <c r="AS198" s="926"/>
      <c r="AT198" s="926"/>
      <c r="AU198" s="926"/>
      <c r="AV198" s="926"/>
      <c r="AW198" s="926"/>
      <c r="AX198" s="926"/>
      <c r="AY198" s="926"/>
      <c r="AZ198" s="926"/>
      <c r="BA198" s="926"/>
      <c r="BB198" s="926"/>
      <c r="BC198" s="926"/>
      <c r="BD198" s="926"/>
      <c r="BE198" s="926"/>
      <c r="BF198" s="926"/>
      <c r="BG198" s="926"/>
      <c r="BH198" s="926"/>
      <c r="BI198" s="926"/>
      <c r="BJ198" s="926"/>
      <c r="BK198" s="926"/>
      <c r="BL198" s="926"/>
      <c r="BM198" s="926"/>
      <c r="BN198" s="926"/>
      <c r="BO198" s="926"/>
      <c r="BP198" s="926"/>
      <c r="BQ198" s="926"/>
      <c r="BR198" s="926"/>
      <c r="BS198" s="926"/>
      <c r="BT198" s="926"/>
      <c r="BU198" s="926"/>
      <c r="BV198" s="926"/>
      <c r="BW198" s="926"/>
      <c r="BX198" s="926"/>
      <c r="BY198" s="926"/>
      <c r="BZ198" s="926"/>
      <c r="CA198" s="926"/>
      <c r="CB198" s="926"/>
      <c r="CC198" s="926"/>
      <c r="CD198" s="926"/>
      <c r="CE198" s="926"/>
      <c r="CF198" s="926"/>
      <c r="CG198" s="926"/>
      <c r="CH198" s="926"/>
      <c r="CI198" s="926"/>
      <c r="CJ198" s="926"/>
      <c r="CK198" s="926"/>
      <c r="CL198" s="926"/>
      <c r="CM198" s="926"/>
      <c r="CN198" s="926"/>
      <c r="CO198" s="926"/>
      <c r="CP198" s="926"/>
      <c r="CQ198" s="926"/>
      <c r="CR198" s="926"/>
      <c r="CS198" s="926"/>
      <c r="CT198" s="926"/>
      <c r="CU198" s="926"/>
      <c r="CV198" s="926"/>
      <c r="CW198" s="926"/>
      <c r="CX198" s="926"/>
      <c r="CY198" s="926"/>
      <c r="CZ198" s="926"/>
      <c r="DA198" s="926"/>
      <c r="DB198" s="926"/>
      <c r="DC198" s="926"/>
      <c r="DD198" s="926"/>
      <c r="DE198" s="926"/>
      <c r="DF198" s="926"/>
      <c r="DG198" s="926"/>
      <c r="DH198" s="926"/>
      <c r="DI198" s="926"/>
      <c r="DJ198" s="926"/>
      <c r="DK198" s="926"/>
      <c r="DL198" s="926"/>
      <c r="DM198" s="926"/>
      <c r="DN198" s="926"/>
      <c r="DO198" s="926"/>
      <c r="DP198" s="926"/>
      <c r="DQ198" s="926"/>
      <c r="DR198" s="926"/>
      <c r="DS198" s="926"/>
      <c r="DT198" s="926"/>
      <c r="DU198" s="926"/>
      <c r="DV198" s="926"/>
      <c r="DW198" s="926"/>
      <c r="DX198" s="926"/>
      <c r="DY198" s="926"/>
      <c r="DZ198" s="926"/>
      <c r="EA198" s="926"/>
      <c r="EB198" s="926"/>
      <c r="EC198" s="926"/>
      <c r="ED198" s="926"/>
      <c r="EE198" s="926"/>
      <c r="EF198" s="926"/>
      <c r="EG198" s="926"/>
      <c r="EH198" s="926"/>
      <c r="EI198" s="926"/>
      <c r="EJ198" s="926"/>
      <c r="EK198" s="926"/>
      <c r="EL198" s="926"/>
      <c r="EM198" s="926"/>
      <c r="EN198" s="926"/>
      <c r="EO198" s="926"/>
      <c r="EP198" s="926"/>
      <c r="EQ198" s="926"/>
      <c r="ER198" s="926"/>
      <c r="ES198" s="926"/>
      <c r="ET198" s="926"/>
      <c r="EU198" s="926"/>
      <c r="EV198" s="926"/>
      <c r="EW198" s="926"/>
      <c r="EX198" s="926"/>
      <c r="EY198" s="926"/>
      <c r="EZ198" s="926"/>
      <c r="FA198" s="926"/>
      <c r="FB198" s="926"/>
      <c r="FC198" s="926"/>
      <c r="FD198" s="926"/>
      <c r="FE198" s="926"/>
      <c r="FF198" s="926"/>
      <c r="FG198" s="926"/>
      <c r="FH198" s="926"/>
      <c r="FI198" s="926"/>
      <c r="FJ198" s="926"/>
      <c r="FK198" s="926"/>
      <c r="FL198" s="926"/>
      <c r="FM198" s="926"/>
      <c r="FN198" s="926"/>
      <c r="FO198" s="926"/>
      <c r="FP198" s="926"/>
      <c r="FQ198" s="926"/>
      <c r="FR198" s="926"/>
      <c r="FS198" s="926"/>
      <c r="FT198" s="926"/>
      <c r="FU198" s="926"/>
      <c r="FV198" s="926"/>
      <c r="FW198" s="926"/>
      <c r="FX198" s="926"/>
      <c r="FY198" s="926"/>
      <c r="FZ198" s="926"/>
      <c r="GA198" s="926"/>
      <c r="GB198" s="926"/>
      <c r="GC198" s="926"/>
      <c r="GD198" s="926"/>
      <c r="GE198" s="926"/>
      <c r="GF198" s="926"/>
      <c r="GG198" s="926"/>
      <c r="GH198" s="926"/>
      <c r="GI198" s="926"/>
      <c r="GJ198" s="926"/>
      <c r="GK198" s="926"/>
      <c r="GL198" s="926"/>
      <c r="GM198" s="926"/>
      <c r="GN198" s="926"/>
      <c r="GO198" s="926"/>
      <c r="GP198" s="926"/>
      <c r="GQ198" s="926"/>
      <c r="GR198" s="926"/>
      <c r="GS198" s="926"/>
      <c r="GT198" s="926"/>
      <c r="GU198" s="926"/>
      <c r="GV198" s="926"/>
      <c r="GW198" s="926"/>
      <c r="GX198" s="926"/>
      <c r="GY198" s="926"/>
      <c r="GZ198" s="926"/>
      <c r="HA198" s="926"/>
      <c r="HB198" s="926"/>
      <c r="HC198" s="926"/>
      <c r="HD198" s="926"/>
      <c r="HE198" s="926"/>
      <c r="HF198" s="926"/>
      <c r="HG198" s="926"/>
      <c r="HH198" s="926"/>
      <c r="HI198" s="926"/>
      <c r="HJ198" s="926"/>
      <c r="HK198" s="926"/>
      <c r="HL198" s="926"/>
      <c r="HM198" s="926"/>
      <c r="HN198" s="926"/>
      <c r="HO198" s="926"/>
      <c r="HP198" s="926"/>
      <c r="HQ198" s="926"/>
      <c r="HR198" s="926"/>
      <c r="HS198" s="926"/>
      <c r="HT198" s="926"/>
      <c r="HU198" s="926"/>
      <c r="HV198" s="926"/>
      <c r="HW198" s="926"/>
      <c r="HX198" s="926"/>
      <c r="HY198" s="926"/>
      <c r="HZ198" s="926"/>
      <c r="IA198" s="926"/>
      <c r="IB198" s="926"/>
      <c r="IC198" s="926"/>
      <c r="ID198" s="926"/>
      <c r="IE198" s="926"/>
      <c r="IF198" s="926"/>
      <c r="IG198" s="926"/>
      <c r="IH198" s="926"/>
      <c r="II198" s="926"/>
      <c r="IJ198" s="926"/>
      <c r="IK198" s="926"/>
      <c r="IL198" s="926"/>
      <c r="IM198" s="926"/>
    </row>
    <row r="199" spans="1:247" x14ac:dyDescent="0.45">
      <c r="A199" s="441">
        <v>7515</v>
      </c>
      <c r="B199" s="939" t="s">
        <v>2735</v>
      </c>
      <c r="C199" s="47" t="s">
        <v>88</v>
      </c>
      <c r="D199" s="449" t="s">
        <v>2537</v>
      </c>
      <c r="E199" s="946"/>
      <c r="F199" s="941">
        <f t="shared" si="29"/>
        <v>1.0209999999999999</v>
      </c>
      <c r="G199" s="947"/>
      <c r="H199" s="946"/>
      <c r="I199" s="948"/>
      <c r="J199" s="948"/>
      <c r="K199" s="948"/>
      <c r="L199" s="948"/>
      <c r="M199" s="948"/>
      <c r="N199" s="947"/>
      <c r="O199" s="949"/>
      <c r="P199" s="946">
        <f t="shared" si="54"/>
        <v>1.032</v>
      </c>
      <c r="Q199" s="947">
        <f t="shared" si="55"/>
        <v>1.0349999999999999</v>
      </c>
      <c r="R199" s="950">
        <f t="shared" si="30"/>
        <v>1.0905505199999999</v>
      </c>
      <c r="S199" s="926"/>
      <c r="T199" s="926"/>
      <c r="U199" s="926"/>
      <c r="V199" s="926"/>
      <c r="W199" s="926"/>
      <c r="X199" s="926"/>
      <c r="Y199" s="926"/>
      <c r="Z199" s="926"/>
      <c r="AA199" s="926"/>
      <c r="AB199" s="926"/>
      <c r="AC199" s="926"/>
      <c r="AD199" s="926"/>
      <c r="AE199" s="926"/>
      <c r="AF199" s="926"/>
      <c r="AG199" s="926"/>
      <c r="AH199" s="926"/>
      <c r="AI199" s="926"/>
      <c r="AJ199" s="926"/>
      <c r="AK199" s="926"/>
      <c r="AL199" s="926"/>
      <c r="AM199" s="926"/>
      <c r="AN199" s="926"/>
      <c r="AO199" s="926"/>
      <c r="AP199" s="926"/>
      <c r="AQ199" s="926"/>
      <c r="AR199" s="926"/>
      <c r="AS199" s="926"/>
      <c r="AT199" s="926"/>
      <c r="AU199" s="926"/>
      <c r="AV199" s="926"/>
      <c r="AW199" s="926"/>
      <c r="AX199" s="926"/>
      <c r="AY199" s="926"/>
      <c r="AZ199" s="926"/>
      <c r="BA199" s="926"/>
      <c r="BB199" s="926"/>
      <c r="BC199" s="926"/>
      <c r="BD199" s="926"/>
      <c r="BE199" s="926"/>
      <c r="BF199" s="926"/>
      <c r="BG199" s="926"/>
      <c r="BH199" s="926"/>
      <c r="BI199" s="926"/>
      <c r="BJ199" s="926"/>
      <c r="BK199" s="926"/>
      <c r="BL199" s="926"/>
      <c r="BM199" s="926"/>
      <c r="BN199" s="926"/>
      <c r="BO199" s="926"/>
      <c r="BP199" s="926"/>
      <c r="BQ199" s="926"/>
      <c r="BR199" s="926"/>
      <c r="BS199" s="926"/>
      <c r="BT199" s="926"/>
      <c r="BU199" s="926"/>
      <c r="BV199" s="926"/>
      <c r="BW199" s="926"/>
      <c r="BX199" s="926"/>
      <c r="BY199" s="926"/>
      <c r="BZ199" s="926"/>
      <c r="CA199" s="926"/>
      <c r="CB199" s="926"/>
      <c r="CC199" s="926"/>
      <c r="CD199" s="926"/>
      <c r="CE199" s="926"/>
      <c r="CF199" s="926"/>
      <c r="CG199" s="926"/>
      <c r="CH199" s="926"/>
      <c r="CI199" s="926"/>
      <c r="CJ199" s="926"/>
      <c r="CK199" s="926"/>
      <c r="CL199" s="926"/>
      <c r="CM199" s="926"/>
      <c r="CN199" s="926"/>
      <c r="CO199" s="926"/>
      <c r="CP199" s="926"/>
      <c r="CQ199" s="926"/>
      <c r="CR199" s="926"/>
      <c r="CS199" s="926"/>
      <c r="CT199" s="926"/>
      <c r="CU199" s="926"/>
      <c r="CV199" s="926"/>
      <c r="CW199" s="926"/>
      <c r="CX199" s="926"/>
      <c r="CY199" s="926"/>
      <c r="CZ199" s="926"/>
      <c r="DA199" s="926"/>
      <c r="DB199" s="926"/>
      <c r="DC199" s="926"/>
      <c r="DD199" s="926"/>
      <c r="DE199" s="926"/>
      <c r="DF199" s="926"/>
      <c r="DG199" s="926"/>
      <c r="DH199" s="926"/>
      <c r="DI199" s="926"/>
      <c r="DJ199" s="926"/>
      <c r="DK199" s="926"/>
      <c r="DL199" s="926"/>
      <c r="DM199" s="926"/>
      <c r="DN199" s="926"/>
      <c r="DO199" s="926"/>
      <c r="DP199" s="926"/>
      <c r="DQ199" s="926"/>
      <c r="DR199" s="926"/>
      <c r="DS199" s="926"/>
      <c r="DT199" s="926"/>
      <c r="DU199" s="926"/>
      <c r="DV199" s="926"/>
      <c r="DW199" s="926"/>
      <c r="DX199" s="926"/>
      <c r="DY199" s="926"/>
      <c r="DZ199" s="926"/>
      <c r="EA199" s="926"/>
      <c r="EB199" s="926"/>
      <c r="EC199" s="926"/>
      <c r="ED199" s="926"/>
      <c r="EE199" s="926"/>
      <c r="EF199" s="926"/>
      <c r="EG199" s="926"/>
      <c r="EH199" s="926"/>
      <c r="EI199" s="926"/>
      <c r="EJ199" s="926"/>
      <c r="EK199" s="926"/>
      <c r="EL199" s="926"/>
      <c r="EM199" s="926"/>
      <c r="EN199" s="926"/>
      <c r="EO199" s="926"/>
      <c r="EP199" s="926"/>
      <c r="EQ199" s="926"/>
      <c r="ER199" s="926"/>
      <c r="ES199" s="926"/>
      <c r="ET199" s="926"/>
      <c r="EU199" s="926"/>
      <c r="EV199" s="926"/>
      <c r="EW199" s="926"/>
      <c r="EX199" s="926"/>
      <c r="EY199" s="926"/>
      <c r="EZ199" s="926"/>
      <c r="FA199" s="926"/>
      <c r="FB199" s="926"/>
      <c r="FC199" s="926"/>
      <c r="FD199" s="926"/>
      <c r="FE199" s="926"/>
      <c r="FF199" s="926"/>
      <c r="FG199" s="926"/>
      <c r="FH199" s="926"/>
      <c r="FI199" s="926"/>
      <c r="FJ199" s="926"/>
      <c r="FK199" s="926"/>
      <c r="FL199" s="926"/>
      <c r="FM199" s="926"/>
      <c r="FN199" s="926"/>
      <c r="FO199" s="926"/>
      <c r="FP199" s="926"/>
      <c r="FQ199" s="926"/>
      <c r="FR199" s="926"/>
      <c r="FS199" s="926"/>
      <c r="FT199" s="926"/>
      <c r="FU199" s="926"/>
      <c r="FV199" s="926"/>
      <c r="FW199" s="926"/>
      <c r="FX199" s="926"/>
      <c r="FY199" s="926"/>
      <c r="FZ199" s="926"/>
      <c r="GA199" s="926"/>
      <c r="GB199" s="926"/>
      <c r="GC199" s="926"/>
      <c r="GD199" s="926"/>
      <c r="GE199" s="926"/>
      <c r="GF199" s="926"/>
      <c r="GG199" s="926"/>
      <c r="GH199" s="926"/>
      <c r="GI199" s="926"/>
      <c r="GJ199" s="926"/>
      <c r="GK199" s="926"/>
      <c r="GL199" s="926"/>
      <c r="GM199" s="926"/>
      <c r="GN199" s="926"/>
      <c r="GO199" s="926"/>
      <c r="GP199" s="926"/>
      <c r="GQ199" s="926"/>
      <c r="GR199" s="926"/>
      <c r="GS199" s="926"/>
      <c r="GT199" s="926"/>
      <c r="GU199" s="926"/>
      <c r="GV199" s="926"/>
      <c r="GW199" s="926"/>
      <c r="GX199" s="926"/>
      <c r="GY199" s="926"/>
      <c r="GZ199" s="926"/>
      <c r="HA199" s="926"/>
      <c r="HB199" s="926"/>
      <c r="HC199" s="926"/>
      <c r="HD199" s="926"/>
      <c r="HE199" s="926"/>
      <c r="HF199" s="926"/>
      <c r="HG199" s="926"/>
      <c r="HH199" s="926"/>
      <c r="HI199" s="926"/>
      <c r="HJ199" s="926"/>
      <c r="HK199" s="926"/>
      <c r="HL199" s="926"/>
      <c r="HM199" s="926"/>
      <c r="HN199" s="926"/>
      <c r="HO199" s="926"/>
      <c r="HP199" s="926"/>
      <c r="HQ199" s="926"/>
      <c r="HR199" s="926"/>
      <c r="HS199" s="926"/>
      <c r="HT199" s="926"/>
      <c r="HU199" s="926"/>
      <c r="HV199" s="926"/>
      <c r="HW199" s="926"/>
      <c r="HX199" s="926"/>
      <c r="HY199" s="926"/>
      <c r="HZ199" s="926"/>
      <c r="IA199" s="926"/>
      <c r="IB199" s="926"/>
      <c r="IC199" s="926"/>
      <c r="ID199" s="926"/>
      <c r="IE199" s="926"/>
      <c r="IF199" s="926"/>
      <c r="IG199" s="926"/>
      <c r="IH199" s="926"/>
      <c r="II199" s="926"/>
      <c r="IJ199" s="926"/>
      <c r="IK199" s="926"/>
      <c r="IL199" s="926"/>
      <c r="IM199" s="926"/>
    </row>
    <row r="200" spans="1:247" x14ac:dyDescent="0.45">
      <c r="A200" s="441">
        <v>7516</v>
      </c>
      <c r="B200" s="939" t="s">
        <v>2736</v>
      </c>
      <c r="C200" s="47" t="s">
        <v>88</v>
      </c>
      <c r="D200" s="449" t="s">
        <v>2537</v>
      </c>
      <c r="E200" s="946"/>
      <c r="F200" s="941">
        <f t="shared" si="29"/>
        <v>1.0209999999999999</v>
      </c>
      <c r="G200" s="947"/>
      <c r="H200" s="946"/>
      <c r="I200" s="948"/>
      <c r="J200" s="948"/>
      <c r="K200" s="948"/>
      <c r="L200" s="948"/>
      <c r="M200" s="948"/>
      <c r="N200" s="947"/>
      <c r="O200" s="949"/>
      <c r="P200" s="946"/>
      <c r="Q200" s="947"/>
      <c r="R200" s="950">
        <f t="shared" si="30"/>
        <v>1.0209999999999999</v>
      </c>
      <c r="S200" s="926"/>
      <c r="T200" s="926"/>
      <c r="U200" s="926"/>
      <c r="V200" s="926"/>
      <c r="W200" s="926"/>
      <c r="X200" s="926"/>
      <c r="Y200" s="926"/>
      <c r="Z200" s="926"/>
      <c r="AA200" s="926"/>
      <c r="AB200" s="926"/>
      <c r="AC200" s="926"/>
      <c r="AD200" s="926"/>
      <c r="AE200" s="926"/>
      <c r="AF200" s="926"/>
      <c r="AG200" s="926"/>
      <c r="AH200" s="926"/>
      <c r="AI200" s="926"/>
      <c r="AJ200" s="926"/>
      <c r="AK200" s="926"/>
      <c r="AL200" s="926"/>
      <c r="AM200" s="926"/>
      <c r="AN200" s="926"/>
      <c r="AO200" s="926"/>
      <c r="AP200" s="926"/>
      <c r="AQ200" s="926"/>
      <c r="AR200" s="926"/>
      <c r="AS200" s="926"/>
      <c r="AT200" s="926"/>
      <c r="AU200" s="926"/>
      <c r="AV200" s="926"/>
      <c r="AW200" s="926"/>
      <c r="AX200" s="926"/>
      <c r="AY200" s="926"/>
      <c r="AZ200" s="926"/>
      <c r="BA200" s="926"/>
      <c r="BB200" s="926"/>
      <c r="BC200" s="926"/>
      <c r="BD200" s="926"/>
      <c r="BE200" s="926"/>
      <c r="BF200" s="926"/>
      <c r="BG200" s="926"/>
      <c r="BH200" s="926"/>
      <c r="BI200" s="926"/>
      <c r="BJ200" s="926"/>
      <c r="BK200" s="926"/>
      <c r="BL200" s="926"/>
      <c r="BM200" s="926"/>
      <c r="BN200" s="926"/>
      <c r="BO200" s="926"/>
      <c r="BP200" s="926"/>
      <c r="BQ200" s="926"/>
      <c r="BR200" s="926"/>
      <c r="BS200" s="926"/>
      <c r="BT200" s="926"/>
      <c r="BU200" s="926"/>
      <c r="BV200" s="926"/>
      <c r="BW200" s="926"/>
      <c r="BX200" s="926"/>
      <c r="BY200" s="926"/>
      <c r="BZ200" s="926"/>
      <c r="CA200" s="926"/>
      <c r="CB200" s="926"/>
      <c r="CC200" s="926"/>
      <c r="CD200" s="926"/>
      <c r="CE200" s="926"/>
      <c r="CF200" s="926"/>
      <c r="CG200" s="926"/>
      <c r="CH200" s="926"/>
      <c r="CI200" s="926"/>
      <c r="CJ200" s="926"/>
      <c r="CK200" s="926"/>
      <c r="CL200" s="926"/>
      <c r="CM200" s="926"/>
      <c r="CN200" s="926"/>
      <c r="CO200" s="926"/>
      <c r="CP200" s="926"/>
      <c r="CQ200" s="926"/>
      <c r="CR200" s="926"/>
      <c r="CS200" s="926"/>
      <c r="CT200" s="926"/>
      <c r="CU200" s="926"/>
      <c r="CV200" s="926"/>
      <c r="CW200" s="926"/>
      <c r="CX200" s="926"/>
      <c r="CY200" s="926"/>
      <c r="CZ200" s="926"/>
      <c r="DA200" s="926"/>
      <c r="DB200" s="926"/>
      <c r="DC200" s="926"/>
      <c r="DD200" s="926"/>
      <c r="DE200" s="926"/>
      <c r="DF200" s="926"/>
      <c r="DG200" s="926"/>
      <c r="DH200" s="926"/>
      <c r="DI200" s="926"/>
      <c r="DJ200" s="926"/>
      <c r="DK200" s="926"/>
      <c r="DL200" s="926"/>
      <c r="DM200" s="926"/>
      <c r="DN200" s="926"/>
      <c r="DO200" s="926"/>
      <c r="DP200" s="926"/>
      <c r="DQ200" s="926"/>
      <c r="DR200" s="926"/>
      <c r="DS200" s="926"/>
      <c r="DT200" s="926"/>
      <c r="DU200" s="926"/>
      <c r="DV200" s="926"/>
      <c r="DW200" s="926"/>
      <c r="DX200" s="926"/>
      <c r="DY200" s="926"/>
      <c r="DZ200" s="926"/>
      <c r="EA200" s="926"/>
      <c r="EB200" s="926"/>
      <c r="EC200" s="926"/>
      <c r="ED200" s="926"/>
      <c r="EE200" s="926"/>
      <c r="EF200" s="926"/>
      <c r="EG200" s="926"/>
      <c r="EH200" s="926"/>
      <c r="EI200" s="926"/>
      <c r="EJ200" s="926"/>
      <c r="EK200" s="926"/>
      <c r="EL200" s="926"/>
      <c r="EM200" s="926"/>
      <c r="EN200" s="926"/>
      <c r="EO200" s="926"/>
      <c r="EP200" s="926"/>
      <c r="EQ200" s="926"/>
      <c r="ER200" s="926"/>
      <c r="ES200" s="926"/>
      <c r="ET200" s="926"/>
      <c r="EU200" s="926"/>
      <c r="EV200" s="926"/>
      <c r="EW200" s="926"/>
      <c r="EX200" s="926"/>
      <c r="EY200" s="926"/>
      <c r="EZ200" s="926"/>
      <c r="FA200" s="926"/>
      <c r="FB200" s="926"/>
      <c r="FC200" s="926"/>
      <c r="FD200" s="926"/>
      <c r="FE200" s="926"/>
      <c r="FF200" s="926"/>
      <c r="FG200" s="926"/>
      <c r="FH200" s="926"/>
      <c r="FI200" s="926"/>
      <c r="FJ200" s="926"/>
      <c r="FK200" s="926"/>
      <c r="FL200" s="926"/>
      <c r="FM200" s="926"/>
      <c r="FN200" s="926"/>
      <c r="FO200" s="926"/>
      <c r="FP200" s="926"/>
      <c r="FQ200" s="926"/>
      <c r="FR200" s="926"/>
      <c r="FS200" s="926"/>
      <c r="FT200" s="926"/>
      <c r="FU200" s="926"/>
      <c r="FV200" s="926"/>
      <c r="FW200" s="926"/>
      <c r="FX200" s="926"/>
      <c r="FY200" s="926"/>
      <c r="FZ200" s="926"/>
      <c r="GA200" s="926"/>
      <c r="GB200" s="926"/>
      <c r="GC200" s="926"/>
      <c r="GD200" s="926"/>
      <c r="GE200" s="926"/>
      <c r="GF200" s="926"/>
      <c r="GG200" s="926"/>
      <c r="GH200" s="926"/>
      <c r="GI200" s="926"/>
      <c r="GJ200" s="926"/>
      <c r="GK200" s="926"/>
      <c r="GL200" s="926"/>
      <c r="GM200" s="926"/>
      <c r="GN200" s="926"/>
      <c r="GO200" s="926"/>
      <c r="GP200" s="926"/>
      <c r="GQ200" s="926"/>
      <c r="GR200" s="926"/>
      <c r="GS200" s="926"/>
      <c r="GT200" s="926"/>
      <c r="GU200" s="926"/>
      <c r="GV200" s="926"/>
      <c r="GW200" s="926"/>
      <c r="GX200" s="926"/>
      <c r="GY200" s="926"/>
      <c r="GZ200" s="926"/>
      <c r="HA200" s="926"/>
      <c r="HB200" s="926"/>
      <c r="HC200" s="926"/>
      <c r="HD200" s="926"/>
      <c r="HE200" s="926"/>
      <c r="HF200" s="926"/>
      <c r="HG200" s="926"/>
      <c r="HH200" s="926"/>
      <c r="HI200" s="926"/>
      <c r="HJ200" s="926"/>
      <c r="HK200" s="926"/>
      <c r="HL200" s="926"/>
      <c r="HM200" s="926"/>
      <c r="HN200" s="926"/>
      <c r="HO200" s="926"/>
      <c r="HP200" s="926"/>
      <c r="HQ200" s="926"/>
      <c r="HR200" s="926"/>
      <c r="HS200" s="926"/>
      <c r="HT200" s="926"/>
      <c r="HU200" s="926"/>
      <c r="HV200" s="926"/>
      <c r="HW200" s="926"/>
      <c r="HX200" s="926"/>
      <c r="HY200" s="926"/>
      <c r="HZ200" s="926"/>
      <c r="IA200" s="926"/>
      <c r="IB200" s="926"/>
      <c r="IC200" s="926"/>
      <c r="ID200" s="926"/>
      <c r="IE200" s="926"/>
      <c r="IF200" s="926"/>
      <c r="IG200" s="926"/>
      <c r="IH200" s="926"/>
      <c r="II200" s="926"/>
      <c r="IJ200" s="926"/>
      <c r="IK200" s="926"/>
      <c r="IL200" s="926"/>
      <c r="IM200" s="926"/>
    </row>
    <row r="201" spans="1:247" x14ac:dyDescent="0.45">
      <c r="A201" s="441">
        <v>7517</v>
      </c>
      <c r="B201" s="939" t="s">
        <v>2737</v>
      </c>
      <c r="C201" s="47" t="s">
        <v>88</v>
      </c>
      <c r="D201" s="449" t="s">
        <v>2537</v>
      </c>
      <c r="E201" s="946"/>
      <c r="F201" s="941">
        <f t="shared" si="29"/>
        <v>1.0209999999999999</v>
      </c>
      <c r="G201" s="947"/>
      <c r="H201" s="946"/>
      <c r="I201" s="948"/>
      <c r="J201" s="948"/>
      <c r="K201" s="948"/>
      <c r="L201" s="948"/>
      <c r="M201" s="948"/>
      <c r="N201" s="947"/>
      <c r="O201" s="949"/>
      <c r="P201" s="946"/>
      <c r="Q201" s="947"/>
      <c r="R201" s="950">
        <f t="shared" si="30"/>
        <v>1.0209999999999999</v>
      </c>
      <c r="S201" s="926"/>
      <c r="T201" s="926"/>
      <c r="U201" s="926"/>
      <c r="V201" s="926"/>
      <c r="W201" s="926"/>
      <c r="X201" s="926"/>
      <c r="Y201" s="926"/>
      <c r="Z201" s="926"/>
      <c r="AA201" s="926"/>
      <c r="AB201" s="926"/>
      <c r="AC201" s="926"/>
      <c r="AD201" s="926"/>
      <c r="AE201" s="926"/>
      <c r="AF201" s="926"/>
      <c r="AG201" s="926"/>
      <c r="AH201" s="926"/>
      <c r="AI201" s="926"/>
      <c r="AJ201" s="926"/>
      <c r="AK201" s="926"/>
      <c r="AL201" s="926"/>
      <c r="AM201" s="926"/>
      <c r="AN201" s="926"/>
      <c r="AO201" s="926"/>
      <c r="AP201" s="926"/>
      <c r="AQ201" s="926"/>
      <c r="AR201" s="926"/>
      <c r="AS201" s="926"/>
      <c r="AT201" s="926"/>
      <c r="AU201" s="926"/>
      <c r="AV201" s="926"/>
      <c r="AW201" s="926"/>
      <c r="AX201" s="926"/>
      <c r="AY201" s="926"/>
      <c r="AZ201" s="926"/>
      <c r="BA201" s="926"/>
      <c r="BB201" s="926"/>
      <c r="BC201" s="926"/>
      <c r="BD201" s="926"/>
      <c r="BE201" s="926"/>
      <c r="BF201" s="926"/>
      <c r="BG201" s="926"/>
      <c r="BH201" s="926"/>
      <c r="BI201" s="926"/>
      <c r="BJ201" s="926"/>
      <c r="BK201" s="926"/>
      <c r="BL201" s="926"/>
      <c r="BM201" s="926"/>
      <c r="BN201" s="926"/>
      <c r="BO201" s="926"/>
      <c r="BP201" s="926"/>
      <c r="BQ201" s="926"/>
      <c r="BR201" s="926"/>
      <c r="BS201" s="926"/>
      <c r="BT201" s="926"/>
      <c r="BU201" s="926"/>
      <c r="BV201" s="926"/>
      <c r="BW201" s="926"/>
      <c r="BX201" s="926"/>
      <c r="BY201" s="926"/>
      <c r="BZ201" s="926"/>
      <c r="CA201" s="926"/>
      <c r="CB201" s="926"/>
      <c r="CC201" s="926"/>
      <c r="CD201" s="926"/>
      <c r="CE201" s="926"/>
      <c r="CF201" s="926"/>
      <c r="CG201" s="926"/>
      <c r="CH201" s="926"/>
      <c r="CI201" s="926"/>
      <c r="CJ201" s="926"/>
      <c r="CK201" s="926"/>
      <c r="CL201" s="926"/>
      <c r="CM201" s="926"/>
      <c r="CN201" s="926"/>
      <c r="CO201" s="926"/>
      <c r="CP201" s="926"/>
      <c r="CQ201" s="926"/>
      <c r="CR201" s="926"/>
      <c r="CS201" s="926"/>
      <c r="CT201" s="926"/>
      <c r="CU201" s="926"/>
      <c r="CV201" s="926"/>
      <c r="CW201" s="926"/>
      <c r="CX201" s="926"/>
      <c r="CY201" s="926"/>
      <c r="CZ201" s="926"/>
      <c r="DA201" s="926"/>
      <c r="DB201" s="926"/>
      <c r="DC201" s="926"/>
      <c r="DD201" s="926"/>
      <c r="DE201" s="926"/>
      <c r="DF201" s="926"/>
      <c r="DG201" s="926"/>
      <c r="DH201" s="926"/>
      <c r="DI201" s="926"/>
      <c r="DJ201" s="926"/>
      <c r="DK201" s="926"/>
      <c r="DL201" s="926"/>
      <c r="DM201" s="926"/>
      <c r="DN201" s="926"/>
      <c r="DO201" s="926"/>
      <c r="DP201" s="926"/>
      <c r="DQ201" s="926"/>
      <c r="DR201" s="926"/>
      <c r="DS201" s="926"/>
      <c r="DT201" s="926"/>
      <c r="DU201" s="926"/>
      <c r="DV201" s="926"/>
      <c r="DW201" s="926"/>
      <c r="DX201" s="926"/>
      <c r="DY201" s="926"/>
      <c r="DZ201" s="926"/>
      <c r="EA201" s="926"/>
      <c r="EB201" s="926"/>
      <c r="EC201" s="926"/>
      <c r="ED201" s="926"/>
      <c r="EE201" s="926"/>
      <c r="EF201" s="926"/>
      <c r="EG201" s="926"/>
      <c r="EH201" s="926"/>
      <c r="EI201" s="926"/>
      <c r="EJ201" s="926"/>
      <c r="EK201" s="926"/>
      <c r="EL201" s="926"/>
      <c r="EM201" s="926"/>
      <c r="EN201" s="926"/>
      <c r="EO201" s="926"/>
      <c r="EP201" s="926"/>
      <c r="EQ201" s="926"/>
      <c r="ER201" s="926"/>
      <c r="ES201" s="926"/>
      <c r="ET201" s="926"/>
      <c r="EU201" s="926"/>
      <c r="EV201" s="926"/>
      <c r="EW201" s="926"/>
      <c r="EX201" s="926"/>
      <c r="EY201" s="926"/>
      <c r="EZ201" s="926"/>
      <c r="FA201" s="926"/>
      <c r="FB201" s="926"/>
      <c r="FC201" s="926"/>
      <c r="FD201" s="926"/>
      <c r="FE201" s="926"/>
      <c r="FF201" s="926"/>
      <c r="FG201" s="926"/>
      <c r="FH201" s="926"/>
      <c r="FI201" s="926"/>
      <c r="FJ201" s="926"/>
      <c r="FK201" s="926"/>
      <c r="FL201" s="926"/>
      <c r="FM201" s="926"/>
      <c r="FN201" s="926"/>
      <c r="FO201" s="926"/>
      <c r="FP201" s="926"/>
      <c r="FQ201" s="926"/>
      <c r="FR201" s="926"/>
      <c r="FS201" s="926"/>
      <c r="FT201" s="926"/>
      <c r="FU201" s="926"/>
      <c r="FV201" s="926"/>
      <c r="FW201" s="926"/>
      <c r="FX201" s="926"/>
      <c r="FY201" s="926"/>
      <c r="FZ201" s="926"/>
      <c r="GA201" s="926"/>
      <c r="GB201" s="926"/>
      <c r="GC201" s="926"/>
      <c r="GD201" s="926"/>
      <c r="GE201" s="926"/>
      <c r="GF201" s="926"/>
      <c r="GG201" s="926"/>
      <c r="GH201" s="926"/>
      <c r="GI201" s="926"/>
      <c r="GJ201" s="926"/>
      <c r="GK201" s="926"/>
      <c r="GL201" s="926"/>
      <c r="GM201" s="926"/>
      <c r="GN201" s="926"/>
      <c r="GO201" s="926"/>
      <c r="GP201" s="926"/>
      <c r="GQ201" s="926"/>
      <c r="GR201" s="926"/>
      <c r="GS201" s="926"/>
      <c r="GT201" s="926"/>
      <c r="GU201" s="926"/>
      <c r="GV201" s="926"/>
      <c r="GW201" s="926"/>
      <c r="GX201" s="926"/>
      <c r="GY201" s="926"/>
      <c r="GZ201" s="926"/>
      <c r="HA201" s="926"/>
      <c r="HB201" s="926"/>
      <c r="HC201" s="926"/>
      <c r="HD201" s="926"/>
      <c r="HE201" s="926"/>
      <c r="HF201" s="926"/>
      <c r="HG201" s="926"/>
      <c r="HH201" s="926"/>
      <c r="HI201" s="926"/>
      <c r="HJ201" s="926"/>
      <c r="HK201" s="926"/>
      <c r="HL201" s="926"/>
      <c r="HM201" s="926"/>
      <c r="HN201" s="926"/>
      <c r="HO201" s="926"/>
      <c r="HP201" s="926"/>
      <c r="HQ201" s="926"/>
      <c r="HR201" s="926"/>
      <c r="HS201" s="926"/>
      <c r="HT201" s="926"/>
      <c r="HU201" s="926"/>
      <c r="HV201" s="926"/>
      <c r="HW201" s="926"/>
      <c r="HX201" s="926"/>
      <c r="HY201" s="926"/>
      <c r="HZ201" s="926"/>
      <c r="IA201" s="926"/>
      <c r="IB201" s="926"/>
      <c r="IC201" s="926"/>
      <c r="ID201" s="926"/>
      <c r="IE201" s="926"/>
      <c r="IF201" s="926"/>
      <c r="IG201" s="926"/>
      <c r="IH201" s="926"/>
      <c r="II201" s="926"/>
      <c r="IJ201" s="926"/>
      <c r="IK201" s="926"/>
      <c r="IL201" s="926"/>
      <c r="IM201" s="926"/>
    </row>
    <row r="202" spans="1:247" x14ac:dyDescent="0.45">
      <c r="A202" s="441">
        <v>7518</v>
      </c>
      <c r="B202" s="939" t="s">
        <v>2738</v>
      </c>
      <c r="C202" s="47" t="s">
        <v>88</v>
      </c>
      <c r="D202" s="449" t="s">
        <v>2537</v>
      </c>
      <c r="E202" s="946"/>
      <c r="F202" s="941">
        <f t="shared" si="29"/>
        <v>1.0209999999999999</v>
      </c>
      <c r="G202" s="947">
        <f>+$G$3</f>
        <v>1.0269999999999999</v>
      </c>
      <c r="H202" s="946"/>
      <c r="I202" s="948"/>
      <c r="J202" s="948"/>
      <c r="K202" s="948"/>
      <c r="L202" s="948"/>
      <c r="M202" s="948"/>
      <c r="N202" s="947"/>
      <c r="O202" s="949"/>
      <c r="P202" s="946">
        <f>+$P$3</f>
        <v>1.032</v>
      </c>
      <c r="Q202" s="947">
        <f>+$Q$3</f>
        <v>1.0349999999999999</v>
      </c>
      <c r="R202" s="950">
        <f t="shared" si="30"/>
        <v>1.1199953840399997</v>
      </c>
      <c r="S202" s="926"/>
      <c r="T202" s="926"/>
      <c r="U202" s="926"/>
      <c r="V202" s="926"/>
      <c r="W202" s="926"/>
      <c r="X202" s="926"/>
      <c r="Y202" s="926"/>
      <c r="Z202" s="926"/>
      <c r="AA202" s="926"/>
      <c r="AB202" s="926"/>
      <c r="AC202" s="926"/>
      <c r="AD202" s="926"/>
      <c r="AE202" s="926"/>
      <c r="AF202" s="926"/>
      <c r="AG202" s="926"/>
      <c r="AH202" s="926"/>
      <c r="AI202" s="926"/>
      <c r="AJ202" s="926"/>
      <c r="AK202" s="926"/>
      <c r="AL202" s="926"/>
      <c r="AM202" s="926"/>
      <c r="AN202" s="926"/>
      <c r="AO202" s="926"/>
      <c r="AP202" s="926"/>
      <c r="AQ202" s="926"/>
      <c r="AR202" s="926"/>
      <c r="AS202" s="926"/>
      <c r="AT202" s="926"/>
      <c r="AU202" s="926"/>
      <c r="AV202" s="926"/>
      <c r="AW202" s="926"/>
      <c r="AX202" s="926"/>
      <c r="AY202" s="926"/>
      <c r="AZ202" s="926"/>
      <c r="BA202" s="926"/>
      <c r="BB202" s="926"/>
      <c r="BC202" s="926"/>
      <c r="BD202" s="926"/>
      <c r="BE202" s="926"/>
      <c r="BF202" s="926"/>
      <c r="BG202" s="926"/>
      <c r="BH202" s="926"/>
      <c r="BI202" s="926"/>
      <c r="BJ202" s="926"/>
      <c r="BK202" s="926"/>
      <c r="BL202" s="926"/>
      <c r="BM202" s="926"/>
      <c r="BN202" s="926"/>
      <c r="BO202" s="926"/>
      <c r="BP202" s="926"/>
      <c r="BQ202" s="926"/>
      <c r="BR202" s="926"/>
      <c r="BS202" s="926"/>
      <c r="BT202" s="926"/>
      <c r="BU202" s="926"/>
      <c r="BV202" s="926"/>
      <c r="BW202" s="926"/>
      <c r="BX202" s="926"/>
      <c r="BY202" s="926"/>
      <c r="BZ202" s="926"/>
      <c r="CA202" s="926"/>
      <c r="CB202" s="926"/>
      <c r="CC202" s="926"/>
      <c r="CD202" s="926"/>
      <c r="CE202" s="926"/>
      <c r="CF202" s="926"/>
      <c r="CG202" s="926"/>
      <c r="CH202" s="926"/>
      <c r="CI202" s="926"/>
      <c r="CJ202" s="926"/>
      <c r="CK202" s="926"/>
      <c r="CL202" s="926"/>
      <c r="CM202" s="926"/>
      <c r="CN202" s="926"/>
      <c r="CO202" s="926"/>
      <c r="CP202" s="926"/>
      <c r="CQ202" s="926"/>
      <c r="CR202" s="926"/>
      <c r="CS202" s="926"/>
      <c r="CT202" s="926"/>
      <c r="CU202" s="926"/>
      <c r="CV202" s="926"/>
      <c r="CW202" s="926"/>
      <c r="CX202" s="926"/>
      <c r="CY202" s="926"/>
      <c r="CZ202" s="926"/>
      <c r="DA202" s="926"/>
      <c r="DB202" s="926"/>
      <c r="DC202" s="926"/>
      <c r="DD202" s="926"/>
      <c r="DE202" s="926"/>
      <c r="DF202" s="926"/>
      <c r="DG202" s="926"/>
      <c r="DH202" s="926"/>
      <c r="DI202" s="926"/>
      <c r="DJ202" s="926"/>
      <c r="DK202" s="926"/>
      <c r="DL202" s="926"/>
      <c r="DM202" s="926"/>
      <c r="DN202" s="926"/>
      <c r="DO202" s="926"/>
      <c r="DP202" s="926"/>
      <c r="DQ202" s="926"/>
      <c r="DR202" s="926"/>
      <c r="DS202" s="926"/>
      <c r="DT202" s="926"/>
      <c r="DU202" s="926"/>
      <c r="DV202" s="926"/>
      <c r="DW202" s="926"/>
      <c r="DX202" s="926"/>
      <c r="DY202" s="926"/>
      <c r="DZ202" s="926"/>
      <c r="EA202" s="926"/>
      <c r="EB202" s="926"/>
      <c r="EC202" s="926"/>
      <c r="ED202" s="926"/>
      <c r="EE202" s="926"/>
      <c r="EF202" s="926"/>
      <c r="EG202" s="926"/>
      <c r="EH202" s="926"/>
      <c r="EI202" s="926"/>
      <c r="EJ202" s="926"/>
      <c r="EK202" s="926"/>
      <c r="EL202" s="926"/>
      <c r="EM202" s="926"/>
      <c r="EN202" s="926"/>
      <c r="EO202" s="926"/>
      <c r="EP202" s="926"/>
      <c r="EQ202" s="926"/>
      <c r="ER202" s="926"/>
      <c r="ES202" s="926"/>
      <c r="ET202" s="926"/>
      <c r="EU202" s="926"/>
      <c r="EV202" s="926"/>
      <c r="EW202" s="926"/>
      <c r="EX202" s="926"/>
      <c r="EY202" s="926"/>
      <c r="EZ202" s="926"/>
      <c r="FA202" s="926"/>
      <c r="FB202" s="926"/>
      <c r="FC202" s="926"/>
      <c r="FD202" s="926"/>
      <c r="FE202" s="926"/>
      <c r="FF202" s="926"/>
      <c r="FG202" s="926"/>
      <c r="FH202" s="926"/>
      <c r="FI202" s="926"/>
      <c r="FJ202" s="926"/>
      <c r="FK202" s="926"/>
      <c r="FL202" s="926"/>
      <c r="FM202" s="926"/>
      <c r="FN202" s="926"/>
      <c r="FO202" s="926"/>
      <c r="FP202" s="926"/>
      <c r="FQ202" s="926"/>
      <c r="FR202" s="926"/>
      <c r="FS202" s="926"/>
      <c r="FT202" s="926"/>
      <c r="FU202" s="926"/>
      <c r="FV202" s="926"/>
      <c r="FW202" s="926"/>
      <c r="FX202" s="926"/>
      <c r="FY202" s="926"/>
      <c r="FZ202" s="926"/>
      <c r="GA202" s="926"/>
      <c r="GB202" s="926"/>
      <c r="GC202" s="926"/>
      <c r="GD202" s="926"/>
      <c r="GE202" s="926"/>
      <c r="GF202" s="926"/>
      <c r="GG202" s="926"/>
      <c r="GH202" s="926"/>
      <c r="GI202" s="926"/>
      <c r="GJ202" s="926"/>
      <c r="GK202" s="926"/>
      <c r="GL202" s="926"/>
      <c r="GM202" s="926"/>
      <c r="GN202" s="926"/>
      <c r="GO202" s="926"/>
      <c r="GP202" s="926"/>
      <c r="GQ202" s="926"/>
      <c r="GR202" s="926"/>
      <c r="GS202" s="926"/>
      <c r="GT202" s="926"/>
      <c r="GU202" s="926"/>
      <c r="GV202" s="926"/>
      <c r="GW202" s="926"/>
      <c r="GX202" s="926"/>
      <c r="GY202" s="926"/>
      <c r="GZ202" s="926"/>
      <c r="HA202" s="926"/>
      <c r="HB202" s="926"/>
      <c r="HC202" s="926"/>
      <c r="HD202" s="926"/>
      <c r="HE202" s="926"/>
      <c r="HF202" s="926"/>
      <c r="HG202" s="926"/>
      <c r="HH202" s="926"/>
      <c r="HI202" s="926"/>
      <c r="HJ202" s="926"/>
      <c r="HK202" s="926"/>
      <c r="HL202" s="926"/>
      <c r="HM202" s="926"/>
      <c r="HN202" s="926"/>
      <c r="HO202" s="926"/>
      <c r="HP202" s="926"/>
      <c r="HQ202" s="926"/>
      <c r="HR202" s="926"/>
      <c r="HS202" s="926"/>
      <c r="HT202" s="926"/>
      <c r="HU202" s="926"/>
      <c r="HV202" s="926"/>
      <c r="HW202" s="926"/>
      <c r="HX202" s="926"/>
      <c r="HY202" s="926"/>
      <c r="HZ202" s="926"/>
      <c r="IA202" s="926"/>
      <c r="IB202" s="926"/>
      <c r="IC202" s="926"/>
      <c r="ID202" s="926"/>
      <c r="IE202" s="926"/>
      <c r="IF202" s="926"/>
      <c r="IG202" s="926"/>
      <c r="IH202" s="926"/>
      <c r="II202" s="926"/>
      <c r="IJ202" s="926"/>
      <c r="IK202" s="926"/>
      <c r="IL202" s="926"/>
      <c r="IM202" s="926"/>
    </row>
    <row r="203" spans="1:247" x14ac:dyDescent="0.45">
      <c r="A203" s="441">
        <v>7521</v>
      </c>
      <c r="B203" s="939" t="s">
        <v>2739</v>
      </c>
      <c r="C203" s="47" t="s">
        <v>88</v>
      </c>
      <c r="D203" s="449" t="s">
        <v>2537</v>
      </c>
      <c r="E203" s="946"/>
      <c r="F203" s="941">
        <f t="shared" si="29"/>
        <v>1.0209999999999999</v>
      </c>
      <c r="G203" s="947"/>
      <c r="H203" s="946"/>
      <c r="I203" s="948"/>
      <c r="J203" s="948"/>
      <c r="K203" s="948"/>
      <c r="L203" s="948"/>
      <c r="M203" s="948"/>
      <c r="N203" s="947"/>
      <c r="O203" s="949"/>
      <c r="P203" s="946"/>
      <c r="Q203" s="947"/>
      <c r="R203" s="950">
        <f t="shared" si="30"/>
        <v>1.0209999999999999</v>
      </c>
      <c r="S203" s="926"/>
      <c r="T203" s="926"/>
      <c r="U203" s="926"/>
      <c r="V203" s="926"/>
      <c r="W203" s="926"/>
      <c r="X203" s="926"/>
      <c r="Y203" s="926"/>
      <c r="Z203" s="926"/>
      <c r="AA203" s="926"/>
      <c r="AB203" s="926"/>
      <c r="AC203" s="926"/>
      <c r="AD203" s="926"/>
      <c r="AE203" s="926"/>
      <c r="AF203" s="926"/>
      <c r="AG203" s="926"/>
      <c r="AH203" s="926"/>
      <c r="AI203" s="926"/>
      <c r="AJ203" s="926"/>
      <c r="AK203" s="926"/>
      <c r="AL203" s="926"/>
      <c r="AM203" s="926"/>
      <c r="AN203" s="926"/>
      <c r="AO203" s="926"/>
      <c r="AP203" s="926"/>
      <c r="AQ203" s="926"/>
      <c r="AR203" s="926"/>
      <c r="AS203" s="926"/>
      <c r="AT203" s="926"/>
      <c r="AU203" s="926"/>
      <c r="AV203" s="926"/>
      <c r="AW203" s="926"/>
      <c r="AX203" s="926"/>
      <c r="AY203" s="926"/>
      <c r="AZ203" s="926"/>
      <c r="BA203" s="926"/>
      <c r="BB203" s="926"/>
      <c r="BC203" s="926"/>
      <c r="BD203" s="926"/>
      <c r="BE203" s="926"/>
      <c r="BF203" s="926"/>
      <c r="BG203" s="926"/>
      <c r="BH203" s="926"/>
      <c r="BI203" s="926"/>
      <c r="BJ203" s="926"/>
      <c r="BK203" s="926"/>
      <c r="BL203" s="926"/>
      <c r="BM203" s="926"/>
      <c r="BN203" s="926"/>
      <c r="BO203" s="926"/>
      <c r="BP203" s="926"/>
      <c r="BQ203" s="926"/>
      <c r="BR203" s="926"/>
      <c r="BS203" s="926"/>
      <c r="BT203" s="926"/>
      <c r="BU203" s="926"/>
      <c r="BV203" s="926"/>
      <c r="BW203" s="926"/>
      <c r="BX203" s="926"/>
      <c r="BY203" s="926"/>
      <c r="BZ203" s="926"/>
      <c r="CA203" s="926"/>
      <c r="CB203" s="926"/>
      <c r="CC203" s="926"/>
      <c r="CD203" s="926"/>
      <c r="CE203" s="926"/>
      <c r="CF203" s="926"/>
      <c r="CG203" s="926"/>
      <c r="CH203" s="926"/>
      <c r="CI203" s="926"/>
      <c r="CJ203" s="926"/>
      <c r="CK203" s="926"/>
      <c r="CL203" s="926"/>
      <c r="CM203" s="926"/>
      <c r="CN203" s="926"/>
      <c r="CO203" s="926"/>
      <c r="CP203" s="926"/>
      <c r="CQ203" s="926"/>
      <c r="CR203" s="926"/>
      <c r="CS203" s="926"/>
      <c r="CT203" s="926"/>
      <c r="CU203" s="926"/>
      <c r="CV203" s="926"/>
      <c r="CW203" s="926"/>
      <c r="CX203" s="926"/>
      <c r="CY203" s="926"/>
      <c r="CZ203" s="926"/>
      <c r="DA203" s="926"/>
      <c r="DB203" s="926"/>
      <c r="DC203" s="926"/>
      <c r="DD203" s="926"/>
      <c r="DE203" s="926"/>
      <c r="DF203" s="926"/>
      <c r="DG203" s="926"/>
      <c r="DH203" s="926"/>
      <c r="DI203" s="926"/>
      <c r="DJ203" s="926"/>
      <c r="DK203" s="926"/>
      <c r="DL203" s="926"/>
      <c r="DM203" s="926"/>
      <c r="DN203" s="926"/>
      <c r="DO203" s="926"/>
      <c r="DP203" s="926"/>
      <c r="DQ203" s="926"/>
      <c r="DR203" s="926"/>
      <c r="DS203" s="926"/>
      <c r="DT203" s="926"/>
      <c r="DU203" s="926"/>
      <c r="DV203" s="926"/>
      <c r="DW203" s="926"/>
      <c r="DX203" s="926"/>
      <c r="DY203" s="926"/>
      <c r="DZ203" s="926"/>
      <c r="EA203" s="926"/>
      <c r="EB203" s="926"/>
      <c r="EC203" s="926"/>
      <c r="ED203" s="926"/>
      <c r="EE203" s="926"/>
      <c r="EF203" s="926"/>
      <c r="EG203" s="926"/>
      <c r="EH203" s="926"/>
      <c r="EI203" s="926"/>
      <c r="EJ203" s="926"/>
      <c r="EK203" s="926"/>
      <c r="EL203" s="926"/>
      <c r="EM203" s="926"/>
      <c r="EN203" s="926"/>
      <c r="EO203" s="926"/>
      <c r="EP203" s="926"/>
      <c r="EQ203" s="926"/>
      <c r="ER203" s="926"/>
      <c r="ES203" s="926"/>
      <c r="ET203" s="926"/>
      <c r="EU203" s="926"/>
      <c r="EV203" s="926"/>
      <c r="EW203" s="926"/>
      <c r="EX203" s="926"/>
      <c r="EY203" s="926"/>
      <c r="EZ203" s="926"/>
      <c r="FA203" s="926"/>
      <c r="FB203" s="926"/>
      <c r="FC203" s="926"/>
      <c r="FD203" s="926"/>
      <c r="FE203" s="926"/>
      <c r="FF203" s="926"/>
      <c r="FG203" s="926"/>
      <c r="FH203" s="926"/>
      <c r="FI203" s="926"/>
      <c r="FJ203" s="926"/>
      <c r="FK203" s="926"/>
      <c r="FL203" s="926"/>
      <c r="FM203" s="926"/>
      <c r="FN203" s="926"/>
      <c r="FO203" s="926"/>
      <c r="FP203" s="926"/>
      <c r="FQ203" s="926"/>
      <c r="FR203" s="926"/>
      <c r="FS203" s="926"/>
      <c r="FT203" s="926"/>
      <c r="FU203" s="926"/>
      <c r="FV203" s="926"/>
      <c r="FW203" s="926"/>
      <c r="FX203" s="926"/>
      <c r="FY203" s="926"/>
      <c r="FZ203" s="926"/>
      <c r="GA203" s="926"/>
      <c r="GB203" s="926"/>
      <c r="GC203" s="926"/>
      <c r="GD203" s="926"/>
      <c r="GE203" s="926"/>
      <c r="GF203" s="926"/>
      <c r="GG203" s="926"/>
      <c r="GH203" s="926"/>
      <c r="GI203" s="926"/>
      <c r="GJ203" s="926"/>
      <c r="GK203" s="926"/>
      <c r="GL203" s="926"/>
      <c r="GM203" s="926"/>
      <c r="GN203" s="926"/>
      <c r="GO203" s="926"/>
      <c r="GP203" s="926"/>
      <c r="GQ203" s="926"/>
      <c r="GR203" s="926"/>
      <c r="GS203" s="926"/>
      <c r="GT203" s="926"/>
      <c r="GU203" s="926"/>
      <c r="GV203" s="926"/>
      <c r="GW203" s="926"/>
      <c r="GX203" s="926"/>
      <c r="GY203" s="926"/>
      <c r="GZ203" s="926"/>
      <c r="HA203" s="926"/>
      <c r="HB203" s="926"/>
      <c r="HC203" s="926"/>
      <c r="HD203" s="926"/>
      <c r="HE203" s="926"/>
      <c r="HF203" s="926"/>
      <c r="HG203" s="926"/>
      <c r="HH203" s="926"/>
      <c r="HI203" s="926"/>
      <c r="HJ203" s="926"/>
      <c r="HK203" s="926"/>
      <c r="HL203" s="926"/>
      <c r="HM203" s="926"/>
      <c r="HN203" s="926"/>
      <c r="HO203" s="926"/>
      <c r="HP203" s="926"/>
      <c r="HQ203" s="926"/>
      <c r="HR203" s="926"/>
      <c r="HS203" s="926"/>
      <c r="HT203" s="926"/>
      <c r="HU203" s="926"/>
      <c r="HV203" s="926"/>
      <c r="HW203" s="926"/>
      <c r="HX203" s="926"/>
      <c r="HY203" s="926"/>
      <c r="HZ203" s="926"/>
      <c r="IA203" s="926"/>
      <c r="IB203" s="926"/>
      <c r="IC203" s="926"/>
      <c r="ID203" s="926"/>
      <c r="IE203" s="926"/>
      <c r="IF203" s="926"/>
      <c r="IG203" s="926"/>
      <c r="IH203" s="926"/>
      <c r="II203" s="926"/>
      <c r="IJ203" s="926"/>
      <c r="IK203" s="926"/>
      <c r="IL203" s="926"/>
      <c r="IM203" s="926"/>
    </row>
    <row r="204" spans="1:247" x14ac:dyDescent="0.45">
      <c r="A204" s="441">
        <v>7523</v>
      </c>
      <c r="B204" s="939" t="s">
        <v>2740</v>
      </c>
      <c r="C204" s="47" t="s">
        <v>88</v>
      </c>
      <c r="D204" s="449" t="s">
        <v>2537</v>
      </c>
      <c r="E204" s="946"/>
      <c r="F204" s="941">
        <f t="shared" ref="F204:F276" si="56">+$F$3</f>
        <v>1.0209999999999999</v>
      </c>
      <c r="G204" s="947">
        <f>+$G$3</f>
        <v>1.0269999999999999</v>
      </c>
      <c r="H204" s="946"/>
      <c r="I204" s="948"/>
      <c r="J204" s="948"/>
      <c r="K204" s="948"/>
      <c r="L204" s="948"/>
      <c r="M204" s="948"/>
      <c r="N204" s="947"/>
      <c r="O204" s="949"/>
      <c r="P204" s="946"/>
      <c r="Q204" s="947"/>
      <c r="R204" s="950">
        <f t="shared" ref="R204:R276" si="57">PRODUCT(E204:Q204)</f>
        <v>1.0485669999999998</v>
      </c>
      <c r="S204" s="926"/>
      <c r="T204" s="926"/>
      <c r="U204" s="926"/>
      <c r="V204" s="926"/>
      <c r="W204" s="926"/>
      <c r="X204" s="926"/>
      <c r="Y204" s="926"/>
      <c r="Z204" s="926"/>
      <c r="AA204" s="926"/>
      <c r="AB204" s="926"/>
      <c r="AC204" s="926"/>
      <c r="AD204" s="926"/>
      <c r="AE204" s="926"/>
      <c r="AF204" s="926"/>
      <c r="AG204" s="926"/>
      <c r="AH204" s="926"/>
      <c r="AI204" s="926"/>
      <c r="AJ204" s="926"/>
      <c r="AK204" s="926"/>
      <c r="AL204" s="926"/>
      <c r="AM204" s="926"/>
      <c r="AN204" s="926"/>
      <c r="AO204" s="926"/>
      <c r="AP204" s="926"/>
      <c r="AQ204" s="926"/>
      <c r="AR204" s="926"/>
      <c r="AS204" s="926"/>
      <c r="AT204" s="926"/>
      <c r="AU204" s="926"/>
      <c r="AV204" s="926"/>
      <c r="AW204" s="926"/>
      <c r="AX204" s="926"/>
      <c r="AY204" s="926"/>
      <c r="AZ204" s="926"/>
      <c r="BA204" s="926"/>
      <c r="BB204" s="926"/>
      <c r="BC204" s="926"/>
      <c r="BD204" s="926"/>
      <c r="BE204" s="926"/>
      <c r="BF204" s="926"/>
      <c r="BG204" s="926"/>
      <c r="BH204" s="926"/>
      <c r="BI204" s="926"/>
      <c r="BJ204" s="926"/>
      <c r="BK204" s="926"/>
      <c r="BL204" s="926"/>
      <c r="BM204" s="926"/>
      <c r="BN204" s="926"/>
      <c r="BO204" s="926"/>
      <c r="BP204" s="926"/>
      <c r="BQ204" s="926"/>
      <c r="BR204" s="926"/>
      <c r="BS204" s="926"/>
      <c r="BT204" s="926"/>
      <c r="BU204" s="926"/>
      <c r="BV204" s="926"/>
      <c r="BW204" s="926"/>
      <c r="BX204" s="926"/>
      <c r="BY204" s="926"/>
      <c r="BZ204" s="926"/>
      <c r="CA204" s="926"/>
      <c r="CB204" s="926"/>
      <c r="CC204" s="926"/>
      <c r="CD204" s="926"/>
      <c r="CE204" s="926"/>
      <c r="CF204" s="926"/>
      <c r="CG204" s="926"/>
      <c r="CH204" s="926"/>
      <c r="CI204" s="926"/>
      <c r="CJ204" s="926"/>
      <c r="CK204" s="926"/>
      <c r="CL204" s="926"/>
      <c r="CM204" s="926"/>
      <c r="CN204" s="926"/>
      <c r="CO204" s="926"/>
      <c r="CP204" s="926"/>
      <c r="CQ204" s="926"/>
      <c r="CR204" s="926"/>
      <c r="CS204" s="926"/>
      <c r="CT204" s="926"/>
      <c r="CU204" s="926"/>
      <c r="CV204" s="926"/>
      <c r="CW204" s="926"/>
      <c r="CX204" s="926"/>
      <c r="CY204" s="926"/>
      <c r="CZ204" s="926"/>
      <c r="DA204" s="926"/>
      <c r="DB204" s="926"/>
      <c r="DC204" s="926"/>
      <c r="DD204" s="926"/>
      <c r="DE204" s="926"/>
      <c r="DF204" s="926"/>
      <c r="DG204" s="926"/>
      <c r="DH204" s="926"/>
      <c r="DI204" s="926"/>
      <c r="DJ204" s="926"/>
      <c r="DK204" s="926"/>
      <c r="DL204" s="926"/>
      <c r="DM204" s="926"/>
      <c r="DN204" s="926"/>
      <c r="DO204" s="926"/>
      <c r="DP204" s="926"/>
      <c r="DQ204" s="926"/>
      <c r="DR204" s="926"/>
      <c r="DS204" s="926"/>
      <c r="DT204" s="926"/>
      <c r="DU204" s="926"/>
      <c r="DV204" s="926"/>
      <c r="DW204" s="926"/>
      <c r="DX204" s="926"/>
      <c r="DY204" s="926"/>
      <c r="DZ204" s="926"/>
      <c r="EA204" s="926"/>
      <c r="EB204" s="926"/>
      <c r="EC204" s="926"/>
      <c r="ED204" s="926"/>
      <c r="EE204" s="926"/>
      <c r="EF204" s="926"/>
      <c r="EG204" s="926"/>
      <c r="EH204" s="926"/>
      <c r="EI204" s="926"/>
      <c r="EJ204" s="926"/>
      <c r="EK204" s="926"/>
      <c r="EL204" s="926"/>
      <c r="EM204" s="926"/>
      <c r="EN204" s="926"/>
      <c r="EO204" s="926"/>
      <c r="EP204" s="926"/>
      <c r="EQ204" s="926"/>
      <c r="ER204" s="926"/>
      <c r="ES204" s="926"/>
      <c r="ET204" s="926"/>
      <c r="EU204" s="926"/>
      <c r="EV204" s="926"/>
      <c r="EW204" s="926"/>
      <c r="EX204" s="926"/>
      <c r="EY204" s="926"/>
      <c r="EZ204" s="926"/>
      <c r="FA204" s="926"/>
      <c r="FB204" s="926"/>
      <c r="FC204" s="926"/>
      <c r="FD204" s="926"/>
      <c r="FE204" s="926"/>
      <c r="FF204" s="926"/>
      <c r="FG204" s="926"/>
      <c r="FH204" s="926"/>
      <c r="FI204" s="926"/>
      <c r="FJ204" s="926"/>
      <c r="FK204" s="926"/>
      <c r="FL204" s="926"/>
      <c r="FM204" s="926"/>
      <c r="FN204" s="926"/>
      <c r="FO204" s="926"/>
      <c r="FP204" s="926"/>
      <c r="FQ204" s="926"/>
      <c r="FR204" s="926"/>
      <c r="FS204" s="926"/>
      <c r="FT204" s="926"/>
      <c r="FU204" s="926"/>
      <c r="FV204" s="926"/>
      <c r="FW204" s="926"/>
      <c r="FX204" s="926"/>
      <c r="FY204" s="926"/>
      <c r="FZ204" s="926"/>
      <c r="GA204" s="926"/>
      <c r="GB204" s="926"/>
      <c r="GC204" s="926"/>
      <c r="GD204" s="926"/>
      <c r="GE204" s="926"/>
      <c r="GF204" s="926"/>
      <c r="GG204" s="926"/>
      <c r="GH204" s="926"/>
      <c r="GI204" s="926"/>
      <c r="GJ204" s="926"/>
      <c r="GK204" s="926"/>
      <c r="GL204" s="926"/>
      <c r="GM204" s="926"/>
      <c r="GN204" s="926"/>
      <c r="GO204" s="926"/>
      <c r="GP204" s="926"/>
      <c r="GQ204" s="926"/>
      <c r="GR204" s="926"/>
      <c r="GS204" s="926"/>
      <c r="GT204" s="926"/>
      <c r="GU204" s="926"/>
      <c r="GV204" s="926"/>
      <c r="GW204" s="926"/>
      <c r="GX204" s="926"/>
      <c r="GY204" s="926"/>
      <c r="GZ204" s="926"/>
      <c r="HA204" s="926"/>
      <c r="HB204" s="926"/>
      <c r="HC204" s="926"/>
      <c r="HD204" s="926"/>
      <c r="HE204" s="926"/>
      <c r="HF204" s="926"/>
      <c r="HG204" s="926"/>
      <c r="HH204" s="926"/>
      <c r="HI204" s="926"/>
      <c r="HJ204" s="926"/>
      <c r="HK204" s="926"/>
      <c r="HL204" s="926"/>
      <c r="HM204" s="926"/>
      <c r="HN204" s="926"/>
      <c r="HO204" s="926"/>
      <c r="HP204" s="926"/>
      <c r="HQ204" s="926"/>
      <c r="HR204" s="926"/>
      <c r="HS204" s="926"/>
      <c r="HT204" s="926"/>
      <c r="HU204" s="926"/>
      <c r="HV204" s="926"/>
      <c r="HW204" s="926"/>
      <c r="HX204" s="926"/>
      <c r="HY204" s="926"/>
      <c r="HZ204" s="926"/>
      <c r="IA204" s="926"/>
      <c r="IB204" s="926"/>
      <c r="IC204" s="926"/>
      <c r="ID204" s="926"/>
      <c r="IE204" s="926"/>
      <c r="IF204" s="926"/>
      <c r="IG204" s="926"/>
      <c r="IH204" s="926"/>
      <c r="II204" s="926"/>
      <c r="IJ204" s="926"/>
      <c r="IK204" s="926"/>
      <c r="IL204" s="926"/>
      <c r="IM204" s="926"/>
    </row>
    <row r="205" spans="1:247" x14ac:dyDescent="0.45">
      <c r="A205" s="441">
        <v>7524</v>
      </c>
      <c r="B205" s="939" t="s">
        <v>2741</v>
      </c>
      <c r="C205" s="47" t="s">
        <v>88</v>
      </c>
      <c r="D205" s="449" t="s">
        <v>2537</v>
      </c>
      <c r="E205" s="946"/>
      <c r="F205" s="941">
        <f t="shared" si="56"/>
        <v>1.0209999999999999</v>
      </c>
      <c r="G205" s="947">
        <f>+$G$3</f>
        <v>1.0269999999999999</v>
      </c>
      <c r="H205" s="946"/>
      <c r="I205" s="948"/>
      <c r="J205" s="948"/>
      <c r="K205" s="948"/>
      <c r="L205" s="948"/>
      <c r="M205" s="948"/>
      <c r="N205" s="947"/>
      <c r="O205" s="949"/>
      <c r="P205" s="946">
        <f>+$P$3</f>
        <v>1.032</v>
      </c>
      <c r="Q205" s="947">
        <f>+$Q$3</f>
        <v>1.0349999999999999</v>
      </c>
      <c r="R205" s="950">
        <f t="shared" si="57"/>
        <v>1.1199953840399997</v>
      </c>
      <c r="S205" s="926"/>
      <c r="T205" s="926"/>
      <c r="U205" s="926"/>
      <c r="V205" s="926"/>
      <c r="W205" s="926"/>
      <c r="X205" s="926"/>
      <c r="Y205" s="926"/>
      <c r="Z205" s="926"/>
      <c r="AA205" s="926"/>
      <c r="AB205" s="926"/>
      <c r="AC205" s="926"/>
      <c r="AD205" s="926"/>
      <c r="AE205" s="926"/>
      <c r="AF205" s="926"/>
      <c r="AG205" s="926"/>
      <c r="AH205" s="926"/>
      <c r="AI205" s="926"/>
      <c r="AJ205" s="926"/>
      <c r="AK205" s="926"/>
      <c r="AL205" s="926"/>
      <c r="AM205" s="926"/>
      <c r="AN205" s="926"/>
      <c r="AO205" s="926"/>
      <c r="AP205" s="926"/>
      <c r="AQ205" s="926"/>
      <c r="AR205" s="926"/>
      <c r="AS205" s="926"/>
      <c r="AT205" s="926"/>
      <c r="AU205" s="926"/>
      <c r="AV205" s="926"/>
      <c r="AW205" s="926"/>
      <c r="AX205" s="926"/>
      <c r="AY205" s="926"/>
      <c r="AZ205" s="926"/>
      <c r="BA205" s="926"/>
      <c r="BB205" s="926"/>
      <c r="BC205" s="926"/>
      <c r="BD205" s="926"/>
      <c r="BE205" s="926"/>
      <c r="BF205" s="926"/>
      <c r="BG205" s="926"/>
      <c r="BH205" s="926"/>
      <c r="BI205" s="926"/>
      <c r="BJ205" s="926"/>
      <c r="BK205" s="926"/>
      <c r="BL205" s="926"/>
      <c r="BM205" s="926"/>
      <c r="BN205" s="926"/>
      <c r="BO205" s="926"/>
      <c r="BP205" s="926"/>
      <c r="BQ205" s="926"/>
      <c r="BR205" s="926"/>
      <c r="BS205" s="926"/>
      <c r="BT205" s="926"/>
      <c r="BU205" s="926"/>
      <c r="BV205" s="926"/>
      <c r="BW205" s="926"/>
      <c r="BX205" s="926"/>
      <c r="BY205" s="926"/>
      <c r="BZ205" s="926"/>
      <c r="CA205" s="926"/>
      <c r="CB205" s="926"/>
      <c r="CC205" s="926"/>
      <c r="CD205" s="926"/>
      <c r="CE205" s="926"/>
      <c r="CF205" s="926"/>
      <c r="CG205" s="926"/>
      <c r="CH205" s="926"/>
      <c r="CI205" s="926"/>
      <c r="CJ205" s="926"/>
      <c r="CK205" s="926"/>
      <c r="CL205" s="926"/>
      <c r="CM205" s="926"/>
      <c r="CN205" s="926"/>
      <c r="CO205" s="926"/>
      <c r="CP205" s="926"/>
      <c r="CQ205" s="926"/>
      <c r="CR205" s="926"/>
      <c r="CS205" s="926"/>
      <c r="CT205" s="926"/>
      <c r="CU205" s="926"/>
      <c r="CV205" s="926"/>
      <c r="CW205" s="926"/>
      <c r="CX205" s="926"/>
      <c r="CY205" s="926"/>
      <c r="CZ205" s="926"/>
      <c r="DA205" s="926"/>
      <c r="DB205" s="926"/>
      <c r="DC205" s="926"/>
      <c r="DD205" s="926"/>
      <c r="DE205" s="926"/>
      <c r="DF205" s="926"/>
      <c r="DG205" s="926"/>
      <c r="DH205" s="926"/>
      <c r="DI205" s="926"/>
      <c r="DJ205" s="926"/>
      <c r="DK205" s="926"/>
      <c r="DL205" s="926"/>
      <c r="DM205" s="926"/>
      <c r="DN205" s="926"/>
      <c r="DO205" s="926"/>
      <c r="DP205" s="926"/>
      <c r="DQ205" s="926"/>
      <c r="DR205" s="926"/>
      <c r="DS205" s="926"/>
      <c r="DT205" s="926"/>
      <c r="DU205" s="926"/>
      <c r="DV205" s="926"/>
      <c r="DW205" s="926"/>
      <c r="DX205" s="926"/>
      <c r="DY205" s="926"/>
      <c r="DZ205" s="926"/>
      <c r="EA205" s="926"/>
      <c r="EB205" s="926"/>
      <c r="EC205" s="926"/>
      <c r="ED205" s="926"/>
      <c r="EE205" s="926"/>
      <c r="EF205" s="926"/>
      <c r="EG205" s="926"/>
      <c r="EH205" s="926"/>
      <c r="EI205" s="926"/>
      <c r="EJ205" s="926"/>
      <c r="EK205" s="926"/>
      <c r="EL205" s="926"/>
      <c r="EM205" s="926"/>
      <c r="EN205" s="926"/>
      <c r="EO205" s="926"/>
      <c r="EP205" s="926"/>
      <c r="EQ205" s="926"/>
      <c r="ER205" s="926"/>
      <c r="ES205" s="926"/>
      <c r="ET205" s="926"/>
      <c r="EU205" s="926"/>
      <c r="EV205" s="926"/>
      <c r="EW205" s="926"/>
      <c r="EX205" s="926"/>
      <c r="EY205" s="926"/>
      <c r="EZ205" s="926"/>
      <c r="FA205" s="926"/>
      <c r="FB205" s="926"/>
      <c r="FC205" s="926"/>
      <c r="FD205" s="926"/>
      <c r="FE205" s="926"/>
      <c r="FF205" s="926"/>
      <c r="FG205" s="926"/>
      <c r="FH205" s="926"/>
      <c r="FI205" s="926"/>
      <c r="FJ205" s="926"/>
      <c r="FK205" s="926"/>
      <c r="FL205" s="926"/>
      <c r="FM205" s="926"/>
      <c r="FN205" s="926"/>
      <c r="FO205" s="926"/>
      <c r="FP205" s="926"/>
      <c r="FQ205" s="926"/>
      <c r="FR205" s="926"/>
      <c r="FS205" s="926"/>
      <c r="FT205" s="926"/>
      <c r="FU205" s="926"/>
      <c r="FV205" s="926"/>
      <c r="FW205" s="926"/>
      <c r="FX205" s="926"/>
      <c r="FY205" s="926"/>
      <c r="FZ205" s="926"/>
      <c r="GA205" s="926"/>
      <c r="GB205" s="926"/>
      <c r="GC205" s="926"/>
      <c r="GD205" s="926"/>
      <c r="GE205" s="926"/>
      <c r="GF205" s="926"/>
      <c r="GG205" s="926"/>
      <c r="GH205" s="926"/>
      <c r="GI205" s="926"/>
      <c r="GJ205" s="926"/>
      <c r="GK205" s="926"/>
      <c r="GL205" s="926"/>
      <c r="GM205" s="926"/>
      <c r="GN205" s="926"/>
      <c r="GO205" s="926"/>
      <c r="GP205" s="926"/>
      <c r="GQ205" s="926"/>
      <c r="GR205" s="926"/>
      <c r="GS205" s="926"/>
      <c r="GT205" s="926"/>
      <c r="GU205" s="926"/>
      <c r="GV205" s="926"/>
      <c r="GW205" s="926"/>
      <c r="GX205" s="926"/>
      <c r="GY205" s="926"/>
      <c r="GZ205" s="926"/>
      <c r="HA205" s="926"/>
      <c r="HB205" s="926"/>
      <c r="HC205" s="926"/>
      <c r="HD205" s="926"/>
      <c r="HE205" s="926"/>
      <c r="HF205" s="926"/>
      <c r="HG205" s="926"/>
      <c r="HH205" s="926"/>
      <c r="HI205" s="926"/>
      <c r="HJ205" s="926"/>
      <c r="HK205" s="926"/>
      <c r="HL205" s="926"/>
      <c r="HM205" s="926"/>
      <c r="HN205" s="926"/>
      <c r="HO205" s="926"/>
      <c r="HP205" s="926"/>
      <c r="HQ205" s="926"/>
      <c r="HR205" s="926"/>
      <c r="HS205" s="926"/>
      <c r="HT205" s="926"/>
      <c r="HU205" s="926"/>
      <c r="HV205" s="926"/>
      <c r="HW205" s="926"/>
      <c r="HX205" s="926"/>
      <c r="HY205" s="926"/>
      <c r="HZ205" s="926"/>
      <c r="IA205" s="926"/>
      <c r="IB205" s="926"/>
      <c r="IC205" s="926"/>
      <c r="ID205" s="926"/>
      <c r="IE205" s="926"/>
      <c r="IF205" s="926"/>
      <c r="IG205" s="926"/>
      <c r="IH205" s="926"/>
      <c r="II205" s="926"/>
      <c r="IJ205" s="926"/>
      <c r="IK205" s="926"/>
      <c r="IL205" s="926"/>
      <c r="IM205" s="926"/>
    </row>
    <row r="206" spans="1:247" x14ac:dyDescent="0.45">
      <c r="A206" s="441">
        <v>7531</v>
      </c>
      <c r="B206" s="939" t="s">
        <v>2742</v>
      </c>
      <c r="C206" s="47" t="s">
        <v>35</v>
      </c>
      <c r="D206" s="449" t="s">
        <v>2537</v>
      </c>
      <c r="E206" s="946"/>
      <c r="F206" s="941">
        <f t="shared" si="56"/>
        <v>1.0209999999999999</v>
      </c>
      <c r="G206" s="947"/>
      <c r="H206" s="946"/>
      <c r="I206" s="948"/>
      <c r="J206" s="948"/>
      <c r="K206" s="948"/>
      <c r="L206" s="948"/>
      <c r="M206" s="948"/>
      <c r="N206" s="947"/>
      <c r="O206" s="949"/>
      <c r="P206" s="946"/>
      <c r="Q206" s="947"/>
      <c r="R206" s="950">
        <f t="shared" si="57"/>
        <v>1.0209999999999999</v>
      </c>
      <c r="S206" s="926"/>
      <c r="T206" s="926"/>
      <c r="U206" s="926"/>
      <c r="V206" s="926"/>
      <c r="W206" s="926"/>
      <c r="X206" s="926"/>
      <c r="Y206" s="926"/>
      <c r="Z206" s="926"/>
      <c r="AA206" s="926"/>
      <c r="AB206" s="926"/>
      <c r="AC206" s="926"/>
      <c r="AD206" s="926"/>
      <c r="AE206" s="926"/>
      <c r="AF206" s="926"/>
      <c r="AG206" s="926"/>
      <c r="AH206" s="926"/>
      <c r="AI206" s="926"/>
      <c r="AJ206" s="926"/>
      <c r="AK206" s="926"/>
      <c r="AL206" s="926"/>
      <c r="AM206" s="926"/>
      <c r="AN206" s="926"/>
      <c r="AO206" s="926"/>
      <c r="AP206" s="926"/>
      <c r="AQ206" s="926"/>
      <c r="AR206" s="926"/>
      <c r="AS206" s="926"/>
      <c r="AT206" s="926"/>
      <c r="AU206" s="926"/>
      <c r="AV206" s="926"/>
      <c r="AW206" s="926"/>
      <c r="AX206" s="926"/>
      <c r="AY206" s="926"/>
      <c r="AZ206" s="926"/>
      <c r="BA206" s="926"/>
      <c r="BB206" s="926"/>
      <c r="BC206" s="926"/>
      <c r="BD206" s="926"/>
      <c r="BE206" s="926"/>
      <c r="BF206" s="926"/>
      <c r="BG206" s="926"/>
      <c r="BH206" s="926"/>
      <c r="BI206" s="926"/>
      <c r="BJ206" s="926"/>
      <c r="BK206" s="926"/>
      <c r="BL206" s="926"/>
      <c r="BM206" s="926"/>
      <c r="BN206" s="926"/>
      <c r="BO206" s="926"/>
      <c r="BP206" s="926"/>
      <c r="BQ206" s="926"/>
      <c r="BR206" s="926"/>
      <c r="BS206" s="926"/>
      <c r="BT206" s="926"/>
      <c r="BU206" s="926"/>
      <c r="BV206" s="926"/>
      <c r="BW206" s="926"/>
      <c r="BX206" s="926"/>
      <c r="BY206" s="926"/>
      <c r="BZ206" s="926"/>
      <c r="CA206" s="926"/>
      <c r="CB206" s="926"/>
      <c r="CC206" s="926"/>
      <c r="CD206" s="926"/>
      <c r="CE206" s="926"/>
      <c r="CF206" s="926"/>
      <c r="CG206" s="926"/>
      <c r="CH206" s="926"/>
      <c r="CI206" s="926"/>
      <c r="CJ206" s="926"/>
      <c r="CK206" s="926"/>
      <c r="CL206" s="926"/>
      <c r="CM206" s="926"/>
      <c r="CN206" s="926"/>
      <c r="CO206" s="926"/>
      <c r="CP206" s="926"/>
      <c r="CQ206" s="926"/>
      <c r="CR206" s="926"/>
      <c r="CS206" s="926"/>
      <c r="CT206" s="926"/>
      <c r="CU206" s="926"/>
      <c r="CV206" s="926"/>
      <c r="CW206" s="926"/>
      <c r="CX206" s="926"/>
      <c r="CY206" s="926"/>
      <c r="CZ206" s="926"/>
      <c r="DA206" s="926"/>
      <c r="DB206" s="926"/>
      <c r="DC206" s="926"/>
      <c r="DD206" s="926"/>
      <c r="DE206" s="926"/>
      <c r="DF206" s="926"/>
      <c r="DG206" s="926"/>
      <c r="DH206" s="926"/>
      <c r="DI206" s="926"/>
      <c r="DJ206" s="926"/>
      <c r="DK206" s="926"/>
      <c r="DL206" s="926"/>
      <c r="DM206" s="926"/>
      <c r="DN206" s="926"/>
      <c r="DO206" s="926"/>
      <c r="DP206" s="926"/>
      <c r="DQ206" s="926"/>
      <c r="DR206" s="926"/>
      <c r="DS206" s="926"/>
      <c r="DT206" s="926"/>
      <c r="DU206" s="926"/>
      <c r="DV206" s="926"/>
      <c r="DW206" s="926"/>
      <c r="DX206" s="926"/>
      <c r="DY206" s="926"/>
      <c r="DZ206" s="926"/>
      <c r="EA206" s="926"/>
      <c r="EB206" s="926"/>
      <c r="EC206" s="926"/>
      <c r="ED206" s="926"/>
      <c r="EE206" s="926"/>
      <c r="EF206" s="926"/>
      <c r="EG206" s="926"/>
      <c r="EH206" s="926"/>
      <c r="EI206" s="926"/>
      <c r="EJ206" s="926"/>
      <c r="EK206" s="926"/>
      <c r="EL206" s="926"/>
      <c r="EM206" s="926"/>
      <c r="EN206" s="926"/>
      <c r="EO206" s="926"/>
      <c r="EP206" s="926"/>
      <c r="EQ206" s="926"/>
      <c r="ER206" s="926"/>
      <c r="ES206" s="926"/>
      <c r="ET206" s="926"/>
      <c r="EU206" s="926"/>
      <c r="EV206" s="926"/>
      <c r="EW206" s="926"/>
      <c r="EX206" s="926"/>
      <c r="EY206" s="926"/>
      <c r="EZ206" s="926"/>
      <c r="FA206" s="926"/>
      <c r="FB206" s="926"/>
      <c r="FC206" s="926"/>
      <c r="FD206" s="926"/>
      <c r="FE206" s="926"/>
      <c r="FF206" s="926"/>
      <c r="FG206" s="926"/>
      <c r="FH206" s="926"/>
      <c r="FI206" s="926"/>
      <c r="FJ206" s="926"/>
      <c r="FK206" s="926"/>
      <c r="FL206" s="926"/>
      <c r="FM206" s="926"/>
      <c r="FN206" s="926"/>
      <c r="FO206" s="926"/>
      <c r="FP206" s="926"/>
      <c r="FQ206" s="926"/>
      <c r="FR206" s="926"/>
      <c r="FS206" s="926"/>
      <c r="FT206" s="926"/>
      <c r="FU206" s="926"/>
      <c r="FV206" s="926"/>
      <c r="FW206" s="926"/>
      <c r="FX206" s="926"/>
      <c r="FY206" s="926"/>
      <c r="FZ206" s="926"/>
      <c r="GA206" s="926"/>
      <c r="GB206" s="926"/>
      <c r="GC206" s="926"/>
      <c r="GD206" s="926"/>
      <c r="GE206" s="926"/>
      <c r="GF206" s="926"/>
      <c r="GG206" s="926"/>
      <c r="GH206" s="926"/>
      <c r="GI206" s="926"/>
      <c r="GJ206" s="926"/>
      <c r="GK206" s="926"/>
      <c r="GL206" s="926"/>
      <c r="GM206" s="926"/>
      <c r="GN206" s="926"/>
      <c r="GO206" s="926"/>
      <c r="GP206" s="926"/>
      <c r="GQ206" s="926"/>
      <c r="GR206" s="926"/>
      <c r="GS206" s="926"/>
      <c r="GT206" s="926"/>
      <c r="GU206" s="926"/>
      <c r="GV206" s="926"/>
      <c r="GW206" s="926"/>
      <c r="GX206" s="926"/>
      <c r="GY206" s="926"/>
      <c r="GZ206" s="926"/>
      <c r="HA206" s="926"/>
      <c r="HB206" s="926"/>
      <c r="HC206" s="926"/>
      <c r="HD206" s="926"/>
      <c r="HE206" s="926"/>
      <c r="HF206" s="926"/>
      <c r="HG206" s="926"/>
      <c r="HH206" s="926"/>
      <c r="HI206" s="926"/>
      <c r="HJ206" s="926"/>
      <c r="HK206" s="926"/>
      <c r="HL206" s="926"/>
      <c r="HM206" s="926"/>
      <c r="HN206" s="926"/>
      <c r="HO206" s="926"/>
      <c r="HP206" s="926"/>
      <c r="HQ206" s="926"/>
      <c r="HR206" s="926"/>
      <c r="HS206" s="926"/>
      <c r="HT206" s="926"/>
      <c r="HU206" s="926"/>
      <c r="HV206" s="926"/>
      <c r="HW206" s="926"/>
      <c r="HX206" s="926"/>
      <c r="HY206" s="926"/>
      <c r="HZ206" s="926"/>
      <c r="IA206" s="926"/>
      <c r="IB206" s="926"/>
      <c r="IC206" s="926"/>
      <c r="ID206" s="926"/>
      <c r="IE206" s="926"/>
      <c r="IF206" s="926"/>
      <c r="IG206" s="926"/>
      <c r="IH206" s="926"/>
      <c r="II206" s="926"/>
      <c r="IJ206" s="926"/>
      <c r="IK206" s="926"/>
      <c r="IL206" s="926"/>
      <c r="IM206" s="926"/>
    </row>
    <row r="207" spans="1:247" x14ac:dyDescent="0.45">
      <c r="A207" s="441">
        <v>7532</v>
      </c>
      <c r="B207" s="939" t="s">
        <v>2743</v>
      </c>
      <c r="C207" s="47" t="s">
        <v>88</v>
      </c>
      <c r="D207" s="449" t="s">
        <v>2537</v>
      </c>
      <c r="E207" s="946"/>
      <c r="F207" s="941">
        <f t="shared" si="56"/>
        <v>1.0209999999999999</v>
      </c>
      <c r="G207" s="947">
        <f t="shared" ref="G207:G212" si="58">+$G$3</f>
        <v>1.0269999999999999</v>
      </c>
      <c r="H207" s="946"/>
      <c r="I207" s="948"/>
      <c r="J207" s="948"/>
      <c r="K207" s="948"/>
      <c r="L207" s="948"/>
      <c r="M207" s="948"/>
      <c r="N207" s="947"/>
      <c r="O207" s="949"/>
      <c r="P207" s="946"/>
      <c r="Q207" s="947"/>
      <c r="R207" s="950">
        <f t="shared" si="57"/>
        <v>1.0485669999999998</v>
      </c>
      <c r="S207" s="926"/>
      <c r="T207" s="926"/>
      <c r="U207" s="926"/>
      <c r="V207" s="926"/>
      <c r="W207" s="926"/>
      <c r="X207" s="926"/>
      <c r="Y207" s="926"/>
      <c r="Z207" s="926"/>
      <c r="AA207" s="926"/>
      <c r="AB207" s="926"/>
      <c r="AC207" s="926"/>
      <c r="AD207" s="926"/>
      <c r="AE207" s="926"/>
      <c r="AF207" s="926"/>
      <c r="AG207" s="926"/>
      <c r="AH207" s="926"/>
      <c r="AI207" s="926"/>
      <c r="AJ207" s="926"/>
      <c r="AK207" s="926"/>
      <c r="AL207" s="926"/>
      <c r="AM207" s="926"/>
      <c r="AN207" s="926"/>
      <c r="AO207" s="926"/>
      <c r="AP207" s="926"/>
      <c r="AQ207" s="926"/>
      <c r="AR207" s="926"/>
      <c r="AS207" s="926"/>
      <c r="AT207" s="926"/>
      <c r="AU207" s="926"/>
      <c r="AV207" s="926"/>
      <c r="AW207" s="926"/>
      <c r="AX207" s="926"/>
      <c r="AY207" s="926"/>
      <c r="AZ207" s="926"/>
      <c r="BA207" s="926"/>
      <c r="BB207" s="926"/>
      <c r="BC207" s="926"/>
      <c r="BD207" s="926"/>
      <c r="BE207" s="926"/>
      <c r="BF207" s="926"/>
      <c r="BG207" s="926"/>
      <c r="BH207" s="926"/>
      <c r="BI207" s="926"/>
      <c r="BJ207" s="926"/>
      <c r="BK207" s="926"/>
      <c r="BL207" s="926"/>
      <c r="BM207" s="926"/>
      <c r="BN207" s="926"/>
      <c r="BO207" s="926"/>
      <c r="BP207" s="926"/>
      <c r="BQ207" s="926"/>
      <c r="BR207" s="926"/>
      <c r="BS207" s="926"/>
      <c r="BT207" s="926"/>
      <c r="BU207" s="926"/>
      <c r="BV207" s="926"/>
      <c r="BW207" s="926"/>
      <c r="BX207" s="926"/>
      <c r="BY207" s="926"/>
      <c r="BZ207" s="926"/>
      <c r="CA207" s="926"/>
      <c r="CB207" s="926"/>
      <c r="CC207" s="926"/>
      <c r="CD207" s="926"/>
      <c r="CE207" s="926"/>
      <c r="CF207" s="926"/>
      <c r="CG207" s="926"/>
      <c r="CH207" s="926"/>
      <c r="CI207" s="926"/>
      <c r="CJ207" s="926"/>
      <c r="CK207" s="926"/>
      <c r="CL207" s="926"/>
      <c r="CM207" s="926"/>
      <c r="CN207" s="926"/>
      <c r="CO207" s="926"/>
      <c r="CP207" s="926"/>
      <c r="CQ207" s="926"/>
      <c r="CR207" s="926"/>
      <c r="CS207" s="926"/>
      <c r="CT207" s="926"/>
      <c r="CU207" s="926"/>
      <c r="CV207" s="926"/>
      <c r="CW207" s="926"/>
      <c r="CX207" s="926"/>
      <c r="CY207" s="926"/>
      <c r="CZ207" s="926"/>
      <c r="DA207" s="926"/>
      <c r="DB207" s="926"/>
      <c r="DC207" s="926"/>
      <c r="DD207" s="926"/>
      <c r="DE207" s="926"/>
      <c r="DF207" s="926"/>
      <c r="DG207" s="926"/>
      <c r="DH207" s="926"/>
      <c r="DI207" s="926"/>
      <c r="DJ207" s="926"/>
      <c r="DK207" s="926"/>
      <c r="DL207" s="926"/>
      <c r="DM207" s="926"/>
      <c r="DN207" s="926"/>
      <c r="DO207" s="926"/>
      <c r="DP207" s="926"/>
      <c r="DQ207" s="926"/>
      <c r="DR207" s="926"/>
      <c r="DS207" s="926"/>
      <c r="DT207" s="926"/>
      <c r="DU207" s="926"/>
      <c r="DV207" s="926"/>
      <c r="DW207" s="926"/>
      <c r="DX207" s="926"/>
      <c r="DY207" s="926"/>
      <c r="DZ207" s="926"/>
      <c r="EA207" s="926"/>
      <c r="EB207" s="926"/>
      <c r="EC207" s="926"/>
      <c r="ED207" s="926"/>
      <c r="EE207" s="926"/>
      <c r="EF207" s="926"/>
      <c r="EG207" s="926"/>
      <c r="EH207" s="926"/>
      <c r="EI207" s="926"/>
      <c r="EJ207" s="926"/>
      <c r="EK207" s="926"/>
      <c r="EL207" s="926"/>
      <c r="EM207" s="926"/>
      <c r="EN207" s="926"/>
      <c r="EO207" s="926"/>
      <c r="EP207" s="926"/>
      <c r="EQ207" s="926"/>
      <c r="ER207" s="926"/>
      <c r="ES207" s="926"/>
      <c r="ET207" s="926"/>
      <c r="EU207" s="926"/>
      <c r="EV207" s="926"/>
      <c r="EW207" s="926"/>
      <c r="EX207" s="926"/>
      <c r="EY207" s="926"/>
      <c r="EZ207" s="926"/>
      <c r="FA207" s="926"/>
      <c r="FB207" s="926"/>
      <c r="FC207" s="926"/>
      <c r="FD207" s="926"/>
      <c r="FE207" s="926"/>
      <c r="FF207" s="926"/>
      <c r="FG207" s="926"/>
      <c r="FH207" s="926"/>
      <c r="FI207" s="926"/>
      <c r="FJ207" s="926"/>
      <c r="FK207" s="926"/>
      <c r="FL207" s="926"/>
      <c r="FM207" s="926"/>
      <c r="FN207" s="926"/>
      <c r="FO207" s="926"/>
      <c r="FP207" s="926"/>
      <c r="FQ207" s="926"/>
      <c r="FR207" s="926"/>
      <c r="FS207" s="926"/>
      <c r="FT207" s="926"/>
      <c r="FU207" s="926"/>
      <c r="FV207" s="926"/>
      <c r="FW207" s="926"/>
      <c r="FX207" s="926"/>
      <c r="FY207" s="926"/>
      <c r="FZ207" s="926"/>
      <c r="GA207" s="926"/>
      <c r="GB207" s="926"/>
      <c r="GC207" s="926"/>
      <c r="GD207" s="926"/>
      <c r="GE207" s="926"/>
      <c r="GF207" s="926"/>
      <c r="GG207" s="926"/>
      <c r="GH207" s="926"/>
      <c r="GI207" s="926"/>
      <c r="GJ207" s="926"/>
      <c r="GK207" s="926"/>
      <c r="GL207" s="926"/>
      <c r="GM207" s="926"/>
      <c r="GN207" s="926"/>
      <c r="GO207" s="926"/>
      <c r="GP207" s="926"/>
      <c r="GQ207" s="926"/>
      <c r="GR207" s="926"/>
      <c r="GS207" s="926"/>
      <c r="GT207" s="926"/>
      <c r="GU207" s="926"/>
      <c r="GV207" s="926"/>
      <c r="GW207" s="926"/>
      <c r="GX207" s="926"/>
      <c r="GY207" s="926"/>
      <c r="GZ207" s="926"/>
      <c r="HA207" s="926"/>
      <c r="HB207" s="926"/>
      <c r="HC207" s="926"/>
      <c r="HD207" s="926"/>
      <c r="HE207" s="926"/>
      <c r="HF207" s="926"/>
      <c r="HG207" s="926"/>
      <c r="HH207" s="926"/>
      <c r="HI207" s="926"/>
      <c r="HJ207" s="926"/>
      <c r="HK207" s="926"/>
      <c r="HL207" s="926"/>
      <c r="HM207" s="926"/>
      <c r="HN207" s="926"/>
      <c r="HO207" s="926"/>
      <c r="HP207" s="926"/>
      <c r="HQ207" s="926"/>
      <c r="HR207" s="926"/>
      <c r="HS207" s="926"/>
      <c r="HT207" s="926"/>
      <c r="HU207" s="926"/>
      <c r="HV207" s="926"/>
      <c r="HW207" s="926"/>
      <c r="HX207" s="926"/>
      <c r="HY207" s="926"/>
      <c r="HZ207" s="926"/>
      <c r="IA207" s="926"/>
      <c r="IB207" s="926"/>
      <c r="IC207" s="926"/>
      <c r="ID207" s="926"/>
      <c r="IE207" s="926"/>
      <c r="IF207" s="926"/>
      <c r="IG207" s="926"/>
      <c r="IH207" s="926"/>
      <c r="II207" s="926"/>
      <c r="IJ207" s="926"/>
      <c r="IK207" s="926"/>
      <c r="IL207" s="926"/>
      <c r="IM207" s="926"/>
    </row>
    <row r="208" spans="1:247" x14ac:dyDescent="0.45">
      <c r="A208" s="441">
        <v>7541</v>
      </c>
      <c r="B208" s="939" t="s">
        <v>2744</v>
      </c>
      <c r="C208" s="47" t="s">
        <v>88</v>
      </c>
      <c r="D208" s="449" t="s">
        <v>2537</v>
      </c>
      <c r="E208" s="946"/>
      <c r="F208" s="941">
        <f t="shared" si="56"/>
        <v>1.0209999999999999</v>
      </c>
      <c r="G208" s="947">
        <f t="shared" si="58"/>
        <v>1.0269999999999999</v>
      </c>
      <c r="H208" s="946"/>
      <c r="I208" s="948"/>
      <c r="J208" s="948"/>
      <c r="K208" s="948"/>
      <c r="L208" s="948"/>
      <c r="M208" s="948"/>
      <c r="N208" s="947"/>
      <c r="O208" s="949"/>
      <c r="P208" s="946"/>
      <c r="Q208" s="947"/>
      <c r="R208" s="950">
        <f t="shared" si="57"/>
        <v>1.0485669999999998</v>
      </c>
      <c r="S208" s="926"/>
      <c r="T208" s="926"/>
      <c r="U208" s="926"/>
      <c r="V208" s="926"/>
      <c r="W208" s="926"/>
      <c r="X208" s="926"/>
      <c r="Y208" s="926"/>
      <c r="Z208" s="926"/>
      <c r="AA208" s="926"/>
      <c r="AB208" s="926"/>
      <c r="AC208" s="926"/>
      <c r="AD208" s="926"/>
      <c r="AE208" s="926"/>
      <c r="AF208" s="926"/>
      <c r="AG208" s="926"/>
      <c r="AH208" s="926"/>
      <c r="AI208" s="926"/>
      <c r="AJ208" s="926"/>
      <c r="AK208" s="926"/>
      <c r="AL208" s="926"/>
      <c r="AM208" s="926"/>
      <c r="AN208" s="926"/>
      <c r="AO208" s="926"/>
      <c r="AP208" s="926"/>
      <c r="AQ208" s="926"/>
      <c r="AR208" s="926"/>
      <c r="AS208" s="926"/>
      <c r="AT208" s="926"/>
      <c r="AU208" s="926"/>
      <c r="AV208" s="926"/>
      <c r="AW208" s="926"/>
      <c r="AX208" s="926"/>
      <c r="AY208" s="926"/>
      <c r="AZ208" s="926"/>
      <c r="BA208" s="926"/>
      <c r="BB208" s="926"/>
      <c r="BC208" s="926"/>
      <c r="BD208" s="926"/>
      <c r="BE208" s="926"/>
      <c r="BF208" s="926"/>
      <c r="BG208" s="926"/>
      <c r="BH208" s="926"/>
      <c r="BI208" s="926"/>
      <c r="BJ208" s="926"/>
      <c r="BK208" s="926"/>
      <c r="BL208" s="926"/>
      <c r="BM208" s="926"/>
      <c r="BN208" s="926"/>
      <c r="BO208" s="926"/>
      <c r="BP208" s="926"/>
      <c r="BQ208" s="926"/>
      <c r="BR208" s="926"/>
      <c r="BS208" s="926"/>
      <c r="BT208" s="926"/>
      <c r="BU208" s="926"/>
      <c r="BV208" s="926"/>
      <c r="BW208" s="926"/>
      <c r="BX208" s="926"/>
      <c r="BY208" s="926"/>
      <c r="BZ208" s="926"/>
      <c r="CA208" s="926"/>
      <c r="CB208" s="926"/>
      <c r="CC208" s="926"/>
      <c r="CD208" s="926"/>
      <c r="CE208" s="926"/>
      <c r="CF208" s="926"/>
      <c r="CG208" s="926"/>
      <c r="CH208" s="926"/>
      <c r="CI208" s="926"/>
      <c r="CJ208" s="926"/>
      <c r="CK208" s="926"/>
      <c r="CL208" s="926"/>
      <c r="CM208" s="926"/>
      <c r="CN208" s="926"/>
      <c r="CO208" s="926"/>
      <c r="CP208" s="926"/>
      <c r="CQ208" s="926"/>
      <c r="CR208" s="926"/>
      <c r="CS208" s="926"/>
      <c r="CT208" s="926"/>
      <c r="CU208" s="926"/>
      <c r="CV208" s="926"/>
      <c r="CW208" s="926"/>
      <c r="CX208" s="926"/>
      <c r="CY208" s="926"/>
      <c r="CZ208" s="926"/>
      <c r="DA208" s="926"/>
      <c r="DB208" s="926"/>
      <c r="DC208" s="926"/>
      <c r="DD208" s="926"/>
      <c r="DE208" s="926"/>
      <c r="DF208" s="926"/>
      <c r="DG208" s="926"/>
      <c r="DH208" s="926"/>
      <c r="DI208" s="926"/>
      <c r="DJ208" s="926"/>
      <c r="DK208" s="926"/>
      <c r="DL208" s="926"/>
      <c r="DM208" s="926"/>
      <c r="DN208" s="926"/>
      <c r="DO208" s="926"/>
      <c r="DP208" s="926"/>
      <c r="DQ208" s="926"/>
      <c r="DR208" s="926"/>
      <c r="DS208" s="926"/>
      <c r="DT208" s="926"/>
      <c r="DU208" s="926"/>
      <c r="DV208" s="926"/>
      <c r="DW208" s="926"/>
      <c r="DX208" s="926"/>
      <c r="DY208" s="926"/>
      <c r="DZ208" s="926"/>
      <c r="EA208" s="926"/>
      <c r="EB208" s="926"/>
      <c r="EC208" s="926"/>
      <c r="ED208" s="926"/>
      <c r="EE208" s="926"/>
      <c r="EF208" s="926"/>
      <c r="EG208" s="926"/>
      <c r="EH208" s="926"/>
      <c r="EI208" s="926"/>
      <c r="EJ208" s="926"/>
      <c r="EK208" s="926"/>
      <c r="EL208" s="926"/>
      <c r="EM208" s="926"/>
      <c r="EN208" s="926"/>
      <c r="EO208" s="926"/>
      <c r="EP208" s="926"/>
      <c r="EQ208" s="926"/>
      <c r="ER208" s="926"/>
      <c r="ES208" s="926"/>
      <c r="ET208" s="926"/>
      <c r="EU208" s="926"/>
      <c r="EV208" s="926"/>
      <c r="EW208" s="926"/>
      <c r="EX208" s="926"/>
      <c r="EY208" s="926"/>
      <c r="EZ208" s="926"/>
      <c r="FA208" s="926"/>
      <c r="FB208" s="926"/>
      <c r="FC208" s="926"/>
      <c r="FD208" s="926"/>
      <c r="FE208" s="926"/>
      <c r="FF208" s="926"/>
      <c r="FG208" s="926"/>
      <c r="FH208" s="926"/>
      <c r="FI208" s="926"/>
      <c r="FJ208" s="926"/>
      <c r="FK208" s="926"/>
      <c r="FL208" s="926"/>
      <c r="FM208" s="926"/>
      <c r="FN208" s="926"/>
      <c r="FO208" s="926"/>
      <c r="FP208" s="926"/>
      <c r="FQ208" s="926"/>
      <c r="FR208" s="926"/>
      <c r="FS208" s="926"/>
      <c r="FT208" s="926"/>
      <c r="FU208" s="926"/>
      <c r="FV208" s="926"/>
      <c r="FW208" s="926"/>
      <c r="FX208" s="926"/>
      <c r="FY208" s="926"/>
      <c r="FZ208" s="926"/>
      <c r="GA208" s="926"/>
      <c r="GB208" s="926"/>
      <c r="GC208" s="926"/>
      <c r="GD208" s="926"/>
      <c r="GE208" s="926"/>
      <c r="GF208" s="926"/>
      <c r="GG208" s="926"/>
      <c r="GH208" s="926"/>
      <c r="GI208" s="926"/>
      <c r="GJ208" s="926"/>
      <c r="GK208" s="926"/>
      <c r="GL208" s="926"/>
      <c r="GM208" s="926"/>
      <c r="GN208" s="926"/>
      <c r="GO208" s="926"/>
      <c r="GP208" s="926"/>
      <c r="GQ208" s="926"/>
      <c r="GR208" s="926"/>
      <c r="GS208" s="926"/>
      <c r="GT208" s="926"/>
      <c r="GU208" s="926"/>
      <c r="GV208" s="926"/>
      <c r="GW208" s="926"/>
      <c r="GX208" s="926"/>
      <c r="GY208" s="926"/>
      <c r="GZ208" s="926"/>
      <c r="HA208" s="926"/>
      <c r="HB208" s="926"/>
      <c r="HC208" s="926"/>
      <c r="HD208" s="926"/>
      <c r="HE208" s="926"/>
      <c r="HF208" s="926"/>
      <c r="HG208" s="926"/>
      <c r="HH208" s="926"/>
      <c r="HI208" s="926"/>
      <c r="HJ208" s="926"/>
      <c r="HK208" s="926"/>
      <c r="HL208" s="926"/>
      <c r="HM208" s="926"/>
      <c r="HN208" s="926"/>
      <c r="HO208" s="926"/>
      <c r="HP208" s="926"/>
      <c r="HQ208" s="926"/>
      <c r="HR208" s="926"/>
      <c r="HS208" s="926"/>
      <c r="HT208" s="926"/>
      <c r="HU208" s="926"/>
      <c r="HV208" s="926"/>
      <c r="HW208" s="926"/>
      <c r="HX208" s="926"/>
      <c r="HY208" s="926"/>
      <c r="HZ208" s="926"/>
      <c r="IA208" s="926"/>
      <c r="IB208" s="926"/>
      <c r="IC208" s="926"/>
      <c r="ID208" s="926"/>
      <c r="IE208" s="926"/>
      <c r="IF208" s="926"/>
      <c r="IG208" s="926"/>
      <c r="IH208" s="926"/>
      <c r="II208" s="926"/>
      <c r="IJ208" s="926"/>
      <c r="IK208" s="926"/>
      <c r="IL208" s="926"/>
      <c r="IM208" s="926"/>
    </row>
    <row r="209" spans="1:247" x14ac:dyDescent="0.45">
      <c r="A209" s="441">
        <v>7542</v>
      </c>
      <c r="B209" s="939" t="s">
        <v>2745</v>
      </c>
      <c r="C209" s="47" t="s">
        <v>88</v>
      </c>
      <c r="D209" s="449" t="s">
        <v>2537</v>
      </c>
      <c r="E209" s="946"/>
      <c r="F209" s="941">
        <f t="shared" si="56"/>
        <v>1.0209999999999999</v>
      </c>
      <c r="G209" s="947">
        <f t="shared" si="58"/>
        <v>1.0269999999999999</v>
      </c>
      <c r="H209" s="946"/>
      <c r="I209" s="948"/>
      <c r="J209" s="948"/>
      <c r="K209" s="948"/>
      <c r="L209" s="948"/>
      <c r="M209" s="948"/>
      <c r="N209" s="947"/>
      <c r="O209" s="949"/>
      <c r="P209" s="946"/>
      <c r="Q209" s="947"/>
      <c r="R209" s="950">
        <f>PRODUCT(E209:Q209)</f>
        <v>1.0485669999999998</v>
      </c>
      <c r="S209" s="926"/>
      <c r="T209" s="926"/>
      <c r="U209" s="926"/>
      <c r="V209" s="926"/>
      <c r="W209" s="926"/>
      <c r="X209" s="926"/>
      <c r="Y209" s="926"/>
      <c r="Z209" s="926"/>
      <c r="AA209" s="926"/>
      <c r="AB209" s="926"/>
      <c r="AC209" s="926"/>
      <c r="AD209" s="926"/>
      <c r="AE209" s="926"/>
      <c r="AF209" s="926"/>
      <c r="AG209" s="926"/>
      <c r="AH209" s="926"/>
      <c r="AI209" s="926"/>
      <c r="AJ209" s="926"/>
      <c r="AK209" s="926"/>
      <c r="AL209" s="926"/>
      <c r="AM209" s="926"/>
      <c r="AN209" s="926"/>
      <c r="AO209" s="926"/>
      <c r="AP209" s="926"/>
      <c r="AQ209" s="926"/>
      <c r="AR209" s="926"/>
      <c r="AS209" s="926"/>
      <c r="AT209" s="926"/>
      <c r="AU209" s="926"/>
      <c r="AV209" s="926"/>
      <c r="AW209" s="926"/>
      <c r="AX209" s="926"/>
      <c r="AY209" s="926"/>
      <c r="AZ209" s="926"/>
      <c r="BA209" s="926"/>
      <c r="BB209" s="926"/>
      <c r="BC209" s="926"/>
      <c r="BD209" s="926"/>
      <c r="BE209" s="926"/>
      <c r="BF209" s="926"/>
      <c r="BG209" s="926"/>
      <c r="BH209" s="926"/>
      <c r="BI209" s="926"/>
      <c r="BJ209" s="926"/>
      <c r="BK209" s="926"/>
      <c r="BL209" s="926"/>
      <c r="BM209" s="926"/>
      <c r="BN209" s="926"/>
      <c r="BO209" s="926"/>
      <c r="BP209" s="926"/>
      <c r="BQ209" s="926"/>
      <c r="BR209" s="926"/>
      <c r="BS209" s="926"/>
      <c r="BT209" s="926"/>
      <c r="BU209" s="926"/>
      <c r="BV209" s="926"/>
      <c r="BW209" s="926"/>
      <c r="BX209" s="926"/>
      <c r="BY209" s="926"/>
      <c r="BZ209" s="926"/>
      <c r="CA209" s="926"/>
      <c r="CB209" s="926"/>
      <c r="CC209" s="926"/>
      <c r="CD209" s="926"/>
      <c r="CE209" s="926"/>
      <c r="CF209" s="926"/>
      <c r="CG209" s="926"/>
      <c r="CH209" s="926"/>
      <c r="CI209" s="926"/>
      <c r="CJ209" s="926"/>
      <c r="CK209" s="926"/>
      <c r="CL209" s="926"/>
      <c r="CM209" s="926"/>
      <c r="CN209" s="926"/>
      <c r="CO209" s="926"/>
      <c r="CP209" s="926"/>
      <c r="CQ209" s="926"/>
      <c r="CR209" s="926"/>
      <c r="CS209" s="926"/>
      <c r="CT209" s="926"/>
      <c r="CU209" s="926"/>
      <c r="CV209" s="926"/>
      <c r="CW209" s="926"/>
      <c r="CX209" s="926"/>
      <c r="CY209" s="926"/>
      <c r="CZ209" s="926"/>
      <c r="DA209" s="926"/>
      <c r="DB209" s="926"/>
      <c r="DC209" s="926"/>
      <c r="DD209" s="926"/>
      <c r="DE209" s="926"/>
      <c r="DF209" s="926"/>
      <c r="DG209" s="926"/>
      <c r="DH209" s="926"/>
      <c r="DI209" s="926"/>
      <c r="DJ209" s="926"/>
      <c r="DK209" s="926"/>
      <c r="DL209" s="926"/>
      <c r="DM209" s="926"/>
      <c r="DN209" s="926"/>
      <c r="DO209" s="926"/>
      <c r="DP209" s="926"/>
      <c r="DQ209" s="926"/>
      <c r="DR209" s="926"/>
      <c r="DS209" s="926"/>
      <c r="DT209" s="926"/>
      <c r="DU209" s="926"/>
      <c r="DV209" s="926"/>
      <c r="DW209" s="926"/>
      <c r="DX209" s="926"/>
      <c r="DY209" s="926"/>
      <c r="DZ209" s="926"/>
      <c r="EA209" s="926"/>
      <c r="EB209" s="926"/>
      <c r="EC209" s="926"/>
      <c r="ED209" s="926"/>
      <c r="EE209" s="926"/>
      <c r="EF209" s="926"/>
      <c r="EG209" s="926"/>
      <c r="EH209" s="926"/>
      <c r="EI209" s="926"/>
      <c r="EJ209" s="926"/>
      <c r="EK209" s="926"/>
      <c r="EL209" s="926"/>
      <c r="EM209" s="926"/>
      <c r="EN209" s="926"/>
      <c r="EO209" s="926"/>
      <c r="EP209" s="926"/>
      <c r="EQ209" s="926"/>
      <c r="ER209" s="926"/>
      <c r="ES209" s="926"/>
      <c r="ET209" s="926"/>
      <c r="EU209" s="926"/>
      <c r="EV209" s="926"/>
      <c r="EW209" s="926"/>
      <c r="EX209" s="926"/>
      <c r="EY209" s="926"/>
      <c r="EZ209" s="926"/>
      <c r="FA209" s="926"/>
      <c r="FB209" s="926"/>
      <c r="FC209" s="926"/>
      <c r="FD209" s="926"/>
      <c r="FE209" s="926"/>
      <c r="FF209" s="926"/>
      <c r="FG209" s="926"/>
      <c r="FH209" s="926"/>
      <c r="FI209" s="926"/>
      <c r="FJ209" s="926"/>
      <c r="FK209" s="926"/>
      <c r="FL209" s="926"/>
      <c r="FM209" s="926"/>
      <c r="FN209" s="926"/>
      <c r="FO209" s="926"/>
      <c r="FP209" s="926"/>
      <c r="FQ209" s="926"/>
      <c r="FR209" s="926"/>
      <c r="FS209" s="926"/>
      <c r="FT209" s="926"/>
      <c r="FU209" s="926"/>
      <c r="FV209" s="926"/>
      <c r="FW209" s="926"/>
      <c r="FX209" s="926"/>
      <c r="FY209" s="926"/>
      <c r="FZ209" s="926"/>
      <c r="GA209" s="926"/>
      <c r="GB209" s="926"/>
      <c r="GC209" s="926"/>
      <c r="GD209" s="926"/>
      <c r="GE209" s="926"/>
      <c r="GF209" s="926"/>
      <c r="GG209" s="926"/>
      <c r="GH209" s="926"/>
      <c r="GI209" s="926"/>
      <c r="GJ209" s="926"/>
      <c r="GK209" s="926"/>
      <c r="GL209" s="926"/>
      <c r="GM209" s="926"/>
      <c r="GN209" s="926"/>
      <c r="GO209" s="926"/>
      <c r="GP209" s="926"/>
      <c r="GQ209" s="926"/>
      <c r="GR209" s="926"/>
      <c r="GS209" s="926"/>
      <c r="GT209" s="926"/>
      <c r="GU209" s="926"/>
      <c r="GV209" s="926"/>
      <c r="GW209" s="926"/>
      <c r="GX209" s="926"/>
      <c r="GY209" s="926"/>
      <c r="GZ209" s="926"/>
      <c r="HA209" s="926"/>
      <c r="HB209" s="926"/>
      <c r="HC209" s="926"/>
      <c r="HD209" s="926"/>
      <c r="HE209" s="926"/>
      <c r="HF209" s="926"/>
      <c r="HG209" s="926"/>
      <c r="HH209" s="926"/>
      <c r="HI209" s="926"/>
      <c r="HJ209" s="926"/>
      <c r="HK209" s="926"/>
      <c r="HL209" s="926"/>
      <c r="HM209" s="926"/>
      <c r="HN209" s="926"/>
      <c r="HO209" s="926"/>
      <c r="HP209" s="926"/>
      <c r="HQ209" s="926"/>
      <c r="HR209" s="926"/>
      <c r="HS209" s="926"/>
      <c r="HT209" s="926"/>
      <c r="HU209" s="926"/>
      <c r="HV209" s="926"/>
      <c r="HW209" s="926"/>
      <c r="HX209" s="926"/>
      <c r="HY209" s="926"/>
      <c r="HZ209" s="926"/>
      <c r="IA209" s="926"/>
      <c r="IB209" s="926"/>
      <c r="IC209" s="926"/>
      <c r="ID209" s="926"/>
      <c r="IE209" s="926"/>
      <c r="IF209" s="926"/>
      <c r="IG209" s="926"/>
      <c r="IH209" s="926"/>
      <c r="II209" s="926"/>
      <c r="IJ209" s="926"/>
      <c r="IK209" s="926"/>
      <c r="IL209" s="926"/>
      <c r="IM209" s="926"/>
    </row>
    <row r="210" spans="1:247" x14ac:dyDescent="0.45">
      <c r="A210" s="441">
        <v>7601</v>
      </c>
      <c r="B210" s="939" t="s">
        <v>2746</v>
      </c>
      <c r="C210" s="47" t="s">
        <v>35</v>
      </c>
      <c r="D210" s="449" t="s">
        <v>2545</v>
      </c>
      <c r="E210" s="946">
        <f>+$E$3</f>
        <v>1.0740000000000001</v>
      </c>
      <c r="F210" s="941">
        <f t="shared" si="56"/>
        <v>1.0209999999999999</v>
      </c>
      <c r="G210" s="947">
        <f t="shared" si="58"/>
        <v>1.0269999999999999</v>
      </c>
      <c r="H210" s="946">
        <f>+$H$3</f>
        <v>1.0029999999999999</v>
      </c>
      <c r="I210" s="948">
        <f>+$I$3</f>
        <v>1.0289999999999999</v>
      </c>
      <c r="J210" s="948">
        <f>+$J$3</f>
        <v>1.0049999999999999</v>
      </c>
      <c r="K210" s="948">
        <f>+$K$3</f>
        <v>1.026</v>
      </c>
      <c r="L210" s="948">
        <f>+$L$3</f>
        <v>1.0129999999999999</v>
      </c>
      <c r="M210" s="948">
        <f>+$M$3</f>
        <v>1.0029999999999999</v>
      </c>
      <c r="N210" s="947">
        <f>+$N$3</f>
        <v>1.0029999999999999</v>
      </c>
      <c r="O210" s="949">
        <f>+$O$3</f>
        <v>1.0209999999999999</v>
      </c>
      <c r="P210" s="946">
        <f t="shared" ref="P210:P231" si="59">+$P$3</f>
        <v>1.032</v>
      </c>
      <c r="Q210" s="947">
        <f t="shared" ref="Q210:Q231" si="60">+$Q$3</f>
        <v>1.0349999999999999</v>
      </c>
      <c r="R210" s="950">
        <f t="shared" si="57"/>
        <v>1.3319480854780448</v>
      </c>
      <c r="S210" s="926"/>
      <c r="T210" s="926"/>
      <c r="U210" s="926"/>
      <c r="V210" s="926"/>
      <c r="W210" s="926"/>
      <c r="X210" s="926"/>
      <c r="Y210" s="926"/>
      <c r="Z210" s="926"/>
      <c r="AA210" s="926"/>
      <c r="AB210" s="926"/>
      <c r="AC210" s="926"/>
      <c r="AD210" s="926"/>
      <c r="AE210" s="926"/>
      <c r="AF210" s="926"/>
      <c r="AG210" s="926"/>
      <c r="AH210" s="926"/>
      <c r="AI210" s="926"/>
      <c r="AJ210" s="926"/>
      <c r="AK210" s="926"/>
      <c r="AL210" s="926"/>
      <c r="AM210" s="926"/>
      <c r="AN210" s="926"/>
      <c r="AO210" s="926"/>
      <c r="AP210" s="926"/>
      <c r="AQ210" s="926"/>
      <c r="AR210" s="926"/>
      <c r="AS210" s="926"/>
      <c r="AT210" s="926"/>
      <c r="AU210" s="926"/>
      <c r="AV210" s="926"/>
      <c r="AW210" s="926"/>
      <c r="AX210" s="926"/>
      <c r="AY210" s="926"/>
      <c r="AZ210" s="926"/>
      <c r="BA210" s="926"/>
      <c r="BB210" s="926"/>
      <c r="BC210" s="926"/>
      <c r="BD210" s="926"/>
      <c r="BE210" s="926"/>
      <c r="BF210" s="926"/>
      <c r="BG210" s="926"/>
      <c r="BH210" s="926"/>
      <c r="BI210" s="926"/>
      <c r="BJ210" s="926"/>
      <c r="BK210" s="926"/>
      <c r="BL210" s="926"/>
      <c r="BM210" s="926"/>
      <c r="BN210" s="926"/>
      <c r="BO210" s="926"/>
      <c r="BP210" s="926"/>
      <c r="BQ210" s="926"/>
      <c r="BR210" s="926"/>
      <c r="BS210" s="926"/>
      <c r="BT210" s="926"/>
      <c r="BU210" s="926"/>
      <c r="BV210" s="926"/>
      <c r="BW210" s="926"/>
      <c r="BX210" s="926"/>
      <c r="BY210" s="926"/>
      <c r="BZ210" s="926"/>
      <c r="CA210" s="926"/>
      <c r="CB210" s="926"/>
      <c r="CC210" s="926"/>
      <c r="CD210" s="926"/>
      <c r="CE210" s="926"/>
      <c r="CF210" s="926"/>
      <c r="CG210" s="926"/>
      <c r="CH210" s="926"/>
      <c r="CI210" s="926"/>
      <c r="CJ210" s="926"/>
      <c r="CK210" s="926"/>
      <c r="CL210" s="926"/>
      <c r="CM210" s="926"/>
      <c r="CN210" s="926"/>
      <c r="CO210" s="926"/>
      <c r="CP210" s="926"/>
      <c r="CQ210" s="926"/>
      <c r="CR210" s="926"/>
      <c r="CS210" s="926"/>
      <c r="CT210" s="926"/>
      <c r="CU210" s="926"/>
      <c r="CV210" s="926"/>
      <c r="CW210" s="926"/>
      <c r="CX210" s="926"/>
      <c r="CY210" s="926"/>
      <c r="CZ210" s="926"/>
      <c r="DA210" s="926"/>
      <c r="DB210" s="926"/>
      <c r="DC210" s="926"/>
      <c r="DD210" s="926"/>
      <c r="DE210" s="926"/>
      <c r="DF210" s="926"/>
      <c r="DG210" s="926"/>
      <c r="DH210" s="926"/>
      <c r="DI210" s="926"/>
      <c r="DJ210" s="926"/>
      <c r="DK210" s="926"/>
      <c r="DL210" s="926"/>
      <c r="DM210" s="926"/>
      <c r="DN210" s="926"/>
      <c r="DO210" s="926"/>
      <c r="DP210" s="926"/>
      <c r="DQ210" s="926"/>
      <c r="DR210" s="926"/>
      <c r="DS210" s="926"/>
      <c r="DT210" s="926"/>
      <c r="DU210" s="926"/>
      <c r="DV210" s="926"/>
      <c r="DW210" s="926"/>
      <c r="DX210" s="926"/>
      <c r="DY210" s="926"/>
      <c r="DZ210" s="926"/>
      <c r="EA210" s="926"/>
      <c r="EB210" s="926"/>
      <c r="EC210" s="926"/>
      <c r="ED210" s="926"/>
      <c r="EE210" s="926"/>
      <c r="EF210" s="926"/>
      <c r="EG210" s="926"/>
      <c r="EH210" s="926"/>
      <c r="EI210" s="926"/>
      <c r="EJ210" s="926"/>
      <c r="EK210" s="926"/>
      <c r="EL210" s="926"/>
      <c r="EM210" s="926"/>
      <c r="EN210" s="926"/>
      <c r="EO210" s="926"/>
      <c r="EP210" s="926"/>
      <c r="EQ210" s="926"/>
      <c r="ER210" s="926"/>
      <c r="ES210" s="926"/>
      <c r="ET210" s="926"/>
      <c r="EU210" s="926"/>
      <c r="EV210" s="926"/>
      <c r="EW210" s="926"/>
      <c r="EX210" s="926"/>
      <c r="EY210" s="926"/>
      <c r="EZ210" s="926"/>
      <c r="FA210" s="926"/>
      <c r="FB210" s="926"/>
      <c r="FC210" s="926"/>
      <c r="FD210" s="926"/>
      <c r="FE210" s="926"/>
      <c r="FF210" s="926"/>
      <c r="FG210" s="926"/>
      <c r="FH210" s="926"/>
      <c r="FI210" s="926"/>
      <c r="FJ210" s="926"/>
      <c r="FK210" s="926"/>
      <c r="FL210" s="926"/>
      <c r="FM210" s="926"/>
      <c r="FN210" s="926"/>
      <c r="FO210" s="926"/>
      <c r="FP210" s="926"/>
      <c r="FQ210" s="926"/>
      <c r="FR210" s="926"/>
      <c r="FS210" s="926"/>
      <c r="FT210" s="926"/>
      <c r="FU210" s="926"/>
      <c r="FV210" s="926"/>
      <c r="FW210" s="926"/>
      <c r="FX210" s="926"/>
      <c r="FY210" s="926"/>
      <c r="FZ210" s="926"/>
      <c r="GA210" s="926"/>
      <c r="GB210" s="926"/>
      <c r="GC210" s="926"/>
      <c r="GD210" s="926"/>
      <c r="GE210" s="926"/>
      <c r="GF210" s="926"/>
      <c r="GG210" s="926"/>
      <c r="GH210" s="926"/>
      <c r="GI210" s="926"/>
      <c r="GJ210" s="926"/>
      <c r="GK210" s="926"/>
      <c r="GL210" s="926"/>
      <c r="GM210" s="926"/>
      <c r="GN210" s="926"/>
      <c r="GO210" s="926"/>
      <c r="GP210" s="926"/>
      <c r="GQ210" s="926"/>
      <c r="GR210" s="926"/>
      <c r="GS210" s="926"/>
      <c r="GT210" s="926"/>
      <c r="GU210" s="926"/>
      <c r="GV210" s="926"/>
      <c r="GW210" s="926"/>
      <c r="GX210" s="926"/>
      <c r="GY210" s="926"/>
      <c r="GZ210" s="926"/>
      <c r="HA210" s="926"/>
      <c r="HB210" s="926"/>
      <c r="HC210" s="926"/>
      <c r="HD210" s="926"/>
      <c r="HE210" s="926"/>
      <c r="HF210" s="926"/>
      <c r="HG210" s="926"/>
      <c r="HH210" s="926"/>
      <c r="HI210" s="926"/>
      <c r="HJ210" s="926"/>
      <c r="HK210" s="926"/>
      <c r="HL210" s="926"/>
      <c r="HM210" s="926"/>
      <c r="HN210" s="926"/>
      <c r="HO210" s="926"/>
      <c r="HP210" s="926"/>
      <c r="HQ210" s="926"/>
      <c r="HR210" s="926"/>
      <c r="HS210" s="926"/>
      <c r="HT210" s="926"/>
      <c r="HU210" s="926"/>
      <c r="HV210" s="926"/>
      <c r="HW210" s="926"/>
      <c r="HX210" s="926"/>
      <c r="HY210" s="926"/>
      <c r="HZ210" s="926"/>
      <c r="IA210" s="926"/>
      <c r="IB210" s="926"/>
      <c r="IC210" s="926"/>
      <c r="ID210" s="926"/>
      <c r="IE210" s="926"/>
      <c r="IF210" s="926"/>
      <c r="IG210" s="926"/>
      <c r="IH210" s="926"/>
      <c r="II210" s="926"/>
      <c r="IJ210" s="926"/>
      <c r="IK210" s="926"/>
      <c r="IL210" s="926"/>
      <c r="IM210" s="926"/>
    </row>
    <row r="211" spans="1:247" x14ac:dyDescent="0.45">
      <c r="A211" s="441">
        <v>7602</v>
      </c>
      <c r="B211" s="939" t="s">
        <v>2747</v>
      </c>
      <c r="C211" s="47" t="s">
        <v>88</v>
      </c>
      <c r="D211" s="449" t="s">
        <v>2537</v>
      </c>
      <c r="E211" s="946"/>
      <c r="F211" s="941">
        <f t="shared" si="56"/>
        <v>1.0209999999999999</v>
      </c>
      <c r="G211" s="947">
        <f t="shared" si="58"/>
        <v>1.0269999999999999</v>
      </c>
      <c r="H211" s="946"/>
      <c r="I211" s="948"/>
      <c r="J211" s="948"/>
      <c r="K211" s="948"/>
      <c r="L211" s="948"/>
      <c r="M211" s="948"/>
      <c r="N211" s="947"/>
      <c r="O211" s="949"/>
      <c r="P211" s="946">
        <f t="shared" si="59"/>
        <v>1.032</v>
      </c>
      <c r="Q211" s="947">
        <f t="shared" si="60"/>
        <v>1.0349999999999999</v>
      </c>
      <c r="R211" s="950">
        <f t="shared" si="57"/>
        <v>1.1199953840399997</v>
      </c>
      <c r="S211" s="926"/>
      <c r="T211" s="926"/>
      <c r="U211" s="926"/>
      <c r="V211" s="926"/>
      <c r="W211" s="926"/>
      <c r="X211" s="926"/>
      <c r="Y211" s="926"/>
      <c r="Z211" s="926"/>
      <c r="AA211" s="926"/>
      <c r="AB211" s="926"/>
      <c r="AC211" s="926"/>
      <c r="AD211" s="926"/>
      <c r="AE211" s="926"/>
      <c r="AF211" s="926"/>
      <c r="AG211" s="926"/>
      <c r="AH211" s="926"/>
      <c r="AI211" s="926"/>
      <c r="AJ211" s="926"/>
      <c r="AK211" s="926"/>
      <c r="AL211" s="926"/>
      <c r="AM211" s="926"/>
      <c r="AN211" s="926"/>
      <c r="AO211" s="926"/>
      <c r="AP211" s="926"/>
      <c r="AQ211" s="926"/>
      <c r="AR211" s="926"/>
      <c r="AS211" s="926"/>
      <c r="AT211" s="926"/>
      <c r="AU211" s="926"/>
      <c r="AV211" s="926"/>
      <c r="AW211" s="926"/>
      <c r="AX211" s="926"/>
      <c r="AY211" s="926"/>
      <c r="AZ211" s="926"/>
      <c r="BA211" s="926"/>
      <c r="BB211" s="926"/>
      <c r="BC211" s="926"/>
      <c r="BD211" s="926"/>
      <c r="BE211" s="926"/>
      <c r="BF211" s="926"/>
      <c r="BG211" s="926"/>
      <c r="BH211" s="926"/>
      <c r="BI211" s="926"/>
      <c r="BJ211" s="926"/>
      <c r="BK211" s="926"/>
      <c r="BL211" s="926"/>
      <c r="BM211" s="926"/>
      <c r="BN211" s="926"/>
      <c r="BO211" s="926"/>
      <c r="BP211" s="926"/>
      <c r="BQ211" s="926"/>
      <c r="BR211" s="926"/>
      <c r="BS211" s="926"/>
      <c r="BT211" s="926"/>
      <c r="BU211" s="926"/>
      <c r="BV211" s="926"/>
      <c r="BW211" s="926"/>
      <c r="BX211" s="926"/>
      <c r="BY211" s="926"/>
      <c r="BZ211" s="926"/>
      <c r="CA211" s="926"/>
      <c r="CB211" s="926"/>
      <c r="CC211" s="926"/>
      <c r="CD211" s="926"/>
      <c r="CE211" s="926"/>
      <c r="CF211" s="926"/>
      <c r="CG211" s="926"/>
      <c r="CH211" s="926"/>
      <c r="CI211" s="926"/>
      <c r="CJ211" s="926"/>
      <c r="CK211" s="926"/>
      <c r="CL211" s="926"/>
      <c r="CM211" s="926"/>
      <c r="CN211" s="926"/>
      <c r="CO211" s="926"/>
      <c r="CP211" s="926"/>
      <c r="CQ211" s="926"/>
      <c r="CR211" s="926"/>
      <c r="CS211" s="926"/>
      <c r="CT211" s="926"/>
      <c r="CU211" s="926"/>
      <c r="CV211" s="926"/>
      <c r="CW211" s="926"/>
      <c r="CX211" s="926"/>
      <c r="CY211" s="926"/>
      <c r="CZ211" s="926"/>
      <c r="DA211" s="926"/>
      <c r="DB211" s="926"/>
      <c r="DC211" s="926"/>
      <c r="DD211" s="926"/>
      <c r="DE211" s="926"/>
      <c r="DF211" s="926"/>
      <c r="DG211" s="926"/>
      <c r="DH211" s="926"/>
      <c r="DI211" s="926"/>
      <c r="DJ211" s="926"/>
      <c r="DK211" s="926"/>
      <c r="DL211" s="926"/>
      <c r="DM211" s="926"/>
      <c r="DN211" s="926"/>
      <c r="DO211" s="926"/>
      <c r="DP211" s="926"/>
      <c r="DQ211" s="926"/>
      <c r="DR211" s="926"/>
      <c r="DS211" s="926"/>
      <c r="DT211" s="926"/>
      <c r="DU211" s="926"/>
      <c r="DV211" s="926"/>
      <c r="DW211" s="926"/>
      <c r="DX211" s="926"/>
      <c r="DY211" s="926"/>
      <c r="DZ211" s="926"/>
      <c r="EA211" s="926"/>
      <c r="EB211" s="926"/>
      <c r="EC211" s="926"/>
      <c r="ED211" s="926"/>
      <c r="EE211" s="926"/>
      <c r="EF211" s="926"/>
      <c r="EG211" s="926"/>
      <c r="EH211" s="926"/>
      <c r="EI211" s="926"/>
      <c r="EJ211" s="926"/>
      <c r="EK211" s="926"/>
      <c r="EL211" s="926"/>
      <c r="EM211" s="926"/>
      <c r="EN211" s="926"/>
      <c r="EO211" s="926"/>
      <c r="EP211" s="926"/>
      <c r="EQ211" s="926"/>
      <c r="ER211" s="926"/>
      <c r="ES211" s="926"/>
      <c r="ET211" s="926"/>
      <c r="EU211" s="926"/>
      <c r="EV211" s="926"/>
      <c r="EW211" s="926"/>
      <c r="EX211" s="926"/>
      <c r="EY211" s="926"/>
      <c r="EZ211" s="926"/>
      <c r="FA211" s="926"/>
      <c r="FB211" s="926"/>
      <c r="FC211" s="926"/>
      <c r="FD211" s="926"/>
      <c r="FE211" s="926"/>
      <c r="FF211" s="926"/>
      <c r="FG211" s="926"/>
      <c r="FH211" s="926"/>
      <c r="FI211" s="926"/>
      <c r="FJ211" s="926"/>
      <c r="FK211" s="926"/>
      <c r="FL211" s="926"/>
      <c r="FM211" s="926"/>
      <c r="FN211" s="926"/>
      <c r="FO211" s="926"/>
      <c r="FP211" s="926"/>
      <c r="FQ211" s="926"/>
      <c r="FR211" s="926"/>
      <c r="FS211" s="926"/>
      <c r="FT211" s="926"/>
      <c r="FU211" s="926"/>
      <c r="FV211" s="926"/>
      <c r="FW211" s="926"/>
      <c r="FX211" s="926"/>
      <c r="FY211" s="926"/>
      <c r="FZ211" s="926"/>
      <c r="GA211" s="926"/>
      <c r="GB211" s="926"/>
      <c r="GC211" s="926"/>
      <c r="GD211" s="926"/>
      <c r="GE211" s="926"/>
      <c r="GF211" s="926"/>
      <c r="GG211" s="926"/>
      <c r="GH211" s="926"/>
      <c r="GI211" s="926"/>
      <c r="GJ211" s="926"/>
      <c r="GK211" s="926"/>
      <c r="GL211" s="926"/>
      <c r="GM211" s="926"/>
      <c r="GN211" s="926"/>
      <c r="GO211" s="926"/>
      <c r="GP211" s="926"/>
      <c r="GQ211" s="926"/>
      <c r="GR211" s="926"/>
      <c r="GS211" s="926"/>
      <c r="GT211" s="926"/>
      <c r="GU211" s="926"/>
      <c r="GV211" s="926"/>
      <c r="GW211" s="926"/>
      <c r="GX211" s="926"/>
      <c r="GY211" s="926"/>
      <c r="GZ211" s="926"/>
      <c r="HA211" s="926"/>
      <c r="HB211" s="926"/>
      <c r="HC211" s="926"/>
      <c r="HD211" s="926"/>
      <c r="HE211" s="926"/>
      <c r="HF211" s="926"/>
      <c r="HG211" s="926"/>
      <c r="HH211" s="926"/>
      <c r="HI211" s="926"/>
      <c r="HJ211" s="926"/>
      <c r="HK211" s="926"/>
      <c r="HL211" s="926"/>
      <c r="HM211" s="926"/>
      <c r="HN211" s="926"/>
      <c r="HO211" s="926"/>
      <c r="HP211" s="926"/>
      <c r="HQ211" s="926"/>
      <c r="HR211" s="926"/>
      <c r="HS211" s="926"/>
      <c r="HT211" s="926"/>
      <c r="HU211" s="926"/>
      <c r="HV211" s="926"/>
      <c r="HW211" s="926"/>
      <c r="HX211" s="926"/>
      <c r="HY211" s="926"/>
      <c r="HZ211" s="926"/>
      <c r="IA211" s="926"/>
      <c r="IB211" s="926"/>
      <c r="IC211" s="926"/>
      <c r="ID211" s="926"/>
      <c r="IE211" s="926"/>
      <c r="IF211" s="926"/>
      <c r="IG211" s="926"/>
      <c r="IH211" s="926"/>
      <c r="II211" s="926"/>
      <c r="IJ211" s="926"/>
      <c r="IK211" s="926"/>
      <c r="IL211" s="926"/>
      <c r="IM211" s="926"/>
    </row>
    <row r="212" spans="1:247" x14ac:dyDescent="0.45">
      <c r="A212" s="441">
        <v>7604</v>
      </c>
      <c r="B212" s="939" t="s">
        <v>2748</v>
      </c>
      <c r="C212" s="47" t="s">
        <v>488</v>
      </c>
      <c r="D212" s="449" t="s">
        <v>2537</v>
      </c>
      <c r="E212" s="946"/>
      <c r="F212" s="941">
        <f t="shared" si="56"/>
        <v>1.0209999999999999</v>
      </c>
      <c r="G212" s="947">
        <f t="shared" si="58"/>
        <v>1.0269999999999999</v>
      </c>
      <c r="H212" s="946"/>
      <c r="I212" s="948"/>
      <c r="J212" s="948"/>
      <c r="K212" s="948"/>
      <c r="L212" s="948"/>
      <c r="M212" s="948"/>
      <c r="N212" s="947"/>
      <c r="O212" s="949"/>
      <c r="P212" s="946">
        <f t="shared" si="59"/>
        <v>1.032</v>
      </c>
      <c r="Q212" s="947">
        <f t="shared" si="60"/>
        <v>1.0349999999999999</v>
      </c>
      <c r="R212" s="950">
        <f t="shared" si="57"/>
        <v>1.1199953840399997</v>
      </c>
      <c r="S212" s="926"/>
      <c r="T212" s="926"/>
      <c r="U212" s="926"/>
      <c r="V212" s="926"/>
      <c r="W212" s="926"/>
      <c r="X212" s="926"/>
      <c r="Y212" s="926"/>
      <c r="Z212" s="926"/>
      <c r="AA212" s="926"/>
      <c r="AB212" s="926"/>
      <c r="AC212" s="926"/>
      <c r="AD212" s="926"/>
      <c r="AE212" s="926"/>
      <c r="AF212" s="926"/>
      <c r="AG212" s="926"/>
      <c r="AH212" s="926"/>
      <c r="AI212" s="926"/>
      <c r="AJ212" s="926"/>
      <c r="AK212" s="926"/>
      <c r="AL212" s="926"/>
      <c r="AM212" s="926"/>
      <c r="AN212" s="926"/>
      <c r="AO212" s="926"/>
      <c r="AP212" s="926"/>
      <c r="AQ212" s="926"/>
      <c r="AR212" s="926"/>
      <c r="AS212" s="926"/>
      <c r="AT212" s="926"/>
      <c r="AU212" s="926"/>
      <c r="AV212" s="926"/>
      <c r="AW212" s="926"/>
      <c r="AX212" s="926"/>
      <c r="AY212" s="926"/>
      <c r="AZ212" s="926"/>
      <c r="BA212" s="926"/>
      <c r="BB212" s="926"/>
      <c r="BC212" s="926"/>
      <c r="BD212" s="926"/>
      <c r="BE212" s="926"/>
      <c r="BF212" s="926"/>
      <c r="BG212" s="926"/>
      <c r="BH212" s="926"/>
      <c r="BI212" s="926"/>
      <c r="BJ212" s="926"/>
      <c r="BK212" s="926"/>
      <c r="BL212" s="926"/>
      <c r="BM212" s="926"/>
      <c r="BN212" s="926"/>
      <c r="BO212" s="926"/>
      <c r="BP212" s="926"/>
      <c r="BQ212" s="926"/>
      <c r="BR212" s="926"/>
      <c r="BS212" s="926"/>
      <c r="BT212" s="926"/>
      <c r="BU212" s="926"/>
      <c r="BV212" s="926"/>
      <c r="BW212" s="926"/>
      <c r="BX212" s="926"/>
      <c r="BY212" s="926"/>
      <c r="BZ212" s="926"/>
      <c r="CA212" s="926"/>
      <c r="CB212" s="926"/>
      <c r="CC212" s="926"/>
      <c r="CD212" s="926"/>
      <c r="CE212" s="926"/>
      <c r="CF212" s="926"/>
      <c r="CG212" s="926"/>
      <c r="CH212" s="926"/>
      <c r="CI212" s="926"/>
      <c r="CJ212" s="926"/>
      <c r="CK212" s="926"/>
      <c r="CL212" s="926"/>
      <c r="CM212" s="926"/>
      <c r="CN212" s="926"/>
      <c r="CO212" s="926"/>
      <c r="CP212" s="926"/>
      <c r="CQ212" s="926"/>
      <c r="CR212" s="926"/>
      <c r="CS212" s="926"/>
      <c r="CT212" s="926"/>
      <c r="CU212" s="926"/>
      <c r="CV212" s="926"/>
      <c r="CW212" s="926"/>
      <c r="CX212" s="926"/>
      <c r="CY212" s="926"/>
      <c r="CZ212" s="926"/>
      <c r="DA212" s="926"/>
      <c r="DB212" s="926"/>
      <c r="DC212" s="926"/>
      <c r="DD212" s="926"/>
      <c r="DE212" s="926"/>
      <c r="DF212" s="926"/>
      <c r="DG212" s="926"/>
      <c r="DH212" s="926"/>
      <c r="DI212" s="926"/>
      <c r="DJ212" s="926"/>
      <c r="DK212" s="926"/>
      <c r="DL212" s="926"/>
      <c r="DM212" s="926"/>
      <c r="DN212" s="926"/>
      <c r="DO212" s="926"/>
      <c r="DP212" s="926"/>
      <c r="DQ212" s="926"/>
      <c r="DR212" s="926"/>
      <c r="DS212" s="926"/>
      <c r="DT212" s="926"/>
      <c r="DU212" s="926"/>
      <c r="DV212" s="926"/>
      <c r="DW212" s="926"/>
      <c r="DX212" s="926"/>
      <c r="DY212" s="926"/>
      <c r="DZ212" s="926"/>
      <c r="EA212" s="926"/>
      <c r="EB212" s="926"/>
      <c r="EC212" s="926"/>
      <c r="ED212" s="926"/>
      <c r="EE212" s="926"/>
      <c r="EF212" s="926"/>
      <c r="EG212" s="926"/>
      <c r="EH212" s="926"/>
      <c r="EI212" s="926"/>
      <c r="EJ212" s="926"/>
      <c r="EK212" s="926"/>
      <c r="EL212" s="926"/>
      <c r="EM212" s="926"/>
      <c r="EN212" s="926"/>
      <c r="EO212" s="926"/>
      <c r="EP212" s="926"/>
      <c r="EQ212" s="926"/>
      <c r="ER212" s="926"/>
      <c r="ES212" s="926"/>
      <c r="ET212" s="926"/>
      <c r="EU212" s="926"/>
      <c r="EV212" s="926"/>
      <c r="EW212" s="926"/>
      <c r="EX212" s="926"/>
      <c r="EY212" s="926"/>
      <c r="EZ212" s="926"/>
      <c r="FA212" s="926"/>
      <c r="FB212" s="926"/>
      <c r="FC212" s="926"/>
      <c r="FD212" s="926"/>
      <c r="FE212" s="926"/>
      <c r="FF212" s="926"/>
      <c r="FG212" s="926"/>
      <c r="FH212" s="926"/>
      <c r="FI212" s="926"/>
      <c r="FJ212" s="926"/>
      <c r="FK212" s="926"/>
      <c r="FL212" s="926"/>
      <c r="FM212" s="926"/>
      <c r="FN212" s="926"/>
      <c r="FO212" s="926"/>
      <c r="FP212" s="926"/>
      <c r="FQ212" s="926"/>
      <c r="FR212" s="926"/>
      <c r="FS212" s="926"/>
      <c r="FT212" s="926"/>
      <c r="FU212" s="926"/>
      <c r="FV212" s="926"/>
      <c r="FW212" s="926"/>
      <c r="FX212" s="926"/>
      <c r="FY212" s="926"/>
      <c r="FZ212" s="926"/>
      <c r="GA212" s="926"/>
      <c r="GB212" s="926"/>
      <c r="GC212" s="926"/>
      <c r="GD212" s="926"/>
      <c r="GE212" s="926"/>
      <c r="GF212" s="926"/>
      <c r="GG212" s="926"/>
      <c r="GH212" s="926"/>
      <c r="GI212" s="926"/>
      <c r="GJ212" s="926"/>
      <c r="GK212" s="926"/>
      <c r="GL212" s="926"/>
      <c r="GM212" s="926"/>
      <c r="GN212" s="926"/>
      <c r="GO212" s="926"/>
      <c r="GP212" s="926"/>
      <c r="GQ212" s="926"/>
      <c r="GR212" s="926"/>
      <c r="GS212" s="926"/>
      <c r="GT212" s="926"/>
      <c r="GU212" s="926"/>
      <c r="GV212" s="926"/>
      <c r="GW212" s="926"/>
      <c r="GX212" s="926"/>
      <c r="GY212" s="926"/>
      <c r="GZ212" s="926"/>
      <c r="HA212" s="926"/>
      <c r="HB212" s="926"/>
      <c r="HC212" s="926"/>
      <c r="HD212" s="926"/>
      <c r="HE212" s="926"/>
      <c r="HF212" s="926"/>
      <c r="HG212" s="926"/>
      <c r="HH212" s="926"/>
      <c r="HI212" s="926"/>
      <c r="HJ212" s="926"/>
      <c r="HK212" s="926"/>
      <c r="HL212" s="926"/>
      <c r="HM212" s="926"/>
      <c r="HN212" s="926"/>
      <c r="HO212" s="926"/>
      <c r="HP212" s="926"/>
      <c r="HQ212" s="926"/>
      <c r="HR212" s="926"/>
      <c r="HS212" s="926"/>
      <c r="HT212" s="926"/>
      <c r="HU212" s="926"/>
      <c r="HV212" s="926"/>
      <c r="HW212" s="926"/>
      <c r="HX212" s="926"/>
      <c r="HY212" s="926"/>
      <c r="HZ212" s="926"/>
      <c r="IA212" s="926"/>
      <c r="IB212" s="926"/>
      <c r="IC212" s="926"/>
      <c r="ID212" s="926"/>
      <c r="IE212" s="926"/>
      <c r="IF212" s="926"/>
      <c r="IG212" s="926"/>
      <c r="IH212" s="926"/>
      <c r="II212" s="926"/>
      <c r="IJ212" s="926"/>
      <c r="IK212" s="926"/>
      <c r="IL212" s="926"/>
      <c r="IM212" s="926"/>
    </row>
    <row r="213" spans="1:247" x14ac:dyDescent="0.45">
      <c r="A213" s="441">
        <v>8111</v>
      </c>
      <c r="B213" s="939" t="s">
        <v>2749</v>
      </c>
      <c r="C213" s="47" t="s">
        <v>1985</v>
      </c>
      <c r="D213" s="449" t="s">
        <v>2537</v>
      </c>
      <c r="E213" s="946"/>
      <c r="F213" s="941">
        <f t="shared" si="56"/>
        <v>1.0209999999999999</v>
      </c>
      <c r="G213" s="947"/>
      <c r="H213" s="946"/>
      <c r="I213" s="948"/>
      <c r="J213" s="948"/>
      <c r="K213" s="948"/>
      <c r="L213" s="948"/>
      <c r="M213" s="948"/>
      <c r="N213" s="947"/>
      <c r="O213" s="949"/>
      <c r="P213" s="946">
        <f t="shared" si="59"/>
        <v>1.032</v>
      </c>
      <c r="Q213" s="947">
        <f t="shared" si="60"/>
        <v>1.0349999999999999</v>
      </c>
      <c r="R213" s="950">
        <f t="shared" si="57"/>
        <v>1.0905505199999999</v>
      </c>
      <c r="S213" s="926"/>
      <c r="T213" s="926"/>
      <c r="U213" s="926"/>
      <c r="V213" s="926"/>
      <c r="W213" s="926"/>
      <c r="X213" s="926"/>
      <c r="Y213" s="926"/>
      <c r="Z213" s="926"/>
      <c r="AA213" s="926"/>
      <c r="AB213" s="926"/>
      <c r="AC213" s="926"/>
      <c r="AD213" s="926"/>
      <c r="AE213" s="926"/>
      <c r="AF213" s="926"/>
      <c r="AG213" s="926"/>
      <c r="AH213" s="926"/>
      <c r="AI213" s="926"/>
      <c r="AJ213" s="926"/>
      <c r="AK213" s="926"/>
      <c r="AL213" s="926"/>
      <c r="AM213" s="926"/>
      <c r="AN213" s="926"/>
      <c r="AO213" s="926"/>
      <c r="AP213" s="926"/>
      <c r="AQ213" s="926"/>
      <c r="AR213" s="926"/>
      <c r="AS213" s="926"/>
      <c r="AT213" s="926"/>
      <c r="AU213" s="926"/>
      <c r="AV213" s="926"/>
      <c r="AW213" s="926"/>
      <c r="AX213" s="926"/>
      <c r="AY213" s="926"/>
      <c r="AZ213" s="926"/>
      <c r="BA213" s="926"/>
      <c r="BB213" s="926"/>
      <c r="BC213" s="926"/>
      <c r="BD213" s="926"/>
      <c r="BE213" s="926"/>
      <c r="BF213" s="926"/>
      <c r="BG213" s="926"/>
      <c r="BH213" s="926"/>
      <c r="BI213" s="926"/>
      <c r="BJ213" s="926"/>
      <c r="BK213" s="926"/>
      <c r="BL213" s="926"/>
      <c r="BM213" s="926"/>
      <c r="BN213" s="926"/>
      <c r="BO213" s="926"/>
      <c r="BP213" s="926"/>
      <c r="BQ213" s="926"/>
      <c r="BR213" s="926"/>
      <c r="BS213" s="926"/>
      <c r="BT213" s="926"/>
      <c r="BU213" s="926"/>
      <c r="BV213" s="926"/>
      <c r="BW213" s="926"/>
      <c r="BX213" s="926"/>
      <c r="BY213" s="926"/>
      <c r="BZ213" s="926"/>
      <c r="CA213" s="926"/>
      <c r="CB213" s="926"/>
      <c r="CC213" s="926"/>
      <c r="CD213" s="926"/>
      <c r="CE213" s="926"/>
      <c r="CF213" s="926"/>
      <c r="CG213" s="926"/>
      <c r="CH213" s="926"/>
      <c r="CI213" s="926"/>
      <c r="CJ213" s="926"/>
      <c r="CK213" s="926"/>
      <c r="CL213" s="926"/>
      <c r="CM213" s="926"/>
      <c r="CN213" s="926"/>
      <c r="CO213" s="926"/>
      <c r="CP213" s="926"/>
      <c r="CQ213" s="926"/>
      <c r="CR213" s="926"/>
      <c r="CS213" s="926"/>
      <c r="CT213" s="926"/>
      <c r="CU213" s="926"/>
      <c r="CV213" s="926"/>
      <c r="CW213" s="926"/>
      <c r="CX213" s="926"/>
      <c r="CY213" s="926"/>
      <c r="CZ213" s="926"/>
      <c r="DA213" s="926"/>
      <c r="DB213" s="926"/>
      <c r="DC213" s="926"/>
      <c r="DD213" s="926"/>
      <c r="DE213" s="926"/>
      <c r="DF213" s="926"/>
      <c r="DG213" s="926"/>
      <c r="DH213" s="926"/>
      <c r="DI213" s="926"/>
      <c r="DJ213" s="926"/>
      <c r="DK213" s="926"/>
      <c r="DL213" s="926"/>
      <c r="DM213" s="926"/>
      <c r="DN213" s="926"/>
      <c r="DO213" s="926"/>
      <c r="DP213" s="926"/>
      <c r="DQ213" s="926"/>
      <c r="DR213" s="926"/>
      <c r="DS213" s="926"/>
      <c r="DT213" s="926"/>
      <c r="DU213" s="926"/>
      <c r="DV213" s="926"/>
      <c r="DW213" s="926"/>
      <c r="DX213" s="926"/>
      <c r="DY213" s="926"/>
      <c r="DZ213" s="926"/>
      <c r="EA213" s="926"/>
      <c r="EB213" s="926"/>
      <c r="EC213" s="926"/>
      <c r="ED213" s="926"/>
      <c r="EE213" s="926"/>
      <c r="EF213" s="926"/>
      <c r="EG213" s="926"/>
      <c r="EH213" s="926"/>
      <c r="EI213" s="926"/>
      <c r="EJ213" s="926"/>
      <c r="EK213" s="926"/>
      <c r="EL213" s="926"/>
      <c r="EM213" s="926"/>
      <c r="EN213" s="926"/>
      <c r="EO213" s="926"/>
      <c r="EP213" s="926"/>
      <c r="EQ213" s="926"/>
      <c r="ER213" s="926"/>
      <c r="ES213" s="926"/>
      <c r="ET213" s="926"/>
      <c r="EU213" s="926"/>
      <c r="EV213" s="926"/>
      <c r="EW213" s="926"/>
      <c r="EX213" s="926"/>
      <c r="EY213" s="926"/>
      <c r="EZ213" s="926"/>
      <c r="FA213" s="926"/>
      <c r="FB213" s="926"/>
      <c r="FC213" s="926"/>
      <c r="FD213" s="926"/>
      <c r="FE213" s="926"/>
      <c r="FF213" s="926"/>
      <c r="FG213" s="926"/>
      <c r="FH213" s="926"/>
      <c r="FI213" s="926"/>
      <c r="FJ213" s="926"/>
      <c r="FK213" s="926"/>
      <c r="FL213" s="926"/>
      <c r="FM213" s="926"/>
      <c r="FN213" s="926"/>
      <c r="FO213" s="926"/>
      <c r="FP213" s="926"/>
      <c r="FQ213" s="926"/>
      <c r="FR213" s="926"/>
      <c r="FS213" s="926"/>
      <c r="FT213" s="926"/>
      <c r="FU213" s="926"/>
      <c r="FV213" s="926"/>
      <c r="FW213" s="926"/>
      <c r="FX213" s="926"/>
      <c r="FY213" s="926"/>
      <c r="FZ213" s="926"/>
      <c r="GA213" s="926"/>
      <c r="GB213" s="926"/>
      <c r="GC213" s="926"/>
      <c r="GD213" s="926"/>
      <c r="GE213" s="926"/>
      <c r="GF213" s="926"/>
      <c r="GG213" s="926"/>
      <c r="GH213" s="926"/>
      <c r="GI213" s="926"/>
      <c r="GJ213" s="926"/>
      <c r="GK213" s="926"/>
      <c r="GL213" s="926"/>
      <c r="GM213" s="926"/>
      <c r="GN213" s="926"/>
      <c r="GO213" s="926"/>
      <c r="GP213" s="926"/>
      <c r="GQ213" s="926"/>
      <c r="GR213" s="926"/>
      <c r="GS213" s="926"/>
      <c r="GT213" s="926"/>
      <c r="GU213" s="926"/>
      <c r="GV213" s="926"/>
      <c r="GW213" s="926"/>
      <c r="GX213" s="926"/>
      <c r="GY213" s="926"/>
      <c r="GZ213" s="926"/>
      <c r="HA213" s="926"/>
      <c r="HB213" s="926"/>
      <c r="HC213" s="926"/>
      <c r="HD213" s="926"/>
      <c r="HE213" s="926"/>
      <c r="HF213" s="926"/>
      <c r="HG213" s="926"/>
      <c r="HH213" s="926"/>
      <c r="HI213" s="926"/>
      <c r="HJ213" s="926"/>
      <c r="HK213" s="926"/>
      <c r="HL213" s="926"/>
      <c r="HM213" s="926"/>
      <c r="HN213" s="926"/>
      <c r="HO213" s="926"/>
      <c r="HP213" s="926"/>
      <c r="HQ213" s="926"/>
      <c r="HR213" s="926"/>
      <c r="HS213" s="926"/>
      <c r="HT213" s="926"/>
      <c r="HU213" s="926"/>
      <c r="HV213" s="926"/>
      <c r="HW213" s="926"/>
      <c r="HX213" s="926"/>
      <c r="HY213" s="926"/>
      <c r="HZ213" s="926"/>
      <c r="IA213" s="926"/>
      <c r="IB213" s="926"/>
      <c r="IC213" s="926"/>
      <c r="ID213" s="926"/>
      <c r="IE213" s="926"/>
      <c r="IF213" s="926"/>
      <c r="IG213" s="926"/>
      <c r="IH213" s="926"/>
      <c r="II213" s="926"/>
      <c r="IJ213" s="926"/>
      <c r="IK213" s="926"/>
      <c r="IL213" s="926"/>
      <c r="IM213" s="926"/>
    </row>
    <row r="214" spans="1:247" x14ac:dyDescent="0.45">
      <c r="A214" s="441">
        <v>8113</v>
      </c>
      <c r="B214" s="939" t="s">
        <v>2750</v>
      </c>
      <c r="C214" s="47" t="s">
        <v>1996</v>
      </c>
      <c r="D214" s="449" t="s">
        <v>2537</v>
      </c>
      <c r="E214" s="946"/>
      <c r="F214" s="941">
        <f t="shared" si="56"/>
        <v>1.0209999999999999</v>
      </c>
      <c r="G214" s="947">
        <f>+$G$3</f>
        <v>1.0269999999999999</v>
      </c>
      <c r="H214" s="946"/>
      <c r="I214" s="948"/>
      <c r="J214" s="948"/>
      <c r="K214" s="948"/>
      <c r="L214" s="948"/>
      <c r="M214" s="948"/>
      <c r="N214" s="947"/>
      <c r="O214" s="949"/>
      <c r="P214" s="946">
        <f t="shared" si="59"/>
        <v>1.032</v>
      </c>
      <c r="Q214" s="947">
        <f t="shared" si="60"/>
        <v>1.0349999999999999</v>
      </c>
      <c r="R214" s="950">
        <f t="shared" si="57"/>
        <v>1.1199953840399997</v>
      </c>
      <c r="S214" s="926"/>
      <c r="T214" s="926"/>
      <c r="U214" s="926"/>
      <c r="V214" s="926"/>
      <c r="W214" s="926"/>
      <c r="X214" s="926"/>
      <c r="Y214" s="926"/>
      <c r="Z214" s="926"/>
      <c r="AA214" s="926"/>
      <c r="AB214" s="926"/>
      <c r="AC214" s="926"/>
      <c r="AD214" s="926"/>
      <c r="AE214" s="926"/>
      <c r="AF214" s="926"/>
      <c r="AG214" s="926"/>
      <c r="AH214" s="926"/>
      <c r="AI214" s="926"/>
      <c r="AJ214" s="926"/>
      <c r="AK214" s="926"/>
      <c r="AL214" s="926"/>
      <c r="AM214" s="926"/>
      <c r="AN214" s="926"/>
      <c r="AO214" s="926"/>
      <c r="AP214" s="926"/>
      <c r="AQ214" s="926"/>
      <c r="AR214" s="926"/>
      <c r="AS214" s="926"/>
      <c r="AT214" s="926"/>
      <c r="AU214" s="926"/>
      <c r="AV214" s="926"/>
      <c r="AW214" s="926"/>
      <c r="AX214" s="926"/>
      <c r="AY214" s="926"/>
      <c r="AZ214" s="926"/>
      <c r="BA214" s="926"/>
      <c r="BB214" s="926"/>
      <c r="BC214" s="926"/>
      <c r="BD214" s="926"/>
      <c r="BE214" s="926"/>
      <c r="BF214" s="926"/>
      <c r="BG214" s="926"/>
      <c r="BH214" s="926"/>
      <c r="BI214" s="926"/>
      <c r="BJ214" s="926"/>
      <c r="BK214" s="926"/>
      <c r="BL214" s="926"/>
      <c r="BM214" s="926"/>
      <c r="BN214" s="926"/>
      <c r="BO214" s="926"/>
      <c r="BP214" s="926"/>
      <c r="BQ214" s="926"/>
      <c r="BR214" s="926"/>
      <c r="BS214" s="926"/>
      <c r="BT214" s="926"/>
      <c r="BU214" s="926"/>
      <c r="BV214" s="926"/>
      <c r="BW214" s="926"/>
      <c r="BX214" s="926"/>
      <c r="BY214" s="926"/>
      <c r="BZ214" s="926"/>
      <c r="CA214" s="926"/>
      <c r="CB214" s="926"/>
      <c r="CC214" s="926"/>
      <c r="CD214" s="926"/>
      <c r="CE214" s="926"/>
      <c r="CF214" s="926"/>
      <c r="CG214" s="926"/>
      <c r="CH214" s="926"/>
      <c r="CI214" s="926"/>
      <c r="CJ214" s="926"/>
      <c r="CK214" s="926"/>
      <c r="CL214" s="926"/>
      <c r="CM214" s="926"/>
      <c r="CN214" s="926"/>
      <c r="CO214" s="926"/>
      <c r="CP214" s="926"/>
      <c r="CQ214" s="926"/>
      <c r="CR214" s="926"/>
      <c r="CS214" s="926"/>
      <c r="CT214" s="926"/>
      <c r="CU214" s="926"/>
      <c r="CV214" s="926"/>
      <c r="CW214" s="926"/>
      <c r="CX214" s="926"/>
      <c r="CY214" s="926"/>
      <c r="CZ214" s="926"/>
      <c r="DA214" s="926"/>
      <c r="DB214" s="926"/>
      <c r="DC214" s="926"/>
      <c r="DD214" s="926"/>
      <c r="DE214" s="926"/>
      <c r="DF214" s="926"/>
      <c r="DG214" s="926"/>
      <c r="DH214" s="926"/>
      <c r="DI214" s="926"/>
      <c r="DJ214" s="926"/>
      <c r="DK214" s="926"/>
      <c r="DL214" s="926"/>
      <c r="DM214" s="926"/>
      <c r="DN214" s="926"/>
      <c r="DO214" s="926"/>
      <c r="DP214" s="926"/>
      <c r="DQ214" s="926"/>
      <c r="DR214" s="926"/>
      <c r="DS214" s="926"/>
      <c r="DT214" s="926"/>
      <c r="DU214" s="926"/>
      <c r="DV214" s="926"/>
      <c r="DW214" s="926"/>
      <c r="DX214" s="926"/>
      <c r="DY214" s="926"/>
      <c r="DZ214" s="926"/>
      <c r="EA214" s="926"/>
      <c r="EB214" s="926"/>
      <c r="EC214" s="926"/>
      <c r="ED214" s="926"/>
      <c r="EE214" s="926"/>
      <c r="EF214" s="926"/>
      <c r="EG214" s="926"/>
      <c r="EH214" s="926"/>
      <c r="EI214" s="926"/>
      <c r="EJ214" s="926"/>
      <c r="EK214" s="926"/>
      <c r="EL214" s="926"/>
      <c r="EM214" s="926"/>
      <c r="EN214" s="926"/>
      <c r="EO214" s="926"/>
      <c r="EP214" s="926"/>
      <c r="EQ214" s="926"/>
      <c r="ER214" s="926"/>
      <c r="ES214" s="926"/>
      <c r="ET214" s="926"/>
      <c r="EU214" s="926"/>
      <c r="EV214" s="926"/>
      <c r="EW214" s="926"/>
      <c r="EX214" s="926"/>
      <c r="EY214" s="926"/>
      <c r="EZ214" s="926"/>
      <c r="FA214" s="926"/>
      <c r="FB214" s="926"/>
      <c r="FC214" s="926"/>
      <c r="FD214" s="926"/>
      <c r="FE214" s="926"/>
      <c r="FF214" s="926"/>
      <c r="FG214" s="926"/>
      <c r="FH214" s="926"/>
      <c r="FI214" s="926"/>
      <c r="FJ214" s="926"/>
      <c r="FK214" s="926"/>
      <c r="FL214" s="926"/>
      <c r="FM214" s="926"/>
      <c r="FN214" s="926"/>
      <c r="FO214" s="926"/>
      <c r="FP214" s="926"/>
      <c r="FQ214" s="926"/>
      <c r="FR214" s="926"/>
      <c r="FS214" s="926"/>
      <c r="FT214" s="926"/>
      <c r="FU214" s="926"/>
      <c r="FV214" s="926"/>
      <c r="FW214" s="926"/>
      <c r="FX214" s="926"/>
      <c r="FY214" s="926"/>
      <c r="FZ214" s="926"/>
      <c r="GA214" s="926"/>
      <c r="GB214" s="926"/>
      <c r="GC214" s="926"/>
      <c r="GD214" s="926"/>
      <c r="GE214" s="926"/>
      <c r="GF214" s="926"/>
      <c r="GG214" s="926"/>
      <c r="GH214" s="926"/>
      <c r="GI214" s="926"/>
      <c r="GJ214" s="926"/>
      <c r="GK214" s="926"/>
      <c r="GL214" s="926"/>
      <c r="GM214" s="926"/>
      <c r="GN214" s="926"/>
      <c r="GO214" s="926"/>
      <c r="GP214" s="926"/>
      <c r="GQ214" s="926"/>
      <c r="GR214" s="926"/>
      <c r="GS214" s="926"/>
      <c r="GT214" s="926"/>
      <c r="GU214" s="926"/>
      <c r="GV214" s="926"/>
      <c r="GW214" s="926"/>
      <c r="GX214" s="926"/>
      <c r="GY214" s="926"/>
      <c r="GZ214" s="926"/>
      <c r="HA214" s="926"/>
      <c r="HB214" s="926"/>
      <c r="HC214" s="926"/>
      <c r="HD214" s="926"/>
      <c r="HE214" s="926"/>
      <c r="HF214" s="926"/>
      <c r="HG214" s="926"/>
      <c r="HH214" s="926"/>
      <c r="HI214" s="926"/>
      <c r="HJ214" s="926"/>
      <c r="HK214" s="926"/>
      <c r="HL214" s="926"/>
      <c r="HM214" s="926"/>
      <c r="HN214" s="926"/>
      <c r="HO214" s="926"/>
      <c r="HP214" s="926"/>
      <c r="HQ214" s="926"/>
      <c r="HR214" s="926"/>
      <c r="HS214" s="926"/>
      <c r="HT214" s="926"/>
      <c r="HU214" s="926"/>
      <c r="HV214" s="926"/>
      <c r="HW214" s="926"/>
      <c r="HX214" s="926"/>
      <c r="HY214" s="926"/>
      <c r="HZ214" s="926"/>
      <c r="IA214" s="926"/>
      <c r="IB214" s="926"/>
      <c r="IC214" s="926"/>
      <c r="ID214" s="926"/>
      <c r="IE214" s="926"/>
      <c r="IF214" s="926"/>
      <c r="IG214" s="926"/>
      <c r="IH214" s="926"/>
      <c r="II214" s="926"/>
      <c r="IJ214" s="926"/>
      <c r="IK214" s="926"/>
      <c r="IL214" s="926"/>
      <c r="IM214" s="926"/>
    </row>
    <row r="215" spans="1:247" x14ac:dyDescent="0.45">
      <c r="A215" s="441">
        <v>8114</v>
      </c>
      <c r="B215" s="939" t="s">
        <v>2751</v>
      </c>
      <c r="C215" s="47" t="s">
        <v>1985</v>
      </c>
      <c r="D215" s="449" t="s">
        <v>2537</v>
      </c>
      <c r="E215" s="946"/>
      <c r="F215" s="941">
        <f t="shared" si="56"/>
        <v>1.0209999999999999</v>
      </c>
      <c r="G215" s="947">
        <f>+$G$3</f>
        <v>1.0269999999999999</v>
      </c>
      <c r="H215" s="946"/>
      <c r="I215" s="948"/>
      <c r="J215" s="948"/>
      <c r="K215" s="948"/>
      <c r="L215" s="948"/>
      <c r="M215" s="948"/>
      <c r="N215" s="947"/>
      <c r="O215" s="949"/>
      <c r="P215" s="946">
        <f t="shared" si="59"/>
        <v>1.032</v>
      </c>
      <c r="Q215" s="947">
        <f t="shared" si="60"/>
        <v>1.0349999999999999</v>
      </c>
      <c r="R215" s="950">
        <f t="shared" si="57"/>
        <v>1.1199953840399997</v>
      </c>
      <c r="S215" s="926"/>
      <c r="T215" s="926"/>
      <c r="U215" s="926"/>
      <c r="V215" s="926"/>
      <c r="W215" s="926"/>
      <c r="X215" s="926"/>
      <c r="Y215" s="926"/>
      <c r="Z215" s="926"/>
      <c r="AA215" s="926"/>
      <c r="AB215" s="926"/>
      <c r="AC215" s="926"/>
      <c r="AD215" s="926"/>
      <c r="AE215" s="926"/>
      <c r="AF215" s="926"/>
      <c r="AG215" s="926"/>
      <c r="AH215" s="926"/>
      <c r="AI215" s="926"/>
      <c r="AJ215" s="926"/>
      <c r="AK215" s="926"/>
      <c r="AL215" s="926"/>
      <c r="AM215" s="926"/>
      <c r="AN215" s="926"/>
      <c r="AO215" s="926"/>
      <c r="AP215" s="926"/>
      <c r="AQ215" s="926"/>
      <c r="AR215" s="926"/>
      <c r="AS215" s="926"/>
      <c r="AT215" s="926"/>
      <c r="AU215" s="926"/>
      <c r="AV215" s="926"/>
      <c r="AW215" s="926"/>
      <c r="AX215" s="926"/>
      <c r="AY215" s="926"/>
      <c r="AZ215" s="926"/>
      <c r="BA215" s="926"/>
      <c r="BB215" s="926"/>
      <c r="BC215" s="926"/>
      <c r="BD215" s="926"/>
      <c r="BE215" s="926"/>
      <c r="BF215" s="926"/>
      <c r="BG215" s="926"/>
      <c r="BH215" s="926"/>
      <c r="BI215" s="926"/>
      <c r="BJ215" s="926"/>
      <c r="BK215" s="926"/>
      <c r="BL215" s="926"/>
      <c r="BM215" s="926"/>
      <c r="BN215" s="926"/>
      <c r="BO215" s="926"/>
      <c r="BP215" s="926"/>
      <c r="BQ215" s="926"/>
      <c r="BR215" s="926"/>
      <c r="BS215" s="926"/>
      <c r="BT215" s="926"/>
      <c r="BU215" s="926"/>
      <c r="BV215" s="926"/>
      <c r="BW215" s="926"/>
      <c r="BX215" s="926"/>
      <c r="BY215" s="926"/>
      <c r="BZ215" s="926"/>
      <c r="CA215" s="926"/>
      <c r="CB215" s="926"/>
      <c r="CC215" s="926"/>
      <c r="CD215" s="926"/>
      <c r="CE215" s="926"/>
      <c r="CF215" s="926"/>
      <c r="CG215" s="926"/>
      <c r="CH215" s="926"/>
      <c r="CI215" s="926"/>
      <c r="CJ215" s="926"/>
      <c r="CK215" s="926"/>
      <c r="CL215" s="926"/>
      <c r="CM215" s="926"/>
      <c r="CN215" s="926"/>
      <c r="CO215" s="926"/>
      <c r="CP215" s="926"/>
      <c r="CQ215" s="926"/>
      <c r="CR215" s="926"/>
      <c r="CS215" s="926"/>
      <c r="CT215" s="926"/>
      <c r="CU215" s="926"/>
      <c r="CV215" s="926"/>
      <c r="CW215" s="926"/>
      <c r="CX215" s="926"/>
      <c r="CY215" s="926"/>
      <c r="CZ215" s="926"/>
      <c r="DA215" s="926"/>
      <c r="DB215" s="926"/>
      <c r="DC215" s="926"/>
      <c r="DD215" s="926"/>
      <c r="DE215" s="926"/>
      <c r="DF215" s="926"/>
      <c r="DG215" s="926"/>
      <c r="DH215" s="926"/>
      <c r="DI215" s="926"/>
      <c r="DJ215" s="926"/>
      <c r="DK215" s="926"/>
      <c r="DL215" s="926"/>
      <c r="DM215" s="926"/>
      <c r="DN215" s="926"/>
      <c r="DO215" s="926"/>
      <c r="DP215" s="926"/>
      <c r="DQ215" s="926"/>
      <c r="DR215" s="926"/>
      <c r="DS215" s="926"/>
      <c r="DT215" s="926"/>
      <c r="DU215" s="926"/>
      <c r="DV215" s="926"/>
      <c r="DW215" s="926"/>
      <c r="DX215" s="926"/>
      <c r="DY215" s="926"/>
      <c r="DZ215" s="926"/>
      <c r="EA215" s="926"/>
      <c r="EB215" s="926"/>
      <c r="EC215" s="926"/>
      <c r="ED215" s="926"/>
      <c r="EE215" s="926"/>
      <c r="EF215" s="926"/>
      <c r="EG215" s="926"/>
      <c r="EH215" s="926"/>
      <c r="EI215" s="926"/>
      <c r="EJ215" s="926"/>
      <c r="EK215" s="926"/>
      <c r="EL215" s="926"/>
      <c r="EM215" s="926"/>
      <c r="EN215" s="926"/>
      <c r="EO215" s="926"/>
      <c r="EP215" s="926"/>
      <c r="EQ215" s="926"/>
      <c r="ER215" s="926"/>
      <c r="ES215" s="926"/>
      <c r="ET215" s="926"/>
      <c r="EU215" s="926"/>
      <c r="EV215" s="926"/>
      <c r="EW215" s="926"/>
      <c r="EX215" s="926"/>
      <c r="EY215" s="926"/>
      <c r="EZ215" s="926"/>
      <c r="FA215" s="926"/>
      <c r="FB215" s="926"/>
      <c r="FC215" s="926"/>
      <c r="FD215" s="926"/>
      <c r="FE215" s="926"/>
      <c r="FF215" s="926"/>
      <c r="FG215" s="926"/>
      <c r="FH215" s="926"/>
      <c r="FI215" s="926"/>
      <c r="FJ215" s="926"/>
      <c r="FK215" s="926"/>
      <c r="FL215" s="926"/>
      <c r="FM215" s="926"/>
      <c r="FN215" s="926"/>
      <c r="FO215" s="926"/>
      <c r="FP215" s="926"/>
      <c r="FQ215" s="926"/>
      <c r="FR215" s="926"/>
      <c r="FS215" s="926"/>
      <c r="FT215" s="926"/>
      <c r="FU215" s="926"/>
      <c r="FV215" s="926"/>
      <c r="FW215" s="926"/>
      <c r="FX215" s="926"/>
      <c r="FY215" s="926"/>
      <c r="FZ215" s="926"/>
      <c r="GA215" s="926"/>
      <c r="GB215" s="926"/>
      <c r="GC215" s="926"/>
      <c r="GD215" s="926"/>
      <c r="GE215" s="926"/>
      <c r="GF215" s="926"/>
      <c r="GG215" s="926"/>
      <c r="GH215" s="926"/>
      <c r="GI215" s="926"/>
      <c r="GJ215" s="926"/>
      <c r="GK215" s="926"/>
      <c r="GL215" s="926"/>
      <c r="GM215" s="926"/>
      <c r="GN215" s="926"/>
      <c r="GO215" s="926"/>
      <c r="GP215" s="926"/>
      <c r="GQ215" s="926"/>
      <c r="GR215" s="926"/>
      <c r="GS215" s="926"/>
      <c r="GT215" s="926"/>
      <c r="GU215" s="926"/>
      <c r="GV215" s="926"/>
      <c r="GW215" s="926"/>
      <c r="GX215" s="926"/>
      <c r="GY215" s="926"/>
      <c r="GZ215" s="926"/>
      <c r="HA215" s="926"/>
      <c r="HB215" s="926"/>
      <c r="HC215" s="926"/>
      <c r="HD215" s="926"/>
      <c r="HE215" s="926"/>
      <c r="HF215" s="926"/>
      <c r="HG215" s="926"/>
      <c r="HH215" s="926"/>
      <c r="HI215" s="926"/>
      <c r="HJ215" s="926"/>
      <c r="HK215" s="926"/>
      <c r="HL215" s="926"/>
      <c r="HM215" s="926"/>
      <c r="HN215" s="926"/>
      <c r="HO215" s="926"/>
      <c r="HP215" s="926"/>
      <c r="HQ215" s="926"/>
      <c r="HR215" s="926"/>
      <c r="HS215" s="926"/>
      <c r="HT215" s="926"/>
      <c r="HU215" s="926"/>
      <c r="HV215" s="926"/>
      <c r="HW215" s="926"/>
      <c r="HX215" s="926"/>
      <c r="HY215" s="926"/>
      <c r="HZ215" s="926"/>
      <c r="IA215" s="926"/>
      <c r="IB215" s="926"/>
      <c r="IC215" s="926"/>
      <c r="ID215" s="926"/>
      <c r="IE215" s="926"/>
      <c r="IF215" s="926"/>
      <c r="IG215" s="926"/>
      <c r="IH215" s="926"/>
      <c r="II215" s="926"/>
      <c r="IJ215" s="926"/>
      <c r="IK215" s="926"/>
      <c r="IL215" s="926"/>
      <c r="IM215" s="926"/>
    </row>
    <row r="216" spans="1:247" x14ac:dyDescent="0.45">
      <c r="A216" s="441">
        <v>8115</v>
      </c>
      <c r="B216" s="939" t="s">
        <v>2752</v>
      </c>
      <c r="C216" s="47" t="s">
        <v>1985</v>
      </c>
      <c r="D216" s="449" t="s">
        <v>2537</v>
      </c>
      <c r="E216" s="946"/>
      <c r="F216" s="941">
        <f t="shared" si="56"/>
        <v>1.0209999999999999</v>
      </c>
      <c r="G216" s="947">
        <f>+$G$3</f>
        <v>1.0269999999999999</v>
      </c>
      <c r="H216" s="946"/>
      <c r="I216" s="948"/>
      <c r="J216" s="948"/>
      <c r="K216" s="948"/>
      <c r="L216" s="948"/>
      <c r="M216" s="948"/>
      <c r="N216" s="947"/>
      <c r="O216" s="949"/>
      <c r="P216" s="946">
        <f t="shared" si="59"/>
        <v>1.032</v>
      </c>
      <c r="Q216" s="947">
        <f t="shared" si="60"/>
        <v>1.0349999999999999</v>
      </c>
      <c r="R216" s="950">
        <f>PRODUCT(E216:Q216)</f>
        <v>1.1199953840399997</v>
      </c>
      <c r="S216" s="926"/>
      <c r="T216" s="926"/>
      <c r="U216" s="926"/>
      <c r="V216" s="926"/>
      <c r="W216" s="926"/>
      <c r="X216" s="926"/>
      <c r="Y216" s="926"/>
      <c r="Z216" s="926"/>
      <c r="AA216" s="926"/>
      <c r="AB216" s="926"/>
      <c r="AC216" s="926"/>
      <c r="AD216" s="926"/>
      <c r="AE216" s="926"/>
      <c r="AF216" s="926"/>
      <c r="AG216" s="926"/>
      <c r="AH216" s="926"/>
      <c r="AI216" s="926"/>
      <c r="AJ216" s="926"/>
      <c r="AK216" s="926"/>
      <c r="AL216" s="926"/>
      <c r="AM216" s="926"/>
      <c r="AN216" s="926"/>
      <c r="AO216" s="926"/>
      <c r="AP216" s="926"/>
      <c r="AQ216" s="926"/>
      <c r="AR216" s="926"/>
      <c r="AS216" s="926"/>
      <c r="AT216" s="926"/>
      <c r="AU216" s="926"/>
      <c r="AV216" s="926"/>
      <c r="AW216" s="926"/>
      <c r="AX216" s="926"/>
      <c r="AY216" s="926"/>
      <c r="AZ216" s="926"/>
      <c r="BA216" s="926"/>
      <c r="BB216" s="926"/>
      <c r="BC216" s="926"/>
      <c r="BD216" s="926"/>
      <c r="BE216" s="926"/>
      <c r="BF216" s="926"/>
      <c r="BG216" s="926"/>
      <c r="BH216" s="926"/>
      <c r="BI216" s="926"/>
      <c r="BJ216" s="926"/>
      <c r="BK216" s="926"/>
      <c r="BL216" s="926"/>
      <c r="BM216" s="926"/>
      <c r="BN216" s="926"/>
      <c r="BO216" s="926"/>
      <c r="BP216" s="926"/>
      <c r="BQ216" s="926"/>
      <c r="BR216" s="926"/>
      <c r="BS216" s="926"/>
      <c r="BT216" s="926"/>
      <c r="BU216" s="926"/>
      <c r="BV216" s="926"/>
      <c r="BW216" s="926"/>
      <c r="BX216" s="926"/>
      <c r="BY216" s="926"/>
      <c r="BZ216" s="926"/>
      <c r="CA216" s="926"/>
      <c r="CB216" s="926"/>
      <c r="CC216" s="926"/>
      <c r="CD216" s="926"/>
      <c r="CE216" s="926"/>
      <c r="CF216" s="926"/>
      <c r="CG216" s="926"/>
      <c r="CH216" s="926"/>
      <c r="CI216" s="926"/>
      <c r="CJ216" s="926"/>
      <c r="CK216" s="926"/>
      <c r="CL216" s="926"/>
      <c r="CM216" s="926"/>
      <c r="CN216" s="926"/>
      <c r="CO216" s="926"/>
      <c r="CP216" s="926"/>
      <c r="CQ216" s="926"/>
      <c r="CR216" s="926"/>
      <c r="CS216" s="926"/>
      <c r="CT216" s="926"/>
      <c r="CU216" s="926"/>
      <c r="CV216" s="926"/>
      <c r="CW216" s="926"/>
      <c r="CX216" s="926"/>
      <c r="CY216" s="926"/>
      <c r="CZ216" s="926"/>
      <c r="DA216" s="926"/>
      <c r="DB216" s="926"/>
      <c r="DC216" s="926"/>
      <c r="DD216" s="926"/>
      <c r="DE216" s="926"/>
      <c r="DF216" s="926"/>
      <c r="DG216" s="926"/>
      <c r="DH216" s="926"/>
      <c r="DI216" s="926"/>
      <c r="DJ216" s="926"/>
      <c r="DK216" s="926"/>
      <c r="DL216" s="926"/>
      <c r="DM216" s="926"/>
      <c r="DN216" s="926"/>
      <c r="DO216" s="926"/>
      <c r="DP216" s="926"/>
      <c r="DQ216" s="926"/>
      <c r="DR216" s="926"/>
      <c r="DS216" s="926"/>
      <c r="DT216" s="926"/>
      <c r="DU216" s="926"/>
      <c r="DV216" s="926"/>
      <c r="DW216" s="926"/>
      <c r="DX216" s="926"/>
      <c r="DY216" s="926"/>
      <c r="DZ216" s="926"/>
      <c r="EA216" s="926"/>
      <c r="EB216" s="926"/>
      <c r="EC216" s="926"/>
      <c r="ED216" s="926"/>
      <c r="EE216" s="926"/>
      <c r="EF216" s="926"/>
      <c r="EG216" s="926"/>
      <c r="EH216" s="926"/>
      <c r="EI216" s="926"/>
      <c r="EJ216" s="926"/>
      <c r="EK216" s="926"/>
      <c r="EL216" s="926"/>
      <c r="EM216" s="926"/>
      <c r="EN216" s="926"/>
      <c r="EO216" s="926"/>
      <c r="EP216" s="926"/>
      <c r="EQ216" s="926"/>
      <c r="ER216" s="926"/>
      <c r="ES216" s="926"/>
      <c r="ET216" s="926"/>
      <c r="EU216" s="926"/>
      <c r="EV216" s="926"/>
      <c r="EW216" s="926"/>
      <c r="EX216" s="926"/>
      <c r="EY216" s="926"/>
      <c r="EZ216" s="926"/>
      <c r="FA216" s="926"/>
      <c r="FB216" s="926"/>
      <c r="FC216" s="926"/>
      <c r="FD216" s="926"/>
      <c r="FE216" s="926"/>
      <c r="FF216" s="926"/>
      <c r="FG216" s="926"/>
      <c r="FH216" s="926"/>
      <c r="FI216" s="926"/>
      <c r="FJ216" s="926"/>
      <c r="FK216" s="926"/>
      <c r="FL216" s="926"/>
      <c r="FM216" s="926"/>
      <c r="FN216" s="926"/>
      <c r="FO216" s="926"/>
      <c r="FP216" s="926"/>
      <c r="FQ216" s="926"/>
      <c r="FR216" s="926"/>
      <c r="FS216" s="926"/>
      <c r="FT216" s="926"/>
      <c r="FU216" s="926"/>
      <c r="FV216" s="926"/>
      <c r="FW216" s="926"/>
      <c r="FX216" s="926"/>
      <c r="FY216" s="926"/>
      <c r="FZ216" s="926"/>
      <c r="GA216" s="926"/>
      <c r="GB216" s="926"/>
      <c r="GC216" s="926"/>
      <c r="GD216" s="926"/>
      <c r="GE216" s="926"/>
      <c r="GF216" s="926"/>
      <c r="GG216" s="926"/>
      <c r="GH216" s="926"/>
      <c r="GI216" s="926"/>
      <c r="GJ216" s="926"/>
      <c r="GK216" s="926"/>
      <c r="GL216" s="926"/>
      <c r="GM216" s="926"/>
      <c r="GN216" s="926"/>
      <c r="GO216" s="926"/>
      <c r="GP216" s="926"/>
      <c r="GQ216" s="926"/>
      <c r="GR216" s="926"/>
      <c r="GS216" s="926"/>
      <c r="GT216" s="926"/>
      <c r="GU216" s="926"/>
      <c r="GV216" s="926"/>
      <c r="GW216" s="926"/>
      <c r="GX216" s="926"/>
      <c r="GY216" s="926"/>
      <c r="GZ216" s="926"/>
      <c r="HA216" s="926"/>
      <c r="HB216" s="926"/>
      <c r="HC216" s="926"/>
      <c r="HD216" s="926"/>
      <c r="HE216" s="926"/>
      <c r="HF216" s="926"/>
      <c r="HG216" s="926"/>
      <c r="HH216" s="926"/>
      <c r="HI216" s="926"/>
      <c r="HJ216" s="926"/>
      <c r="HK216" s="926"/>
      <c r="HL216" s="926"/>
      <c r="HM216" s="926"/>
      <c r="HN216" s="926"/>
      <c r="HO216" s="926"/>
      <c r="HP216" s="926"/>
      <c r="HQ216" s="926"/>
      <c r="HR216" s="926"/>
      <c r="HS216" s="926"/>
      <c r="HT216" s="926"/>
      <c r="HU216" s="926"/>
      <c r="HV216" s="926"/>
      <c r="HW216" s="926"/>
      <c r="HX216" s="926"/>
      <c r="HY216" s="926"/>
      <c r="HZ216" s="926"/>
      <c r="IA216" s="926"/>
      <c r="IB216" s="926"/>
      <c r="IC216" s="926"/>
      <c r="ID216" s="926"/>
      <c r="IE216" s="926"/>
      <c r="IF216" s="926"/>
      <c r="IG216" s="926"/>
      <c r="IH216" s="926"/>
      <c r="II216" s="926"/>
      <c r="IJ216" s="926"/>
      <c r="IK216" s="926"/>
      <c r="IL216" s="926"/>
      <c r="IM216" s="926"/>
    </row>
    <row r="217" spans="1:247" x14ac:dyDescent="0.45">
      <c r="A217" s="441">
        <v>8122</v>
      </c>
      <c r="B217" s="939" t="s">
        <v>2753</v>
      </c>
      <c r="C217" s="47" t="s">
        <v>88</v>
      </c>
      <c r="D217" s="449" t="s">
        <v>2537</v>
      </c>
      <c r="E217" s="946"/>
      <c r="F217" s="941">
        <f t="shared" si="56"/>
        <v>1.0209999999999999</v>
      </c>
      <c r="G217" s="947"/>
      <c r="H217" s="946"/>
      <c r="I217" s="948"/>
      <c r="J217" s="948"/>
      <c r="K217" s="948"/>
      <c r="L217" s="948"/>
      <c r="M217" s="948"/>
      <c r="N217" s="947"/>
      <c r="O217" s="949"/>
      <c r="P217" s="946">
        <f t="shared" si="59"/>
        <v>1.032</v>
      </c>
      <c r="Q217" s="947">
        <f t="shared" si="60"/>
        <v>1.0349999999999999</v>
      </c>
      <c r="R217" s="950">
        <f t="shared" si="57"/>
        <v>1.0905505199999999</v>
      </c>
      <c r="S217" s="926"/>
      <c r="T217" s="926"/>
      <c r="U217" s="926"/>
      <c r="V217" s="926"/>
      <c r="W217" s="926"/>
      <c r="X217" s="926"/>
      <c r="Y217" s="926"/>
      <c r="Z217" s="926"/>
      <c r="AA217" s="926"/>
      <c r="AB217" s="926"/>
      <c r="AC217" s="926"/>
      <c r="AD217" s="926"/>
      <c r="AE217" s="926"/>
      <c r="AF217" s="926"/>
      <c r="AG217" s="926"/>
      <c r="AH217" s="926"/>
      <c r="AI217" s="926"/>
      <c r="AJ217" s="926"/>
      <c r="AK217" s="926"/>
      <c r="AL217" s="926"/>
      <c r="AM217" s="926"/>
      <c r="AN217" s="926"/>
      <c r="AO217" s="926"/>
      <c r="AP217" s="926"/>
      <c r="AQ217" s="926"/>
      <c r="AR217" s="926"/>
      <c r="AS217" s="926"/>
      <c r="AT217" s="926"/>
      <c r="AU217" s="926"/>
      <c r="AV217" s="926"/>
      <c r="AW217" s="926"/>
      <c r="AX217" s="926"/>
      <c r="AY217" s="926"/>
      <c r="AZ217" s="926"/>
      <c r="BA217" s="926"/>
      <c r="BB217" s="926"/>
      <c r="BC217" s="926"/>
      <c r="BD217" s="926"/>
      <c r="BE217" s="926"/>
      <c r="BF217" s="926"/>
      <c r="BG217" s="926"/>
      <c r="BH217" s="926"/>
      <c r="BI217" s="926"/>
      <c r="BJ217" s="926"/>
      <c r="BK217" s="926"/>
      <c r="BL217" s="926"/>
      <c r="BM217" s="926"/>
      <c r="BN217" s="926"/>
      <c r="BO217" s="926"/>
      <c r="BP217" s="926"/>
      <c r="BQ217" s="926"/>
      <c r="BR217" s="926"/>
      <c r="BS217" s="926"/>
      <c r="BT217" s="926"/>
      <c r="BU217" s="926"/>
      <c r="BV217" s="926"/>
      <c r="BW217" s="926"/>
      <c r="BX217" s="926"/>
      <c r="BY217" s="926"/>
      <c r="BZ217" s="926"/>
      <c r="CA217" s="926"/>
      <c r="CB217" s="926"/>
      <c r="CC217" s="926"/>
      <c r="CD217" s="926"/>
      <c r="CE217" s="926"/>
      <c r="CF217" s="926"/>
      <c r="CG217" s="926"/>
      <c r="CH217" s="926"/>
      <c r="CI217" s="926"/>
      <c r="CJ217" s="926"/>
      <c r="CK217" s="926"/>
      <c r="CL217" s="926"/>
      <c r="CM217" s="926"/>
      <c r="CN217" s="926"/>
      <c r="CO217" s="926"/>
      <c r="CP217" s="926"/>
      <c r="CQ217" s="926"/>
      <c r="CR217" s="926"/>
      <c r="CS217" s="926"/>
      <c r="CT217" s="926"/>
      <c r="CU217" s="926"/>
      <c r="CV217" s="926"/>
      <c r="CW217" s="926"/>
      <c r="CX217" s="926"/>
      <c r="CY217" s="926"/>
      <c r="CZ217" s="926"/>
      <c r="DA217" s="926"/>
      <c r="DB217" s="926"/>
      <c r="DC217" s="926"/>
      <c r="DD217" s="926"/>
      <c r="DE217" s="926"/>
      <c r="DF217" s="926"/>
      <c r="DG217" s="926"/>
      <c r="DH217" s="926"/>
      <c r="DI217" s="926"/>
      <c r="DJ217" s="926"/>
      <c r="DK217" s="926"/>
      <c r="DL217" s="926"/>
      <c r="DM217" s="926"/>
      <c r="DN217" s="926"/>
      <c r="DO217" s="926"/>
      <c r="DP217" s="926"/>
      <c r="DQ217" s="926"/>
      <c r="DR217" s="926"/>
      <c r="DS217" s="926"/>
      <c r="DT217" s="926"/>
      <c r="DU217" s="926"/>
      <c r="DV217" s="926"/>
      <c r="DW217" s="926"/>
      <c r="DX217" s="926"/>
      <c r="DY217" s="926"/>
      <c r="DZ217" s="926"/>
      <c r="EA217" s="926"/>
      <c r="EB217" s="926"/>
      <c r="EC217" s="926"/>
      <c r="ED217" s="926"/>
      <c r="EE217" s="926"/>
      <c r="EF217" s="926"/>
      <c r="EG217" s="926"/>
      <c r="EH217" s="926"/>
      <c r="EI217" s="926"/>
      <c r="EJ217" s="926"/>
      <c r="EK217" s="926"/>
      <c r="EL217" s="926"/>
      <c r="EM217" s="926"/>
      <c r="EN217" s="926"/>
      <c r="EO217" s="926"/>
      <c r="EP217" s="926"/>
      <c r="EQ217" s="926"/>
      <c r="ER217" s="926"/>
      <c r="ES217" s="926"/>
      <c r="ET217" s="926"/>
      <c r="EU217" s="926"/>
      <c r="EV217" s="926"/>
      <c r="EW217" s="926"/>
      <c r="EX217" s="926"/>
      <c r="EY217" s="926"/>
      <c r="EZ217" s="926"/>
      <c r="FA217" s="926"/>
      <c r="FB217" s="926"/>
      <c r="FC217" s="926"/>
      <c r="FD217" s="926"/>
      <c r="FE217" s="926"/>
      <c r="FF217" s="926"/>
      <c r="FG217" s="926"/>
      <c r="FH217" s="926"/>
      <c r="FI217" s="926"/>
      <c r="FJ217" s="926"/>
      <c r="FK217" s="926"/>
      <c r="FL217" s="926"/>
      <c r="FM217" s="926"/>
      <c r="FN217" s="926"/>
      <c r="FO217" s="926"/>
      <c r="FP217" s="926"/>
      <c r="FQ217" s="926"/>
      <c r="FR217" s="926"/>
      <c r="FS217" s="926"/>
      <c r="FT217" s="926"/>
      <c r="FU217" s="926"/>
      <c r="FV217" s="926"/>
      <c r="FW217" s="926"/>
      <c r="FX217" s="926"/>
      <c r="FY217" s="926"/>
      <c r="FZ217" s="926"/>
      <c r="GA217" s="926"/>
      <c r="GB217" s="926"/>
      <c r="GC217" s="926"/>
      <c r="GD217" s="926"/>
      <c r="GE217" s="926"/>
      <c r="GF217" s="926"/>
      <c r="GG217" s="926"/>
      <c r="GH217" s="926"/>
      <c r="GI217" s="926"/>
      <c r="GJ217" s="926"/>
      <c r="GK217" s="926"/>
      <c r="GL217" s="926"/>
      <c r="GM217" s="926"/>
      <c r="GN217" s="926"/>
      <c r="GO217" s="926"/>
      <c r="GP217" s="926"/>
      <c r="GQ217" s="926"/>
      <c r="GR217" s="926"/>
      <c r="GS217" s="926"/>
      <c r="GT217" s="926"/>
      <c r="GU217" s="926"/>
      <c r="GV217" s="926"/>
      <c r="GW217" s="926"/>
      <c r="GX217" s="926"/>
      <c r="GY217" s="926"/>
      <c r="GZ217" s="926"/>
      <c r="HA217" s="926"/>
      <c r="HB217" s="926"/>
      <c r="HC217" s="926"/>
      <c r="HD217" s="926"/>
      <c r="HE217" s="926"/>
      <c r="HF217" s="926"/>
      <c r="HG217" s="926"/>
      <c r="HH217" s="926"/>
      <c r="HI217" s="926"/>
      <c r="HJ217" s="926"/>
      <c r="HK217" s="926"/>
      <c r="HL217" s="926"/>
      <c r="HM217" s="926"/>
      <c r="HN217" s="926"/>
      <c r="HO217" s="926"/>
      <c r="HP217" s="926"/>
      <c r="HQ217" s="926"/>
      <c r="HR217" s="926"/>
      <c r="HS217" s="926"/>
      <c r="HT217" s="926"/>
      <c r="HU217" s="926"/>
      <c r="HV217" s="926"/>
      <c r="HW217" s="926"/>
      <c r="HX217" s="926"/>
      <c r="HY217" s="926"/>
      <c r="HZ217" s="926"/>
      <c r="IA217" s="926"/>
      <c r="IB217" s="926"/>
      <c r="IC217" s="926"/>
      <c r="ID217" s="926"/>
      <c r="IE217" s="926"/>
      <c r="IF217" s="926"/>
      <c r="IG217" s="926"/>
      <c r="IH217" s="926"/>
      <c r="II217" s="926"/>
      <c r="IJ217" s="926"/>
      <c r="IK217" s="926"/>
      <c r="IL217" s="926"/>
      <c r="IM217" s="926"/>
    </row>
    <row r="218" spans="1:247" x14ac:dyDescent="0.45">
      <c r="A218" s="441">
        <v>8124</v>
      </c>
      <c r="B218" s="939" t="s">
        <v>2754</v>
      </c>
      <c r="C218" s="47" t="s">
        <v>1985</v>
      </c>
      <c r="D218" s="449" t="s">
        <v>2537</v>
      </c>
      <c r="E218" s="946"/>
      <c r="F218" s="941">
        <f t="shared" si="56"/>
        <v>1.0209999999999999</v>
      </c>
      <c r="G218" s="947"/>
      <c r="H218" s="946"/>
      <c r="I218" s="948"/>
      <c r="J218" s="948"/>
      <c r="K218" s="948"/>
      <c r="L218" s="948"/>
      <c r="M218" s="948"/>
      <c r="N218" s="947"/>
      <c r="O218" s="949"/>
      <c r="P218" s="946">
        <f t="shared" si="59"/>
        <v>1.032</v>
      </c>
      <c r="Q218" s="947">
        <f t="shared" si="60"/>
        <v>1.0349999999999999</v>
      </c>
      <c r="R218" s="950">
        <f t="shared" si="57"/>
        <v>1.0905505199999999</v>
      </c>
      <c r="S218" s="926"/>
      <c r="T218" s="926"/>
      <c r="U218" s="926"/>
      <c r="V218" s="926"/>
      <c r="W218" s="926"/>
      <c r="X218" s="926"/>
      <c r="Y218" s="926"/>
      <c r="Z218" s="926"/>
      <c r="AA218" s="926"/>
      <c r="AB218" s="926"/>
      <c r="AC218" s="926"/>
      <c r="AD218" s="926"/>
      <c r="AE218" s="926"/>
      <c r="AF218" s="926"/>
      <c r="AG218" s="926"/>
      <c r="AH218" s="926"/>
      <c r="AI218" s="926"/>
      <c r="AJ218" s="926"/>
      <c r="AK218" s="926"/>
      <c r="AL218" s="926"/>
      <c r="AM218" s="926"/>
      <c r="AN218" s="926"/>
      <c r="AO218" s="926"/>
      <c r="AP218" s="926"/>
      <c r="AQ218" s="926"/>
      <c r="AR218" s="926"/>
      <c r="AS218" s="926"/>
      <c r="AT218" s="926"/>
      <c r="AU218" s="926"/>
      <c r="AV218" s="926"/>
      <c r="AW218" s="926"/>
      <c r="AX218" s="926"/>
      <c r="AY218" s="926"/>
      <c r="AZ218" s="926"/>
      <c r="BA218" s="926"/>
      <c r="BB218" s="926"/>
      <c r="BC218" s="926"/>
      <c r="BD218" s="926"/>
      <c r="BE218" s="926"/>
      <c r="BF218" s="926"/>
      <c r="BG218" s="926"/>
      <c r="BH218" s="926"/>
      <c r="BI218" s="926"/>
      <c r="BJ218" s="926"/>
      <c r="BK218" s="926"/>
      <c r="BL218" s="926"/>
      <c r="BM218" s="926"/>
      <c r="BN218" s="926"/>
      <c r="BO218" s="926"/>
      <c r="BP218" s="926"/>
      <c r="BQ218" s="926"/>
      <c r="BR218" s="926"/>
      <c r="BS218" s="926"/>
      <c r="BT218" s="926"/>
      <c r="BU218" s="926"/>
      <c r="BV218" s="926"/>
      <c r="BW218" s="926"/>
      <c r="BX218" s="926"/>
      <c r="BY218" s="926"/>
      <c r="BZ218" s="926"/>
      <c r="CA218" s="926"/>
      <c r="CB218" s="926"/>
      <c r="CC218" s="926"/>
      <c r="CD218" s="926"/>
      <c r="CE218" s="926"/>
      <c r="CF218" s="926"/>
      <c r="CG218" s="926"/>
      <c r="CH218" s="926"/>
      <c r="CI218" s="926"/>
      <c r="CJ218" s="926"/>
      <c r="CK218" s="926"/>
      <c r="CL218" s="926"/>
      <c r="CM218" s="926"/>
      <c r="CN218" s="926"/>
      <c r="CO218" s="926"/>
      <c r="CP218" s="926"/>
      <c r="CQ218" s="926"/>
      <c r="CR218" s="926"/>
      <c r="CS218" s="926"/>
      <c r="CT218" s="926"/>
      <c r="CU218" s="926"/>
      <c r="CV218" s="926"/>
      <c r="CW218" s="926"/>
      <c r="CX218" s="926"/>
      <c r="CY218" s="926"/>
      <c r="CZ218" s="926"/>
      <c r="DA218" s="926"/>
      <c r="DB218" s="926"/>
      <c r="DC218" s="926"/>
      <c r="DD218" s="926"/>
      <c r="DE218" s="926"/>
      <c r="DF218" s="926"/>
      <c r="DG218" s="926"/>
      <c r="DH218" s="926"/>
      <c r="DI218" s="926"/>
      <c r="DJ218" s="926"/>
      <c r="DK218" s="926"/>
      <c r="DL218" s="926"/>
      <c r="DM218" s="926"/>
      <c r="DN218" s="926"/>
      <c r="DO218" s="926"/>
      <c r="DP218" s="926"/>
      <c r="DQ218" s="926"/>
      <c r="DR218" s="926"/>
      <c r="DS218" s="926"/>
      <c r="DT218" s="926"/>
      <c r="DU218" s="926"/>
      <c r="DV218" s="926"/>
      <c r="DW218" s="926"/>
      <c r="DX218" s="926"/>
      <c r="DY218" s="926"/>
      <c r="DZ218" s="926"/>
      <c r="EA218" s="926"/>
      <c r="EB218" s="926"/>
      <c r="EC218" s="926"/>
      <c r="ED218" s="926"/>
      <c r="EE218" s="926"/>
      <c r="EF218" s="926"/>
      <c r="EG218" s="926"/>
      <c r="EH218" s="926"/>
      <c r="EI218" s="926"/>
      <c r="EJ218" s="926"/>
      <c r="EK218" s="926"/>
      <c r="EL218" s="926"/>
      <c r="EM218" s="926"/>
      <c r="EN218" s="926"/>
      <c r="EO218" s="926"/>
      <c r="EP218" s="926"/>
      <c r="EQ218" s="926"/>
      <c r="ER218" s="926"/>
      <c r="ES218" s="926"/>
      <c r="ET218" s="926"/>
      <c r="EU218" s="926"/>
      <c r="EV218" s="926"/>
      <c r="EW218" s="926"/>
      <c r="EX218" s="926"/>
      <c r="EY218" s="926"/>
      <c r="EZ218" s="926"/>
      <c r="FA218" s="926"/>
      <c r="FB218" s="926"/>
      <c r="FC218" s="926"/>
      <c r="FD218" s="926"/>
      <c r="FE218" s="926"/>
      <c r="FF218" s="926"/>
      <c r="FG218" s="926"/>
      <c r="FH218" s="926"/>
      <c r="FI218" s="926"/>
      <c r="FJ218" s="926"/>
      <c r="FK218" s="926"/>
      <c r="FL218" s="926"/>
      <c r="FM218" s="926"/>
      <c r="FN218" s="926"/>
      <c r="FO218" s="926"/>
      <c r="FP218" s="926"/>
      <c r="FQ218" s="926"/>
      <c r="FR218" s="926"/>
      <c r="FS218" s="926"/>
      <c r="FT218" s="926"/>
      <c r="FU218" s="926"/>
      <c r="FV218" s="926"/>
      <c r="FW218" s="926"/>
      <c r="FX218" s="926"/>
      <c r="FY218" s="926"/>
      <c r="FZ218" s="926"/>
      <c r="GA218" s="926"/>
      <c r="GB218" s="926"/>
      <c r="GC218" s="926"/>
      <c r="GD218" s="926"/>
      <c r="GE218" s="926"/>
      <c r="GF218" s="926"/>
      <c r="GG218" s="926"/>
      <c r="GH218" s="926"/>
      <c r="GI218" s="926"/>
      <c r="GJ218" s="926"/>
      <c r="GK218" s="926"/>
      <c r="GL218" s="926"/>
      <c r="GM218" s="926"/>
      <c r="GN218" s="926"/>
      <c r="GO218" s="926"/>
      <c r="GP218" s="926"/>
      <c r="GQ218" s="926"/>
      <c r="GR218" s="926"/>
      <c r="GS218" s="926"/>
      <c r="GT218" s="926"/>
      <c r="GU218" s="926"/>
      <c r="GV218" s="926"/>
      <c r="GW218" s="926"/>
      <c r="GX218" s="926"/>
      <c r="GY218" s="926"/>
      <c r="GZ218" s="926"/>
      <c r="HA218" s="926"/>
      <c r="HB218" s="926"/>
      <c r="HC218" s="926"/>
      <c r="HD218" s="926"/>
      <c r="HE218" s="926"/>
      <c r="HF218" s="926"/>
      <c r="HG218" s="926"/>
      <c r="HH218" s="926"/>
      <c r="HI218" s="926"/>
      <c r="HJ218" s="926"/>
      <c r="HK218" s="926"/>
      <c r="HL218" s="926"/>
      <c r="HM218" s="926"/>
      <c r="HN218" s="926"/>
      <c r="HO218" s="926"/>
      <c r="HP218" s="926"/>
      <c r="HQ218" s="926"/>
      <c r="HR218" s="926"/>
      <c r="HS218" s="926"/>
      <c r="HT218" s="926"/>
      <c r="HU218" s="926"/>
      <c r="HV218" s="926"/>
      <c r="HW218" s="926"/>
      <c r="HX218" s="926"/>
      <c r="HY218" s="926"/>
      <c r="HZ218" s="926"/>
      <c r="IA218" s="926"/>
      <c r="IB218" s="926"/>
      <c r="IC218" s="926"/>
      <c r="ID218" s="926"/>
      <c r="IE218" s="926"/>
      <c r="IF218" s="926"/>
      <c r="IG218" s="926"/>
      <c r="IH218" s="926"/>
      <c r="II218" s="926"/>
      <c r="IJ218" s="926"/>
      <c r="IK218" s="926"/>
      <c r="IL218" s="926"/>
      <c r="IM218" s="926"/>
    </row>
    <row r="219" spans="1:247" x14ac:dyDescent="0.45">
      <c r="A219" s="441">
        <v>8134</v>
      </c>
      <c r="B219" s="939" t="s">
        <v>2755</v>
      </c>
      <c r="C219" s="47" t="s">
        <v>88</v>
      </c>
      <c r="D219" s="449" t="s">
        <v>2537</v>
      </c>
      <c r="E219" s="946"/>
      <c r="F219" s="941">
        <f t="shared" si="56"/>
        <v>1.0209999999999999</v>
      </c>
      <c r="G219" s="947"/>
      <c r="H219" s="946"/>
      <c r="I219" s="948"/>
      <c r="J219" s="948"/>
      <c r="K219" s="948"/>
      <c r="L219" s="948"/>
      <c r="M219" s="948"/>
      <c r="N219" s="947"/>
      <c r="O219" s="949"/>
      <c r="P219" s="946">
        <f t="shared" si="59"/>
        <v>1.032</v>
      </c>
      <c r="Q219" s="947">
        <f t="shared" si="60"/>
        <v>1.0349999999999999</v>
      </c>
      <c r="R219" s="950">
        <f>PRODUCT(E219:Q219)</f>
        <v>1.0905505199999999</v>
      </c>
      <c r="S219" s="926"/>
      <c r="T219" s="926"/>
      <c r="U219" s="926"/>
      <c r="V219" s="926"/>
      <c r="W219" s="926"/>
      <c r="X219" s="926"/>
      <c r="Y219" s="926"/>
      <c r="Z219" s="926"/>
      <c r="AA219" s="926"/>
      <c r="AB219" s="926"/>
      <c r="AC219" s="926"/>
      <c r="AD219" s="926"/>
      <c r="AE219" s="926"/>
      <c r="AF219" s="926"/>
      <c r="AG219" s="926"/>
      <c r="AH219" s="926"/>
      <c r="AI219" s="926"/>
      <c r="AJ219" s="926"/>
      <c r="AK219" s="926"/>
      <c r="AL219" s="926"/>
      <c r="AM219" s="926"/>
      <c r="AN219" s="926"/>
      <c r="AO219" s="926"/>
      <c r="AP219" s="926"/>
      <c r="AQ219" s="926"/>
      <c r="AR219" s="926"/>
      <c r="AS219" s="926"/>
      <c r="AT219" s="926"/>
      <c r="AU219" s="926"/>
      <c r="AV219" s="926"/>
      <c r="AW219" s="926"/>
      <c r="AX219" s="926"/>
      <c r="AY219" s="926"/>
      <c r="AZ219" s="926"/>
      <c r="BA219" s="926"/>
      <c r="BB219" s="926"/>
      <c r="BC219" s="926"/>
      <c r="BD219" s="926"/>
      <c r="BE219" s="926"/>
      <c r="BF219" s="926"/>
      <c r="BG219" s="926"/>
      <c r="BH219" s="926"/>
      <c r="BI219" s="926"/>
      <c r="BJ219" s="926"/>
      <c r="BK219" s="926"/>
      <c r="BL219" s="926"/>
      <c r="BM219" s="926"/>
      <c r="BN219" s="926"/>
      <c r="BO219" s="926"/>
      <c r="BP219" s="926"/>
      <c r="BQ219" s="926"/>
      <c r="BR219" s="926"/>
      <c r="BS219" s="926"/>
      <c r="BT219" s="926"/>
      <c r="BU219" s="926"/>
      <c r="BV219" s="926"/>
      <c r="BW219" s="926"/>
      <c r="BX219" s="926"/>
      <c r="BY219" s="926"/>
      <c r="BZ219" s="926"/>
      <c r="CA219" s="926"/>
      <c r="CB219" s="926"/>
      <c r="CC219" s="926"/>
      <c r="CD219" s="926"/>
      <c r="CE219" s="926"/>
      <c r="CF219" s="926"/>
      <c r="CG219" s="926"/>
      <c r="CH219" s="926"/>
      <c r="CI219" s="926"/>
      <c r="CJ219" s="926"/>
      <c r="CK219" s="926"/>
      <c r="CL219" s="926"/>
      <c r="CM219" s="926"/>
      <c r="CN219" s="926"/>
      <c r="CO219" s="926"/>
      <c r="CP219" s="926"/>
      <c r="CQ219" s="926"/>
      <c r="CR219" s="926"/>
      <c r="CS219" s="926"/>
      <c r="CT219" s="926"/>
      <c r="CU219" s="926"/>
      <c r="CV219" s="926"/>
      <c r="CW219" s="926"/>
      <c r="CX219" s="926"/>
      <c r="CY219" s="926"/>
      <c r="CZ219" s="926"/>
      <c r="DA219" s="926"/>
      <c r="DB219" s="926"/>
      <c r="DC219" s="926"/>
      <c r="DD219" s="926"/>
      <c r="DE219" s="926"/>
      <c r="DF219" s="926"/>
      <c r="DG219" s="926"/>
      <c r="DH219" s="926"/>
      <c r="DI219" s="926"/>
      <c r="DJ219" s="926"/>
      <c r="DK219" s="926"/>
      <c r="DL219" s="926"/>
      <c r="DM219" s="926"/>
      <c r="DN219" s="926"/>
      <c r="DO219" s="926"/>
      <c r="DP219" s="926"/>
      <c r="DQ219" s="926"/>
      <c r="DR219" s="926"/>
      <c r="DS219" s="926"/>
      <c r="DT219" s="926"/>
      <c r="DU219" s="926"/>
      <c r="DV219" s="926"/>
      <c r="DW219" s="926"/>
      <c r="DX219" s="926"/>
      <c r="DY219" s="926"/>
      <c r="DZ219" s="926"/>
      <c r="EA219" s="926"/>
      <c r="EB219" s="926"/>
      <c r="EC219" s="926"/>
      <c r="ED219" s="926"/>
      <c r="EE219" s="926"/>
      <c r="EF219" s="926"/>
      <c r="EG219" s="926"/>
      <c r="EH219" s="926"/>
      <c r="EI219" s="926"/>
      <c r="EJ219" s="926"/>
      <c r="EK219" s="926"/>
      <c r="EL219" s="926"/>
      <c r="EM219" s="926"/>
      <c r="EN219" s="926"/>
      <c r="EO219" s="926"/>
      <c r="EP219" s="926"/>
      <c r="EQ219" s="926"/>
      <c r="ER219" s="926"/>
      <c r="ES219" s="926"/>
      <c r="ET219" s="926"/>
      <c r="EU219" s="926"/>
      <c r="EV219" s="926"/>
      <c r="EW219" s="926"/>
      <c r="EX219" s="926"/>
      <c r="EY219" s="926"/>
      <c r="EZ219" s="926"/>
      <c r="FA219" s="926"/>
      <c r="FB219" s="926"/>
      <c r="FC219" s="926"/>
      <c r="FD219" s="926"/>
      <c r="FE219" s="926"/>
      <c r="FF219" s="926"/>
      <c r="FG219" s="926"/>
      <c r="FH219" s="926"/>
      <c r="FI219" s="926"/>
      <c r="FJ219" s="926"/>
      <c r="FK219" s="926"/>
      <c r="FL219" s="926"/>
      <c r="FM219" s="926"/>
      <c r="FN219" s="926"/>
      <c r="FO219" s="926"/>
      <c r="FP219" s="926"/>
      <c r="FQ219" s="926"/>
      <c r="FR219" s="926"/>
      <c r="FS219" s="926"/>
      <c r="FT219" s="926"/>
      <c r="FU219" s="926"/>
      <c r="FV219" s="926"/>
      <c r="FW219" s="926"/>
      <c r="FX219" s="926"/>
      <c r="FY219" s="926"/>
      <c r="FZ219" s="926"/>
      <c r="GA219" s="926"/>
      <c r="GB219" s="926"/>
      <c r="GC219" s="926"/>
      <c r="GD219" s="926"/>
      <c r="GE219" s="926"/>
      <c r="GF219" s="926"/>
      <c r="GG219" s="926"/>
      <c r="GH219" s="926"/>
      <c r="GI219" s="926"/>
      <c r="GJ219" s="926"/>
      <c r="GK219" s="926"/>
      <c r="GL219" s="926"/>
      <c r="GM219" s="926"/>
      <c r="GN219" s="926"/>
      <c r="GO219" s="926"/>
      <c r="GP219" s="926"/>
      <c r="GQ219" s="926"/>
      <c r="GR219" s="926"/>
      <c r="GS219" s="926"/>
      <c r="GT219" s="926"/>
      <c r="GU219" s="926"/>
      <c r="GV219" s="926"/>
      <c r="GW219" s="926"/>
      <c r="GX219" s="926"/>
      <c r="GY219" s="926"/>
      <c r="GZ219" s="926"/>
      <c r="HA219" s="926"/>
      <c r="HB219" s="926"/>
      <c r="HC219" s="926"/>
      <c r="HD219" s="926"/>
      <c r="HE219" s="926"/>
      <c r="HF219" s="926"/>
      <c r="HG219" s="926"/>
      <c r="HH219" s="926"/>
      <c r="HI219" s="926"/>
      <c r="HJ219" s="926"/>
      <c r="HK219" s="926"/>
      <c r="HL219" s="926"/>
      <c r="HM219" s="926"/>
      <c r="HN219" s="926"/>
      <c r="HO219" s="926"/>
      <c r="HP219" s="926"/>
      <c r="HQ219" s="926"/>
      <c r="HR219" s="926"/>
      <c r="HS219" s="926"/>
      <c r="HT219" s="926"/>
      <c r="HU219" s="926"/>
      <c r="HV219" s="926"/>
      <c r="HW219" s="926"/>
      <c r="HX219" s="926"/>
      <c r="HY219" s="926"/>
      <c r="HZ219" s="926"/>
      <c r="IA219" s="926"/>
      <c r="IB219" s="926"/>
      <c r="IC219" s="926"/>
      <c r="ID219" s="926"/>
      <c r="IE219" s="926"/>
      <c r="IF219" s="926"/>
      <c r="IG219" s="926"/>
      <c r="IH219" s="926"/>
      <c r="II219" s="926"/>
      <c r="IJ219" s="926"/>
      <c r="IK219" s="926"/>
      <c r="IL219" s="926"/>
      <c r="IM219" s="926"/>
    </row>
    <row r="220" spans="1:247" x14ac:dyDescent="0.45">
      <c r="A220" s="441">
        <v>8211</v>
      </c>
      <c r="B220" s="939" t="s">
        <v>2756</v>
      </c>
      <c r="C220" s="47" t="s">
        <v>2757</v>
      </c>
      <c r="D220" s="449" t="s">
        <v>2537</v>
      </c>
      <c r="E220" s="946"/>
      <c r="F220" s="941">
        <f t="shared" si="56"/>
        <v>1.0209999999999999</v>
      </c>
      <c r="G220" s="947"/>
      <c r="H220" s="946"/>
      <c r="I220" s="948"/>
      <c r="J220" s="948"/>
      <c r="K220" s="948"/>
      <c r="L220" s="948"/>
      <c r="M220" s="948"/>
      <c r="N220" s="947"/>
      <c r="O220" s="949"/>
      <c r="P220" s="946">
        <f t="shared" si="59"/>
        <v>1.032</v>
      </c>
      <c r="Q220" s="947">
        <f t="shared" si="60"/>
        <v>1.0349999999999999</v>
      </c>
      <c r="R220" s="950">
        <f t="shared" si="57"/>
        <v>1.0905505199999999</v>
      </c>
      <c r="S220" s="926"/>
      <c r="T220" s="926"/>
      <c r="U220" s="926"/>
      <c r="V220" s="926"/>
      <c r="W220" s="926"/>
      <c r="X220" s="926"/>
      <c r="Y220" s="926"/>
      <c r="Z220" s="926"/>
      <c r="AA220" s="926"/>
      <c r="AB220" s="926"/>
      <c r="AC220" s="926"/>
      <c r="AD220" s="926"/>
      <c r="AE220" s="926"/>
      <c r="AF220" s="926"/>
      <c r="AG220" s="926"/>
      <c r="AH220" s="926"/>
      <c r="AI220" s="926"/>
      <c r="AJ220" s="926"/>
      <c r="AK220" s="926"/>
      <c r="AL220" s="926"/>
      <c r="AM220" s="926"/>
      <c r="AN220" s="926"/>
      <c r="AO220" s="926"/>
      <c r="AP220" s="926"/>
      <c r="AQ220" s="926"/>
      <c r="AR220" s="926"/>
      <c r="AS220" s="926"/>
      <c r="AT220" s="926"/>
      <c r="AU220" s="926"/>
      <c r="AV220" s="926"/>
      <c r="AW220" s="926"/>
      <c r="AX220" s="926"/>
      <c r="AY220" s="926"/>
      <c r="AZ220" s="926"/>
      <c r="BA220" s="926"/>
      <c r="BB220" s="926"/>
      <c r="BC220" s="926"/>
      <c r="BD220" s="926"/>
      <c r="BE220" s="926"/>
      <c r="BF220" s="926"/>
      <c r="BG220" s="926"/>
      <c r="BH220" s="926"/>
      <c r="BI220" s="926"/>
      <c r="BJ220" s="926"/>
      <c r="BK220" s="926"/>
      <c r="BL220" s="926"/>
      <c r="BM220" s="926"/>
      <c r="BN220" s="926"/>
      <c r="BO220" s="926"/>
      <c r="BP220" s="926"/>
      <c r="BQ220" s="926"/>
      <c r="BR220" s="926"/>
      <c r="BS220" s="926"/>
      <c r="BT220" s="926"/>
      <c r="BU220" s="926"/>
      <c r="BV220" s="926"/>
      <c r="BW220" s="926"/>
      <c r="BX220" s="926"/>
      <c r="BY220" s="926"/>
      <c r="BZ220" s="926"/>
      <c r="CA220" s="926"/>
      <c r="CB220" s="926"/>
      <c r="CC220" s="926"/>
      <c r="CD220" s="926"/>
      <c r="CE220" s="926"/>
      <c r="CF220" s="926"/>
      <c r="CG220" s="926"/>
      <c r="CH220" s="926"/>
      <c r="CI220" s="926"/>
      <c r="CJ220" s="926"/>
      <c r="CK220" s="926"/>
      <c r="CL220" s="926"/>
      <c r="CM220" s="926"/>
      <c r="CN220" s="926"/>
      <c r="CO220" s="926"/>
      <c r="CP220" s="926"/>
      <c r="CQ220" s="926"/>
      <c r="CR220" s="926"/>
      <c r="CS220" s="926"/>
      <c r="CT220" s="926"/>
      <c r="CU220" s="926"/>
      <c r="CV220" s="926"/>
      <c r="CW220" s="926"/>
      <c r="CX220" s="926"/>
      <c r="CY220" s="926"/>
      <c r="CZ220" s="926"/>
      <c r="DA220" s="926"/>
      <c r="DB220" s="926"/>
      <c r="DC220" s="926"/>
      <c r="DD220" s="926"/>
      <c r="DE220" s="926"/>
      <c r="DF220" s="926"/>
      <c r="DG220" s="926"/>
      <c r="DH220" s="926"/>
      <c r="DI220" s="926"/>
      <c r="DJ220" s="926"/>
      <c r="DK220" s="926"/>
      <c r="DL220" s="926"/>
      <c r="DM220" s="926"/>
      <c r="DN220" s="926"/>
      <c r="DO220" s="926"/>
      <c r="DP220" s="926"/>
      <c r="DQ220" s="926"/>
      <c r="DR220" s="926"/>
      <c r="DS220" s="926"/>
      <c r="DT220" s="926"/>
      <c r="DU220" s="926"/>
      <c r="DV220" s="926"/>
      <c r="DW220" s="926"/>
      <c r="DX220" s="926"/>
      <c r="DY220" s="926"/>
      <c r="DZ220" s="926"/>
      <c r="EA220" s="926"/>
      <c r="EB220" s="926"/>
      <c r="EC220" s="926"/>
      <c r="ED220" s="926"/>
      <c r="EE220" s="926"/>
      <c r="EF220" s="926"/>
      <c r="EG220" s="926"/>
      <c r="EH220" s="926"/>
      <c r="EI220" s="926"/>
      <c r="EJ220" s="926"/>
      <c r="EK220" s="926"/>
      <c r="EL220" s="926"/>
      <c r="EM220" s="926"/>
      <c r="EN220" s="926"/>
      <c r="EO220" s="926"/>
      <c r="EP220" s="926"/>
      <c r="EQ220" s="926"/>
      <c r="ER220" s="926"/>
      <c r="ES220" s="926"/>
      <c r="ET220" s="926"/>
      <c r="EU220" s="926"/>
      <c r="EV220" s="926"/>
      <c r="EW220" s="926"/>
      <c r="EX220" s="926"/>
      <c r="EY220" s="926"/>
      <c r="EZ220" s="926"/>
      <c r="FA220" s="926"/>
      <c r="FB220" s="926"/>
      <c r="FC220" s="926"/>
      <c r="FD220" s="926"/>
      <c r="FE220" s="926"/>
      <c r="FF220" s="926"/>
      <c r="FG220" s="926"/>
      <c r="FH220" s="926"/>
      <c r="FI220" s="926"/>
      <c r="FJ220" s="926"/>
      <c r="FK220" s="926"/>
      <c r="FL220" s="926"/>
      <c r="FM220" s="926"/>
      <c r="FN220" s="926"/>
      <c r="FO220" s="926"/>
      <c r="FP220" s="926"/>
      <c r="FQ220" s="926"/>
      <c r="FR220" s="926"/>
      <c r="FS220" s="926"/>
      <c r="FT220" s="926"/>
      <c r="FU220" s="926"/>
      <c r="FV220" s="926"/>
      <c r="FW220" s="926"/>
      <c r="FX220" s="926"/>
      <c r="FY220" s="926"/>
      <c r="FZ220" s="926"/>
      <c r="GA220" s="926"/>
      <c r="GB220" s="926"/>
      <c r="GC220" s="926"/>
      <c r="GD220" s="926"/>
      <c r="GE220" s="926"/>
      <c r="GF220" s="926"/>
      <c r="GG220" s="926"/>
      <c r="GH220" s="926"/>
      <c r="GI220" s="926"/>
      <c r="GJ220" s="926"/>
      <c r="GK220" s="926"/>
      <c r="GL220" s="926"/>
      <c r="GM220" s="926"/>
      <c r="GN220" s="926"/>
      <c r="GO220" s="926"/>
      <c r="GP220" s="926"/>
      <c r="GQ220" s="926"/>
      <c r="GR220" s="926"/>
      <c r="GS220" s="926"/>
      <c r="GT220" s="926"/>
      <c r="GU220" s="926"/>
      <c r="GV220" s="926"/>
      <c r="GW220" s="926"/>
      <c r="GX220" s="926"/>
      <c r="GY220" s="926"/>
      <c r="GZ220" s="926"/>
      <c r="HA220" s="926"/>
      <c r="HB220" s="926"/>
      <c r="HC220" s="926"/>
      <c r="HD220" s="926"/>
      <c r="HE220" s="926"/>
      <c r="HF220" s="926"/>
      <c r="HG220" s="926"/>
      <c r="HH220" s="926"/>
      <c r="HI220" s="926"/>
      <c r="HJ220" s="926"/>
      <c r="HK220" s="926"/>
      <c r="HL220" s="926"/>
      <c r="HM220" s="926"/>
      <c r="HN220" s="926"/>
      <c r="HO220" s="926"/>
      <c r="HP220" s="926"/>
      <c r="HQ220" s="926"/>
      <c r="HR220" s="926"/>
      <c r="HS220" s="926"/>
      <c r="HT220" s="926"/>
      <c r="HU220" s="926"/>
      <c r="HV220" s="926"/>
      <c r="HW220" s="926"/>
      <c r="HX220" s="926"/>
      <c r="HY220" s="926"/>
      <c r="HZ220" s="926"/>
      <c r="IA220" s="926"/>
      <c r="IB220" s="926"/>
      <c r="IC220" s="926"/>
      <c r="ID220" s="926"/>
      <c r="IE220" s="926"/>
      <c r="IF220" s="926"/>
      <c r="IG220" s="926"/>
      <c r="IH220" s="926"/>
      <c r="II220" s="926"/>
      <c r="IJ220" s="926"/>
      <c r="IK220" s="926"/>
      <c r="IL220" s="926"/>
      <c r="IM220" s="926"/>
    </row>
    <row r="221" spans="1:247" x14ac:dyDescent="0.45">
      <c r="A221" s="441">
        <v>8231</v>
      </c>
      <c r="B221" s="939" t="s">
        <v>2758</v>
      </c>
      <c r="C221" s="47" t="s">
        <v>2757</v>
      </c>
      <c r="D221" s="449" t="s">
        <v>2537</v>
      </c>
      <c r="E221" s="946"/>
      <c r="F221" s="941">
        <f t="shared" si="56"/>
        <v>1.0209999999999999</v>
      </c>
      <c r="G221" s="947"/>
      <c r="H221" s="946"/>
      <c r="I221" s="948"/>
      <c r="J221" s="948"/>
      <c r="K221" s="948"/>
      <c r="L221" s="948"/>
      <c r="M221" s="948"/>
      <c r="N221" s="947"/>
      <c r="O221" s="949"/>
      <c r="P221" s="946">
        <f t="shared" si="59"/>
        <v>1.032</v>
      </c>
      <c r="Q221" s="947">
        <f t="shared" si="60"/>
        <v>1.0349999999999999</v>
      </c>
      <c r="R221" s="950">
        <f t="shared" si="57"/>
        <v>1.0905505199999999</v>
      </c>
      <c r="S221" s="926"/>
      <c r="T221" s="926"/>
      <c r="U221" s="926"/>
      <c r="V221" s="926"/>
      <c r="W221" s="926"/>
      <c r="X221" s="926"/>
      <c r="Y221" s="926"/>
      <c r="Z221" s="926"/>
      <c r="AA221" s="926"/>
      <c r="AB221" s="926"/>
      <c r="AC221" s="926"/>
      <c r="AD221" s="926"/>
      <c r="AE221" s="926"/>
      <c r="AF221" s="926"/>
      <c r="AG221" s="926"/>
      <c r="AH221" s="926"/>
      <c r="AI221" s="926"/>
      <c r="AJ221" s="926"/>
      <c r="AK221" s="926"/>
      <c r="AL221" s="926"/>
      <c r="AM221" s="926"/>
      <c r="AN221" s="926"/>
      <c r="AO221" s="926"/>
      <c r="AP221" s="926"/>
      <c r="AQ221" s="926"/>
      <c r="AR221" s="926"/>
      <c r="AS221" s="926"/>
      <c r="AT221" s="926"/>
      <c r="AU221" s="926"/>
      <c r="AV221" s="926"/>
      <c r="AW221" s="926"/>
      <c r="AX221" s="926"/>
      <c r="AY221" s="926"/>
      <c r="AZ221" s="926"/>
      <c r="BA221" s="926"/>
      <c r="BB221" s="926"/>
      <c r="BC221" s="926"/>
      <c r="BD221" s="926"/>
      <c r="BE221" s="926"/>
      <c r="BF221" s="926"/>
      <c r="BG221" s="926"/>
      <c r="BH221" s="926"/>
      <c r="BI221" s="926"/>
      <c r="BJ221" s="926"/>
      <c r="BK221" s="926"/>
      <c r="BL221" s="926"/>
      <c r="BM221" s="926"/>
      <c r="BN221" s="926"/>
      <c r="BO221" s="926"/>
      <c r="BP221" s="926"/>
      <c r="BQ221" s="926"/>
      <c r="BR221" s="926"/>
      <c r="BS221" s="926"/>
      <c r="BT221" s="926"/>
      <c r="BU221" s="926"/>
      <c r="BV221" s="926"/>
      <c r="BW221" s="926"/>
      <c r="BX221" s="926"/>
      <c r="BY221" s="926"/>
      <c r="BZ221" s="926"/>
      <c r="CA221" s="926"/>
      <c r="CB221" s="926"/>
      <c r="CC221" s="926"/>
      <c r="CD221" s="926"/>
      <c r="CE221" s="926"/>
      <c r="CF221" s="926"/>
      <c r="CG221" s="926"/>
      <c r="CH221" s="926"/>
      <c r="CI221" s="926"/>
      <c r="CJ221" s="926"/>
      <c r="CK221" s="926"/>
      <c r="CL221" s="926"/>
      <c r="CM221" s="926"/>
      <c r="CN221" s="926"/>
      <c r="CO221" s="926"/>
      <c r="CP221" s="926"/>
      <c r="CQ221" s="926"/>
      <c r="CR221" s="926"/>
      <c r="CS221" s="926"/>
      <c r="CT221" s="926"/>
      <c r="CU221" s="926"/>
      <c r="CV221" s="926"/>
      <c r="CW221" s="926"/>
      <c r="CX221" s="926"/>
      <c r="CY221" s="926"/>
      <c r="CZ221" s="926"/>
      <c r="DA221" s="926"/>
      <c r="DB221" s="926"/>
      <c r="DC221" s="926"/>
      <c r="DD221" s="926"/>
      <c r="DE221" s="926"/>
      <c r="DF221" s="926"/>
      <c r="DG221" s="926"/>
      <c r="DH221" s="926"/>
      <c r="DI221" s="926"/>
      <c r="DJ221" s="926"/>
      <c r="DK221" s="926"/>
      <c r="DL221" s="926"/>
      <c r="DM221" s="926"/>
      <c r="DN221" s="926"/>
      <c r="DO221" s="926"/>
      <c r="DP221" s="926"/>
      <c r="DQ221" s="926"/>
      <c r="DR221" s="926"/>
      <c r="DS221" s="926"/>
      <c r="DT221" s="926"/>
      <c r="DU221" s="926"/>
      <c r="DV221" s="926"/>
      <c r="DW221" s="926"/>
      <c r="DX221" s="926"/>
      <c r="DY221" s="926"/>
      <c r="DZ221" s="926"/>
      <c r="EA221" s="926"/>
      <c r="EB221" s="926"/>
      <c r="EC221" s="926"/>
      <c r="ED221" s="926"/>
      <c r="EE221" s="926"/>
      <c r="EF221" s="926"/>
      <c r="EG221" s="926"/>
      <c r="EH221" s="926"/>
      <c r="EI221" s="926"/>
      <c r="EJ221" s="926"/>
      <c r="EK221" s="926"/>
      <c r="EL221" s="926"/>
      <c r="EM221" s="926"/>
      <c r="EN221" s="926"/>
      <c r="EO221" s="926"/>
      <c r="EP221" s="926"/>
      <c r="EQ221" s="926"/>
      <c r="ER221" s="926"/>
      <c r="ES221" s="926"/>
      <c r="ET221" s="926"/>
      <c r="EU221" s="926"/>
      <c r="EV221" s="926"/>
      <c r="EW221" s="926"/>
      <c r="EX221" s="926"/>
      <c r="EY221" s="926"/>
      <c r="EZ221" s="926"/>
      <c r="FA221" s="926"/>
      <c r="FB221" s="926"/>
      <c r="FC221" s="926"/>
      <c r="FD221" s="926"/>
      <c r="FE221" s="926"/>
      <c r="FF221" s="926"/>
      <c r="FG221" s="926"/>
      <c r="FH221" s="926"/>
      <c r="FI221" s="926"/>
      <c r="FJ221" s="926"/>
      <c r="FK221" s="926"/>
      <c r="FL221" s="926"/>
      <c r="FM221" s="926"/>
      <c r="FN221" s="926"/>
      <c r="FO221" s="926"/>
      <c r="FP221" s="926"/>
      <c r="FQ221" s="926"/>
      <c r="FR221" s="926"/>
      <c r="FS221" s="926"/>
      <c r="FT221" s="926"/>
      <c r="FU221" s="926"/>
      <c r="FV221" s="926"/>
      <c r="FW221" s="926"/>
      <c r="FX221" s="926"/>
      <c r="FY221" s="926"/>
      <c r="FZ221" s="926"/>
      <c r="GA221" s="926"/>
      <c r="GB221" s="926"/>
      <c r="GC221" s="926"/>
      <c r="GD221" s="926"/>
      <c r="GE221" s="926"/>
      <c r="GF221" s="926"/>
      <c r="GG221" s="926"/>
      <c r="GH221" s="926"/>
      <c r="GI221" s="926"/>
      <c r="GJ221" s="926"/>
      <c r="GK221" s="926"/>
      <c r="GL221" s="926"/>
      <c r="GM221" s="926"/>
      <c r="GN221" s="926"/>
      <c r="GO221" s="926"/>
      <c r="GP221" s="926"/>
      <c r="GQ221" s="926"/>
      <c r="GR221" s="926"/>
      <c r="GS221" s="926"/>
      <c r="GT221" s="926"/>
      <c r="GU221" s="926"/>
      <c r="GV221" s="926"/>
      <c r="GW221" s="926"/>
      <c r="GX221" s="926"/>
      <c r="GY221" s="926"/>
      <c r="GZ221" s="926"/>
      <c r="HA221" s="926"/>
      <c r="HB221" s="926"/>
      <c r="HC221" s="926"/>
      <c r="HD221" s="926"/>
      <c r="HE221" s="926"/>
      <c r="HF221" s="926"/>
      <c r="HG221" s="926"/>
      <c r="HH221" s="926"/>
      <c r="HI221" s="926"/>
      <c r="HJ221" s="926"/>
      <c r="HK221" s="926"/>
      <c r="HL221" s="926"/>
      <c r="HM221" s="926"/>
      <c r="HN221" s="926"/>
      <c r="HO221" s="926"/>
      <c r="HP221" s="926"/>
      <c r="HQ221" s="926"/>
      <c r="HR221" s="926"/>
      <c r="HS221" s="926"/>
      <c r="HT221" s="926"/>
      <c r="HU221" s="926"/>
      <c r="HV221" s="926"/>
      <c r="HW221" s="926"/>
      <c r="HX221" s="926"/>
      <c r="HY221" s="926"/>
      <c r="HZ221" s="926"/>
      <c r="IA221" s="926"/>
      <c r="IB221" s="926"/>
      <c r="IC221" s="926"/>
      <c r="ID221" s="926"/>
      <c r="IE221" s="926"/>
      <c r="IF221" s="926"/>
      <c r="IG221" s="926"/>
      <c r="IH221" s="926"/>
      <c r="II221" s="926"/>
      <c r="IJ221" s="926"/>
      <c r="IK221" s="926"/>
      <c r="IL221" s="926"/>
      <c r="IM221" s="926"/>
    </row>
    <row r="222" spans="1:247" x14ac:dyDescent="0.45">
      <c r="A222" s="441">
        <v>8232</v>
      </c>
      <c r="B222" s="939" t="s">
        <v>2759</v>
      </c>
      <c r="C222" s="47" t="s">
        <v>88</v>
      </c>
      <c r="D222" s="449" t="s">
        <v>2537</v>
      </c>
      <c r="E222" s="946"/>
      <c r="F222" s="941">
        <f t="shared" si="56"/>
        <v>1.0209999999999999</v>
      </c>
      <c r="G222" s="947"/>
      <c r="H222" s="946"/>
      <c r="I222" s="948"/>
      <c r="J222" s="948"/>
      <c r="K222" s="948"/>
      <c r="L222" s="948"/>
      <c r="M222" s="948"/>
      <c r="N222" s="947"/>
      <c r="O222" s="949"/>
      <c r="P222" s="946">
        <f t="shared" si="59"/>
        <v>1.032</v>
      </c>
      <c r="Q222" s="947">
        <f t="shared" si="60"/>
        <v>1.0349999999999999</v>
      </c>
      <c r="R222" s="950">
        <f t="shared" si="57"/>
        <v>1.0905505199999999</v>
      </c>
      <c r="S222" s="926"/>
      <c r="T222" s="926"/>
      <c r="U222" s="926"/>
      <c r="V222" s="926"/>
      <c r="W222" s="926"/>
      <c r="X222" s="926"/>
      <c r="Y222" s="926"/>
      <c r="Z222" s="926"/>
      <c r="AA222" s="926"/>
      <c r="AB222" s="926"/>
      <c r="AC222" s="926"/>
      <c r="AD222" s="926"/>
      <c r="AE222" s="926"/>
      <c r="AF222" s="926"/>
      <c r="AG222" s="926"/>
      <c r="AH222" s="926"/>
      <c r="AI222" s="926"/>
      <c r="AJ222" s="926"/>
      <c r="AK222" s="926"/>
      <c r="AL222" s="926"/>
      <c r="AM222" s="926"/>
      <c r="AN222" s="926"/>
      <c r="AO222" s="926"/>
      <c r="AP222" s="926"/>
      <c r="AQ222" s="926"/>
      <c r="AR222" s="926"/>
      <c r="AS222" s="926"/>
      <c r="AT222" s="926"/>
      <c r="AU222" s="926"/>
      <c r="AV222" s="926"/>
      <c r="AW222" s="926"/>
      <c r="AX222" s="926"/>
      <c r="AY222" s="926"/>
      <c r="AZ222" s="926"/>
      <c r="BA222" s="926"/>
      <c r="BB222" s="926"/>
      <c r="BC222" s="926"/>
      <c r="BD222" s="926"/>
      <c r="BE222" s="926"/>
      <c r="BF222" s="926"/>
      <c r="BG222" s="926"/>
      <c r="BH222" s="926"/>
      <c r="BI222" s="926"/>
      <c r="BJ222" s="926"/>
      <c r="BK222" s="926"/>
      <c r="BL222" s="926"/>
      <c r="BM222" s="926"/>
      <c r="BN222" s="926"/>
      <c r="BO222" s="926"/>
      <c r="BP222" s="926"/>
      <c r="BQ222" s="926"/>
      <c r="BR222" s="926"/>
      <c r="BS222" s="926"/>
      <c r="BT222" s="926"/>
      <c r="BU222" s="926"/>
      <c r="BV222" s="926"/>
      <c r="BW222" s="926"/>
      <c r="BX222" s="926"/>
      <c r="BY222" s="926"/>
      <c r="BZ222" s="926"/>
      <c r="CA222" s="926"/>
      <c r="CB222" s="926"/>
      <c r="CC222" s="926"/>
      <c r="CD222" s="926"/>
      <c r="CE222" s="926"/>
      <c r="CF222" s="926"/>
      <c r="CG222" s="926"/>
      <c r="CH222" s="926"/>
      <c r="CI222" s="926"/>
      <c r="CJ222" s="926"/>
      <c r="CK222" s="926"/>
      <c r="CL222" s="926"/>
      <c r="CM222" s="926"/>
      <c r="CN222" s="926"/>
      <c r="CO222" s="926"/>
      <c r="CP222" s="926"/>
      <c r="CQ222" s="926"/>
      <c r="CR222" s="926"/>
      <c r="CS222" s="926"/>
      <c r="CT222" s="926"/>
      <c r="CU222" s="926"/>
      <c r="CV222" s="926"/>
      <c r="CW222" s="926"/>
      <c r="CX222" s="926"/>
      <c r="CY222" s="926"/>
      <c r="CZ222" s="926"/>
      <c r="DA222" s="926"/>
      <c r="DB222" s="926"/>
      <c r="DC222" s="926"/>
      <c r="DD222" s="926"/>
      <c r="DE222" s="926"/>
      <c r="DF222" s="926"/>
      <c r="DG222" s="926"/>
      <c r="DH222" s="926"/>
      <c r="DI222" s="926"/>
      <c r="DJ222" s="926"/>
      <c r="DK222" s="926"/>
      <c r="DL222" s="926"/>
      <c r="DM222" s="926"/>
      <c r="DN222" s="926"/>
      <c r="DO222" s="926"/>
      <c r="DP222" s="926"/>
      <c r="DQ222" s="926"/>
      <c r="DR222" s="926"/>
      <c r="DS222" s="926"/>
      <c r="DT222" s="926"/>
      <c r="DU222" s="926"/>
      <c r="DV222" s="926"/>
      <c r="DW222" s="926"/>
      <c r="DX222" s="926"/>
      <c r="DY222" s="926"/>
      <c r="DZ222" s="926"/>
      <c r="EA222" s="926"/>
      <c r="EB222" s="926"/>
      <c r="EC222" s="926"/>
      <c r="ED222" s="926"/>
      <c r="EE222" s="926"/>
      <c r="EF222" s="926"/>
      <c r="EG222" s="926"/>
      <c r="EH222" s="926"/>
      <c r="EI222" s="926"/>
      <c r="EJ222" s="926"/>
      <c r="EK222" s="926"/>
      <c r="EL222" s="926"/>
      <c r="EM222" s="926"/>
      <c r="EN222" s="926"/>
      <c r="EO222" s="926"/>
      <c r="EP222" s="926"/>
      <c r="EQ222" s="926"/>
      <c r="ER222" s="926"/>
      <c r="ES222" s="926"/>
      <c r="ET222" s="926"/>
      <c r="EU222" s="926"/>
      <c r="EV222" s="926"/>
      <c r="EW222" s="926"/>
      <c r="EX222" s="926"/>
      <c r="EY222" s="926"/>
      <c r="EZ222" s="926"/>
      <c r="FA222" s="926"/>
      <c r="FB222" s="926"/>
      <c r="FC222" s="926"/>
      <c r="FD222" s="926"/>
      <c r="FE222" s="926"/>
      <c r="FF222" s="926"/>
      <c r="FG222" s="926"/>
      <c r="FH222" s="926"/>
      <c r="FI222" s="926"/>
      <c r="FJ222" s="926"/>
      <c r="FK222" s="926"/>
      <c r="FL222" s="926"/>
      <c r="FM222" s="926"/>
      <c r="FN222" s="926"/>
      <c r="FO222" s="926"/>
      <c r="FP222" s="926"/>
      <c r="FQ222" s="926"/>
      <c r="FR222" s="926"/>
      <c r="FS222" s="926"/>
      <c r="FT222" s="926"/>
      <c r="FU222" s="926"/>
      <c r="FV222" s="926"/>
      <c r="FW222" s="926"/>
      <c r="FX222" s="926"/>
      <c r="FY222" s="926"/>
      <c r="FZ222" s="926"/>
      <c r="GA222" s="926"/>
      <c r="GB222" s="926"/>
      <c r="GC222" s="926"/>
      <c r="GD222" s="926"/>
      <c r="GE222" s="926"/>
      <c r="GF222" s="926"/>
      <c r="GG222" s="926"/>
      <c r="GH222" s="926"/>
      <c r="GI222" s="926"/>
      <c r="GJ222" s="926"/>
      <c r="GK222" s="926"/>
      <c r="GL222" s="926"/>
      <c r="GM222" s="926"/>
      <c r="GN222" s="926"/>
      <c r="GO222" s="926"/>
      <c r="GP222" s="926"/>
      <c r="GQ222" s="926"/>
      <c r="GR222" s="926"/>
      <c r="GS222" s="926"/>
      <c r="GT222" s="926"/>
      <c r="GU222" s="926"/>
      <c r="GV222" s="926"/>
      <c r="GW222" s="926"/>
      <c r="GX222" s="926"/>
      <c r="GY222" s="926"/>
      <c r="GZ222" s="926"/>
      <c r="HA222" s="926"/>
      <c r="HB222" s="926"/>
      <c r="HC222" s="926"/>
      <c r="HD222" s="926"/>
      <c r="HE222" s="926"/>
      <c r="HF222" s="926"/>
      <c r="HG222" s="926"/>
      <c r="HH222" s="926"/>
      <c r="HI222" s="926"/>
      <c r="HJ222" s="926"/>
      <c r="HK222" s="926"/>
      <c r="HL222" s="926"/>
      <c r="HM222" s="926"/>
      <c r="HN222" s="926"/>
      <c r="HO222" s="926"/>
      <c r="HP222" s="926"/>
      <c r="HQ222" s="926"/>
      <c r="HR222" s="926"/>
      <c r="HS222" s="926"/>
      <c r="HT222" s="926"/>
      <c r="HU222" s="926"/>
      <c r="HV222" s="926"/>
      <c r="HW222" s="926"/>
      <c r="HX222" s="926"/>
      <c r="HY222" s="926"/>
      <c r="HZ222" s="926"/>
      <c r="IA222" s="926"/>
      <c r="IB222" s="926"/>
      <c r="IC222" s="926"/>
      <c r="ID222" s="926"/>
      <c r="IE222" s="926"/>
      <c r="IF222" s="926"/>
      <c r="IG222" s="926"/>
      <c r="IH222" s="926"/>
      <c r="II222" s="926"/>
      <c r="IJ222" s="926"/>
      <c r="IK222" s="926"/>
      <c r="IL222" s="926"/>
      <c r="IM222" s="926"/>
    </row>
    <row r="223" spans="1:247" x14ac:dyDescent="0.45">
      <c r="A223" s="441">
        <v>8241</v>
      </c>
      <c r="B223" s="939" t="s">
        <v>2760</v>
      </c>
      <c r="C223" s="47" t="s">
        <v>113</v>
      </c>
      <c r="D223" s="449" t="s">
        <v>2540</v>
      </c>
      <c r="E223" s="946"/>
      <c r="F223" s="941">
        <f t="shared" si="56"/>
        <v>1.0209999999999999</v>
      </c>
      <c r="G223" s="947"/>
      <c r="H223" s="946"/>
      <c r="I223" s="948"/>
      <c r="J223" s="948"/>
      <c r="K223" s="948"/>
      <c r="L223" s="948"/>
      <c r="M223" s="948"/>
      <c r="N223" s="947"/>
      <c r="O223" s="949"/>
      <c r="P223" s="946">
        <f t="shared" si="59"/>
        <v>1.032</v>
      </c>
      <c r="Q223" s="947">
        <f t="shared" si="60"/>
        <v>1.0349999999999999</v>
      </c>
      <c r="R223" s="950">
        <f t="shared" si="57"/>
        <v>1.0905505199999999</v>
      </c>
      <c r="S223" s="926"/>
      <c r="T223" s="926"/>
      <c r="U223" s="926"/>
      <c r="V223" s="926"/>
      <c r="W223" s="926"/>
      <c r="X223" s="926"/>
      <c r="Y223" s="926"/>
      <c r="Z223" s="926"/>
      <c r="AA223" s="926"/>
      <c r="AB223" s="926"/>
      <c r="AC223" s="926"/>
      <c r="AD223" s="926"/>
      <c r="AE223" s="926"/>
      <c r="AF223" s="926"/>
      <c r="AG223" s="926"/>
      <c r="AH223" s="926"/>
      <c r="AI223" s="926"/>
      <c r="AJ223" s="926"/>
      <c r="AK223" s="926"/>
      <c r="AL223" s="926"/>
      <c r="AM223" s="926"/>
      <c r="AN223" s="926"/>
      <c r="AO223" s="926"/>
      <c r="AP223" s="926"/>
      <c r="AQ223" s="926"/>
      <c r="AR223" s="926"/>
      <c r="AS223" s="926"/>
      <c r="AT223" s="926"/>
      <c r="AU223" s="926"/>
      <c r="AV223" s="926"/>
      <c r="AW223" s="926"/>
      <c r="AX223" s="926"/>
      <c r="AY223" s="926"/>
      <c r="AZ223" s="926"/>
      <c r="BA223" s="926"/>
      <c r="BB223" s="926"/>
      <c r="BC223" s="926"/>
      <c r="BD223" s="926"/>
      <c r="BE223" s="926"/>
      <c r="BF223" s="926"/>
      <c r="BG223" s="926"/>
      <c r="BH223" s="926"/>
      <c r="BI223" s="926"/>
      <c r="BJ223" s="926"/>
      <c r="BK223" s="926"/>
      <c r="BL223" s="926"/>
      <c r="BM223" s="926"/>
      <c r="BN223" s="926"/>
      <c r="BO223" s="926"/>
      <c r="BP223" s="926"/>
      <c r="BQ223" s="926"/>
      <c r="BR223" s="926"/>
      <c r="BS223" s="926"/>
      <c r="BT223" s="926"/>
      <c r="BU223" s="926"/>
      <c r="BV223" s="926"/>
      <c r="BW223" s="926"/>
      <c r="BX223" s="926"/>
      <c r="BY223" s="926"/>
      <c r="BZ223" s="926"/>
      <c r="CA223" s="926"/>
      <c r="CB223" s="926"/>
      <c r="CC223" s="926"/>
      <c r="CD223" s="926"/>
      <c r="CE223" s="926"/>
      <c r="CF223" s="926"/>
      <c r="CG223" s="926"/>
      <c r="CH223" s="926"/>
      <c r="CI223" s="926"/>
      <c r="CJ223" s="926"/>
      <c r="CK223" s="926"/>
      <c r="CL223" s="926"/>
      <c r="CM223" s="926"/>
      <c r="CN223" s="926"/>
      <c r="CO223" s="926"/>
      <c r="CP223" s="926"/>
      <c r="CQ223" s="926"/>
      <c r="CR223" s="926"/>
      <c r="CS223" s="926"/>
      <c r="CT223" s="926"/>
      <c r="CU223" s="926"/>
      <c r="CV223" s="926"/>
      <c r="CW223" s="926"/>
      <c r="CX223" s="926"/>
      <c r="CY223" s="926"/>
      <c r="CZ223" s="926"/>
      <c r="DA223" s="926"/>
      <c r="DB223" s="926"/>
      <c r="DC223" s="926"/>
      <c r="DD223" s="926"/>
      <c r="DE223" s="926"/>
      <c r="DF223" s="926"/>
      <c r="DG223" s="926"/>
      <c r="DH223" s="926"/>
      <c r="DI223" s="926"/>
      <c r="DJ223" s="926"/>
      <c r="DK223" s="926"/>
      <c r="DL223" s="926"/>
      <c r="DM223" s="926"/>
      <c r="DN223" s="926"/>
      <c r="DO223" s="926"/>
      <c r="DP223" s="926"/>
      <c r="DQ223" s="926"/>
      <c r="DR223" s="926"/>
      <c r="DS223" s="926"/>
      <c r="DT223" s="926"/>
      <c r="DU223" s="926"/>
      <c r="DV223" s="926"/>
      <c r="DW223" s="926"/>
      <c r="DX223" s="926"/>
      <c r="DY223" s="926"/>
      <c r="DZ223" s="926"/>
      <c r="EA223" s="926"/>
      <c r="EB223" s="926"/>
      <c r="EC223" s="926"/>
      <c r="ED223" s="926"/>
      <c r="EE223" s="926"/>
      <c r="EF223" s="926"/>
      <c r="EG223" s="926"/>
      <c r="EH223" s="926"/>
      <c r="EI223" s="926"/>
      <c r="EJ223" s="926"/>
      <c r="EK223" s="926"/>
      <c r="EL223" s="926"/>
      <c r="EM223" s="926"/>
      <c r="EN223" s="926"/>
      <c r="EO223" s="926"/>
      <c r="EP223" s="926"/>
      <c r="EQ223" s="926"/>
      <c r="ER223" s="926"/>
      <c r="ES223" s="926"/>
      <c r="ET223" s="926"/>
      <c r="EU223" s="926"/>
      <c r="EV223" s="926"/>
      <c r="EW223" s="926"/>
      <c r="EX223" s="926"/>
      <c r="EY223" s="926"/>
      <c r="EZ223" s="926"/>
      <c r="FA223" s="926"/>
      <c r="FB223" s="926"/>
      <c r="FC223" s="926"/>
      <c r="FD223" s="926"/>
      <c r="FE223" s="926"/>
      <c r="FF223" s="926"/>
      <c r="FG223" s="926"/>
      <c r="FH223" s="926"/>
      <c r="FI223" s="926"/>
      <c r="FJ223" s="926"/>
      <c r="FK223" s="926"/>
      <c r="FL223" s="926"/>
      <c r="FM223" s="926"/>
      <c r="FN223" s="926"/>
      <c r="FO223" s="926"/>
      <c r="FP223" s="926"/>
      <c r="FQ223" s="926"/>
      <c r="FR223" s="926"/>
      <c r="FS223" s="926"/>
      <c r="FT223" s="926"/>
      <c r="FU223" s="926"/>
      <c r="FV223" s="926"/>
      <c r="FW223" s="926"/>
      <c r="FX223" s="926"/>
      <c r="FY223" s="926"/>
      <c r="FZ223" s="926"/>
      <c r="GA223" s="926"/>
      <c r="GB223" s="926"/>
      <c r="GC223" s="926"/>
      <c r="GD223" s="926"/>
      <c r="GE223" s="926"/>
      <c r="GF223" s="926"/>
      <c r="GG223" s="926"/>
      <c r="GH223" s="926"/>
      <c r="GI223" s="926"/>
      <c r="GJ223" s="926"/>
      <c r="GK223" s="926"/>
      <c r="GL223" s="926"/>
      <c r="GM223" s="926"/>
      <c r="GN223" s="926"/>
      <c r="GO223" s="926"/>
      <c r="GP223" s="926"/>
      <c r="GQ223" s="926"/>
      <c r="GR223" s="926"/>
      <c r="GS223" s="926"/>
      <c r="GT223" s="926"/>
      <c r="GU223" s="926"/>
      <c r="GV223" s="926"/>
      <c r="GW223" s="926"/>
      <c r="GX223" s="926"/>
      <c r="GY223" s="926"/>
      <c r="GZ223" s="926"/>
      <c r="HA223" s="926"/>
      <c r="HB223" s="926"/>
      <c r="HC223" s="926"/>
      <c r="HD223" s="926"/>
      <c r="HE223" s="926"/>
      <c r="HF223" s="926"/>
      <c r="HG223" s="926"/>
      <c r="HH223" s="926"/>
      <c r="HI223" s="926"/>
      <c r="HJ223" s="926"/>
      <c r="HK223" s="926"/>
      <c r="HL223" s="926"/>
      <c r="HM223" s="926"/>
      <c r="HN223" s="926"/>
      <c r="HO223" s="926"/>
      <c r="HP223" s="926"/>
      <c r="HQ223" s="926"/>
      <c r="HR223" s="926"/>
      <c r="HS223" s="926"/>
      <c r="HT223" s="926"/>
      <c r="HU223" s="926"/>
      <c r="HV223" s="926"/>
      <c r="HW223" s="926"/>
      <c r="HX223" s="926"/>
      <c r="HY223" s="926"/>
      <c r="HZ223" s="926"/>
      <c r="IA223" s="926"/>
      <c r="IB223" s="926"/>
      <c r="IC223" s="926"/>
      <c r="ID223" s="926"/>
      <c r="IE223" s="926"/>
      <c r="IF223" s="926"/>
      <c r="IG223" s="926"/>
      <c r="IH223" s="926"/>
      <c r="II223" s="926"/>
      <c r="IJ223" s="926"/>
      <c r="IK223" s="926"/>
      <c r="IL223" s="926"/>
      <c r="IM223" s="926"/>
    </row>
    <row r="224" spans="1:247" x14ac:dyDescent="0.45">
      <c r="A224" s="441">
        <v>8261</v>
      </c>
      <c r="B224" s="939" t="s">
        <v>2761</v>
      </c>
      <c r="C224" s="47" t="s">
        <v>2162</v>
      </c>
      <c r="D224" s="449" t="s">
        <v>2537</v>
      </c>
      <c r="E224" s="946"/>
      <c r="F224" s="941">
        <f t="shared" si="56"/>
        <v>1.0209999999999999</v>
      </c>
      <c r="G224" s="947"/>
      <c r="H224" s="946"/>
      <c r="I224" s="948"/>
      <c r="J224" s="948"/>
      <c r="K224" s="948"/>
      <c r="L224" s="948"/>
      <c r="M224" s="948"/>
      <c r="N224" s="947"/>
      <c r="O224" s="949"/>
      <c r="P224" s="946">
        <f t="shared" si="59"/>
        <v>1.032</v>
      </c>
      <c r="Q224" s="947">
        <f t="shared" si="60"/>
        <v>1.0349999999999999</v>
      </c>
      <c r="R224" s="950">
        <f t="shared" si="57"/>
        <v>1.0905505199999999</v>
      </c>
      <c r="S224" s="926"/>
      <c r="T224" s="926"/>
      <c r="U224" s="926"/>
      <c r="V224" s="926"/>
      <c r="W224" s="926"/>
      <c r="X224" s="926"/>
      <c r="Y224" s="926"/>
      <c r="Z224" s="926"/>
      <c r="AA224" s="926"/>
      <c r="AB224" s="926"/>
      <c r="AC224" s="926"/>
      <c r="AD224" s="926"/>
      <c r="AE224" s="926"/>
      <c r="AF224" s="926"/>
      <c r="AG224" s="926"/>
      <c r="AH224" s="926"/>
      <c r="AI224" s="926"/>
      <c r="AJ224" s="926"/>
      <c r="AK224" s="926"/>
      <c r="AL224" s="926"/>
      <c r="AM224" s="926"/>
      <c r="AN224" s="926"/>
      <c r="AO224" s="926"/>
      <c r="AP224" s="926"/>
      <c r="AQ224" s="926"/>
      <c r="AR224" s="926"/>
      <c r="AS224" s="926"/>
      <c r="AT224" s="926"/>
      <c r="AU224" s="926"/>
      <c r="AV224" s="926"/>
      <c r="AW224" s="926"/>
      <c r="AX224" s="926"/>
      <c r="AY224" s="926"/>
      <c r="AZ224" s="926"/>
      <c r="BA224" s="926"/>
      <c r="BB224" s="926"/>
      <c r="BC224" s="926"/>
      <c r="BD224" s="926"/>
      <c r="BE224" s="926"/>
      <c r="BF224" s="926"/>
      <c r="BG224" s="926"/>
      <c r="BH224" s="926"/>
      <c r="BI224" s="926"/>
      <c r="BJ224" s="926"/>
      <c r="BK224" s="926"/>
      <c r="BL224" s="926"/>
      <c r="BM224" s="926"/>
      <c r="BN224" s="926"/>
      <c r="BO224" s="926"/>
      <c r="BP224" s="926"/>
      <c r="BQ224" s="926"/>
      <c r="BR224" s="926"/>
      <c r="BS224" s="926"/>
      <c r="BT224" s="926"/>
      <c r="BU224" s="926"/>
      <c r="BV224" s="926"/>
      <c r="BW224" s="926"/>
      <c r="BX224" s="926"/>
      <c r="BY224" s="926"/>
      <c r="BZ224" s="926"/>
      <c r="CA224" s="926"/>
      <c r="CB224" s="926"/>
      <c r="CC224" s="926"/>
      <c r="CD224" s="926"/>
      <c r="CE224" s="926"/>
      <c r="CF224" s="926"/>
      <c r="CG224" s="926"/>
      <c r="CH224" s="926"/>
      <c r="CI224" s="926"/>
      <c r="CJ224" s="926"/>
      <c r="CK224" s="926"/>
      <c r="CL224" s="926"/>
      <c r="CM224" s="926"/>
      <c r="CN224" s="926"/>
      <c r="CO224" s="926"/>
      <c r="CP224" s="926"/>
      <c r="CQ224" s="926"/>
      <c r="CR224" s="926"/>
      <c r="CS224" s="926"/>
      <c r="CT224" s="926"/>
      <c r="CU224" s="926"/>
      <c r="CV224" s="926"/>
      <c r="CW224" s="926"/>
      <c r="CX224" s="926"/>
      <c r="CY224" s="926"/>
      <c r="CZ224" s="926"/>
      <c r="DA224" s="926"/>
      <c r="DB224" s="926"/>
      <c r="DC224" s="926"/>
      <c r="DD224" s="926"/>
      <c r="DE224" s="926"/>
      <c r="DF224" s="926"/>
      <c r="DG224" s="926"/>
      <c r="DH224" s="926"/>
      <c r="DI224" s="926"/>
      <c r="DJ224" s="926"/>
      <c r="DK224" s="926"/>
      <c r="DL224" s="926"/>
      <c r="DM224" s="926"/>
      <c r="DN224" s="926"/>
      <c r="DO224" s="926"/>
      <c r="DP224" s="926"/>
      <c r="DQ224" s="926"/>
      <c r="DR224" s="926"/>
      <c r="DS224" s="926"/>
      <c r="DT224" s="926"/>
      <c r="DU224" s="926"/>
      <c r="DV224" s="926"/>
      <c r="DW224" s="926"/>
      <c r="DX224" s="926"/>
      <c r="DY224" s="926"/>
      <c r="DZ224" s="926"/>
      <c r="EA224" s="926"/>
      <c r="EB224" s="926"/>
      <c r="EC224" s="926"/>
      <c r="ED224" s="926"/>
      <c r="EE224" s="926"/>
      <c r="EF224" s="926"/>
      <c r="EG224" s="926"/>
      <c r="EH224" s="926"/>
      <c r="EI224" s="926"/>
      <c r="EJ224" s="926"/>
      <c r="EK224" s="926"/>
      <c r="EL224" s="926"/>
      <c r="EM224" s="926"/>
      <c r="EN224" s="926"/>
      <c r="EO224" s="926"/>
      <c r="EP224" s="926"/>
      <c r="EQ224" s="926"/>
      <c r="ER224" s="926"/>
      <c r="ES224" s="926"/>
      <c r="ET224" s="926"/>
      <c r="EU224" s="926"/>
      <c r="EV224" s="926"/>
      <c r="EW224" s="926"/>
      <c r="EX224" s="926"/>
      <c r="EY224" s="926"/>
      <c r="EZ224" s="926"/>
      <c r="FA224" s="926"/>
      <c r="FB224" s="926"/>
      <c r="FC224" s="926"/>
      <c r="FD224" s="926"/>
      <c r="FE224" s="926"/>
      <c r="FF224" s="926"/>
      <c r="FG224" s="926"/>
      <c r="FH224" s="926"/>
      <c r="FI224" s="926"/>
      <c r="FJ224" s="926"/>
      <c r="FK224" s="926"/>
      <c r="FL224" s="926"/>
      <c r="FM224" s="926"/>
      <c r="FN224" s="926"/>
      <c r="FO224" s="926"/>
      <c r="FP224" s="926"/>
      <c r="FQ224" s="926"/>
      <c r="FR224" s="926"/>
      <c r="FS224" s="926"/>
      <c r="FT224" s="926"/>
      <c r="FU224" s="926"/>
      <c r="FV224" s="926"/>
      <c r="FW224" s="926"/>
      <c r="FX224" s="926"/>
      <c r="FY224" s="926"/>
      <c r="FZ224" s="926"/>
      <c r="GA224" s="926"/>
      <c r="GB224" s="926"/>
      <c r="GC224" s="926"/>
      <c r="GD224" s="926"/>
      <c r="GE224" s="926"/>
      <c r="GF224" s="926"/>
      <c r="GG224" s="926"/>
      <c r="GH224" s="926"/>
      <c r="GI224" s="926"/>
      <c r="GJ224" s="926"/>
      <c r="GK224" s="926"/>
      <c r="GL224" s="926"/>
      <c r="GM224" s="926"/>
      <c r="GN224" s="926"/>
      <c r="GO224" s="926"/>
      <c r="GP224" s="926"/>
      <c r="GQ224" s="926"/>
      <c r="GR224" s="926"/>
      <c r="GS224" s="926"/>
      <c r="GT224" s="926"/>
      <c r="GU224" s="926"/>
      <c r="GV224" s="926"/>
      <c r="GW224" s="926"/>
      <c r="GX224" s="926"/>
      <c r="GY224" s="926"/>
      <c r="GZ224" s="926"/>
      <c r="HA224" s="926"/>
      <c r="HB224" s="926"/>
      <c r="HC224" s="926"/>
      <c r="HD224" s="926"/>
      <c r="HE224" s="926"/>
      <c r="HF224" s="926"/>
      <c r="HG224" s="926"/>
      <c r="HH224" s="926"/>
      <c r="HI224" s="926"/>
      <c r="HJ224" s="926"/>
      <c r="HK224" s="926"/>
      <c r="HL224" s="926"/>
      <c r="HM224" s="926"/>
      <c r="HN224" s="926"/>
      <c r="HO224" s="926"/>
      <c r="HP224" s="926"/>
      <c r="HQ224" s="926"/>
      <c r="HR224" s="926"/>
      <c r="HS224" s="926"/>
      <c r="HT224" s="926"/>
      <c r="HU224" s="926"/>
      <c r="HV224" s="926"/>
      <c r="HW224" s="926"/>
      <c r="HX224" s="926"/>
      <c r="HY224" s="926"/>
      <c r="HZ224" s="926"/>
      <c r="IA224" s="926"/>
      <c r="IB224" s="926"/>
      <c r="IC224" s="926"/>
      <c r="ID224" s="926"/>
      <c r="IE224" s="926"/>
      <c r="IF224" s="926"/>
      <c r="IG224" s="926"/>
      <c r="IH224" s="926"/>
      <c r="II224" s="926"/>
      <c r="IJ224" s="926"/>
      <c r="IK224" s="926"/>
      <c r="IL224" s="926"/>
      <c r="IM224" s="926"/>
    </row>
    <row r="225" spans="1:247" x14ac:dyDescent="0.45">
      <c r="A225" s="441">
        <v>8271</v>
      </c>
      <c r="B225" s="939" t="s">
        <v>2762</v>
      </c>
      <c r="C225" s="47" t="s">
        <v>113</v>
      </c>
      <c r="D225" s="449" t="s">
        <v>2540</v>
      </c>
      <c r="E225" s="946"/>
      <c r="F225" s="941">
        <f t="shared" si="56"/>
        <v>1.0209999999999999</v>
      </c>
      <c r="G225" s="947"/>
      <c r="H225" s="946"/>
      <c r="I225" s="948"/>
      <c r="J225" s="948"/>
      <c r="K225" s="948"/>
      <c r="L225" s="948"/>
      <c r="M225" s="948"/>
      <c r="N225" s="947"/>
      <c r="O225" s="949"/>
      <c r="P225" s="946">
        <f t="shared" si="59"/>
        <v>1.032</v>
      </c>
      <c r="Q225" s="947">
        <f t="shared" si="60"/>
        <v>1.0349999999999999</v>
      </c>
      <c r="R225" s="950">
        <f t="shared" si="57"/>
        <v>1.0905505199999999</v>
      </c>
      <c r="S225" s="926"/>
      <c r="T225" s="926"/>
      <c r="U225" s="926"/>
      <c r="V225" s="926"/>
      <c r="W225" s="926"/>
      <c r="X225" s="926"/>
      <c r="Y225" s="926"/>
      <c r="Z225" s="926"/>
      <c r="AA225" s="926"/>
      <c r="AB225" s="926"/>
      <c r="AC225" s="926"/>
      <c r="AD225" s="926"/>
      <c r="AE225" s="926"/>
      <c r="AF225" s="926"/>
      <c r="AG225" s="926"/>
      <c r="AH225" s="926"/>
      <c r="AI225" s="926"/>
      <c r="AJ225" s="926"/>
      <c r="AK225" s="926"/>
      <c r="AL225" s="926"/>
      <c r="AM225" s="926"/>
      <c r="AN225" s="926"/>
      <c r="AO225" s="926"/>
      <c r="AP225" s="926"/>
      <c r="AQ225" s="926"/>
      <c r="AR225" s="926"/>
      <c r="AS225" s="926"/>
      <c r="AT225" s="926"/>
      <c r="AU225" s="926"/>
      <c r="AV225" s="926"/>
      <c r="AW225" s="926"/>
      <c r="AX225" s="926"/>
      <c r="AY225" s="926"/>
      <c r="AZ225" s="926"/>
      <c r="BA225" s="926"/>
      <c r="BB225" s="926"/>
      <c r="BC225" s="926"/>
      <c r="BD225" s="926"/>
      <c r="BE225" s="926"/>
      <c r="BF225" s="926"/>
      <c r="BG225" s="926"/>
      <c r="BH225" s="926"/>
      <c r="BI225" s="926"/>
      <c r="BJ225" s="926"/>
      <c r="BK225" s="926"/>
      <c r="BL225" s="926"/>
      <c r="BM225" s="926"/>
      <c r="BN225" s="926"/>
      <c r="BO225" s="926"/>
      <c r="BP225" s="926"/>
      <c r="BQ225" s="926"/>
      <c r="BR225" s="926"/>
      <c r="BS225" s="926"/>
      <c r="BT225" s="926"/>
      <c r="BU225" s="926"/>
      <c r="BV225" s="926"/>
      <c r="BW225" s="926"/>
      <c r="BX225" s="926"/>
      <c r="BY225" s="926"/>
      <c r="BZ225" s="926"/>
      <c r="CA225" s="926"/>
      <c r="CB225" s="926"/>
      <c r="CC225" s="926"/>
      <c r="CD225" s="926"/>
      <c r="CE225" s="926"/>
      <c r="CF225" s="926"/>
      <c r="CG225" s="926"/>
      <c r="CH225" s="926"/>
      <c r="CI225" s="926"/>
      <c r="CJ225" s="926"/>
      <c r="CK225" s="926"/>
      <c r="CL225" s="926"/>
      <c r="CM225" s="926"/>
      <c r="CN225" s="926"/>
      <c r="CO225" s="926"/>
      <c r="CP225" s="926"/>
      <c r="CQ225" s="926"/>
      <c r="CR225" s="926"/>
      <c r="CS225" s="926"/>
      <c r="CT225" s="926"/>
      <c r="CU225" s="926"/>
      <c r="CV225" s="926"/>
      <c r="CW225" s="926"/>
      <c r="CX225" s="926"/>
      <c r="CY225" s="926"/>
      <c r="CZ225" s="926"/>
      <c r="DA225" s="926"/>
      <c r="DB225" s="926"/>
      <c r="DC225" s="926"/>
      <c r="DD225" s="926"/>
      <c r="DE225" s="926"/>
      <c r="DF225" s="926"/>
      <c r="DG225" s="926"/>
      <c r="DH225" s="926"/>
      <c r="DI225" s="926"/>
      <c r="DJ225" s="926"/>
      <c r="DK225" s="926"/>
      <c r="DL225" s="926"/>
      <c r="DM225" s="926"/>
      <c r="DN225" s="926"/>
      <c r="DO225" s="926"/>
      <c r="DP225" s="926"/>
      <c r="DQ225" s="926"/>
      <c r="DR225" s="926"/>
      <c r="DS225" s="926"/>
      <c r="DT225" s="926"/>
      <c r="DU225" s="926"/>
      <c r="DV225" s="926"/>
      <c r="DW225" s="926"/>
      <c r="DX225" s="926"/>
      <c r="DY225" s="926"/>
      <c r="DZ225" s="926"/>
      <c r="EA225" s="926"/>
      <c r="EB225" s="926"/>
      <c r="EC225" s="926"/>
      <c r="ED225" s="926"/>
      <c r="EE225" s="926"/>
      <c r="EF225" s="926"/>
      <c r="EG225" s="926"/>
      <c r="EH225" s="926"/>
      <c r="EI225" s="926"/>
      <c r="EJ225" s="926"/>
      <c r="EK225" s="926"/>
      <c r="EL225" s="926"/>
      <c r="EM225" s="926"/>
      <c r="EN225" s="926"/>
      <c r="EO225" s="926"/>
      <c r="EP225" s="926"/>
      <c r="EQ225" s="926"/>
      <c r="ER225" s="926"/>
      <c r="ES225" s="926"/>
      <c r="ET225" s="926"/>
      <c r="EU225" s="926"/>
      <c r="EV225" s="926"/>
      <c r="EW225" s="926"/>
      <c r="EX225" s="926"/>
      <c r="EY225" s="926"/>
      <c r="EZ225" s="926"/>
      <c r="FA225" s="926"/>
      <c r="FB225" s="926"/>
      <c r="FC225" s="926"/>
      <c r="FD225" s="926"/>
      <c r="FE225" s="926"/>
      <c r="FF225" s="926"/>
      <c r="FG225" s="926"/>
      <c r="FH225" s="926"/>
      <c r="FI225" s="926"/>
      <c r="FJ225" s="926"/>
      <c r="FK225" s="926"/>
      <c r="FL225" s="926"/>
      <c r="FM225" s="926"/>
      <c r="FN225" s="926"/>
      <c r="FO225" s="926"/>
      <c r="FP225" s="926"/>
      <c r="FQ225" s="926"/>
      <c r="FR225" s="926"/>
      <c r="FS225" s="926"/>
      <c r="FT225" s="926"/>
      <c r="FU225" s="926"/>
      <c r="FV225" s="926"/>
      <c r="FW225" s="926"/>
      <c r="FX225" s="926"/>
      <c r="FY225" s="926"/>
      <c r="FZ225" s="926"/>
      <c r="GA225" s="926"/>
      <c r="GB225" s="926"/>
      <c r="GC225" s="926"/>
      <c r="GD225" s="926"/>
      <c r="GE225" s="926"/>
      <c r="GF225" s="926"/>
      <c r="GG225" s="926"/>
      <c r="GH225" s="926"/>
      <c r="GI225" s="926"/>
      <c r="GJ225" s="926"/>
      <c r="GK225" s="926"/>
      <c r="GL225" s="926"/>
      <c r="GM225" s="926"/>
      <c r="GN225" s="926"/>
      <c r="GO225" s="926"/>
      <c r="GP225" s="926"/>
      <c r="GQ225" s="926"/>
      <c r="GR225" s="926"/>
      <c r="GS225" s="926"/>
      <c r="GT225" s="926"/>
      <c r="GU225" s="926"/>
      <c r="GV225" s="926"/>
      <c r="GW225" s="926"/>
      <c r="GX225" s="926"/>
      <c r="GY225" s="926"/>
      <c r="GZ225" s="926"/>
      <c r="HA225" s="926"/>
      <c r="HB225" s="926"/>
      <c r="HC225" s="926"/>
      <c r="HD225" s="926"/>
      <c r="HE225" s="926"/>
      <c r="HF225" s="926"/>
      <c r="HG225" s="926"/>
      <c r="HH225" s="926"/>
      <c r="HI225" s="926"/>
      <c r="HJ225" s="926"/>
      <c r="HK225" s="926"/>
      <c r="HL225" s="926"/>
      <c r="HM225" s="926"/>
      <c r="HN225" s="926"/>
      <c r="HO225" s="926"/>
      <c r="HP225" s="926"/>
      <c r="HQ225" s="926"/>
      <c r="HR225" s="926"/>
      <c r="HS225" s="926"/>
      <c r="HT225" s="926"/>
      <c r="HU225" s="926"/>
      <c r="HV225" s="926"/>
      <c r="HW225" s="926"/>
      <c r="HX225" s="926"/>
      <c r="HY225" s="926"/>
      <c r="HZ225" s="926"/>
      <c r="IA225" s="926"/>
      <c r="IB225" s="926"/>
      <c r="IC225" s="926"/>
      <c r="ID225" s="926"/>
      <c r="IE225" s="926"/>
      <c r="IF225" s="926"/>
      <c r="IG225" s="926"/>
      <c r="IH225" s="926"/>
      <c r="II225" s="926"/>
      <c r="IJ225" s="926"/>
      <c r="IK225" s="926"/>
      <c r="IL225" s="926"/>
      <c r="IM225" s="926"/>
    </row>
    <row r="226" spans="1:247" x14ac:dyDescent="0.45">
      <c r="A226" s="441">
        <v>8311</v>
      </c>
      <c r="B226" s="939" t="s">
        <v>2763</v>
      </c>
      <c r="C226" s="47" t="s">
        <v>2170</v>
      </c>
      <c r="D226" s="449" t="s">
        <v>2537</v>
      </c>
      <c r="E226" s="946"/>
      <c r="F226" s="941">
        <f t="shared" si="56"/>
        <v>1.0209999999999999</v>
      </c>
      <c r="G226" s="947">
        <f>+$G$3</f>
        <v>1.0269999999999999</v>
      </c>
      <c r="H226" s="946"/>
      <c r="I226" s="948"/>
      <c r="J226" s="948"/>
      <c r="K226" s="948"/>
      <c r="L226" s="948"/>
      <c r="M226" s="948"/>
      <c r="N226" s="947"/>
      <c r="O226" s="949"/>
      <c r="P226" s="946">
        <f t="shared" si="59"/>
        <v>1.032</v>
      </c>
      <c r="Q226" s="947">
        <f t="shared" si="60"/>
        <v>1.0349999999999999</v>
      </c>
      <c r="R226" s="950">
        <f t="shared" si="57"/>
        <v>1.1199953840399997</v>
      </c>
      <c r="S226" s="926"/>
      <c r="T226" s="926"/>
      <c r="U226" s="926"/>
      <c r="V226" s="926"/>
      <c r="W226" s="926"/>
      <c r="X226" s="926"/>
      <c r="Y226" s="926"/>
      <c r="Z226" s="926"/>
      <c r="AA226" s="926"/>
      <c r="AB226" s="926"/>
      <c r="AC226" s="926"/>
      <c r="AD226" s="926"/>
      <c r="AE226" s="926"/>
      <c r="AF226" s="926"/>
      <c r="AG226" s="926"/>
      <c r="AH226" s="926"/>
      <c r="AI226" s="926"/>
      <c r="AJ226" s="926"/>
      <c r="AK226" s="926"/>
      <c r="AL226" s="926"/>
      <c r="AM226" s="926"/>
      <c r="AN226" s="926"/>
      <c r="AO226" s="926"/>
      <c r="AP226" s="926"/>
      <c r="AQ226" s="926"/>
      <c r="AR226" s="926"/>
      <c r="AS226" s="926"/>
      <c r="AT226" s="926"/>
      <c r="AU226" s="926"/>
      <c r="AV226" s="926"/>
      <c r="AW226" s="926"/>
      <c r="AX226" s="926"/>
      <c r="AY226" s="926"/>
      <c r="AZ226" s="926"/>
      <c r="BA226" s="926"/>
      <c r="BB226" s="926"/>
      <c r="BC226" s="926"/>
      <c r="BD226" s="926"/>
      <c r="BE226" s="926"/>
      <c r="BF226" s="926"/>
      <c r="BG226" s="926"/>
      <c r="BH226" s="926"/>
      <c r="BI226" s="926"/>
      <c r="BJ226" s="926"/>
      <c r="BK226" s="926"/>
      <c r="BL226" s="926"/>
      <c r="BM226" s="926"/>
      <c r="BN226" s="926"/>
      <c r="BO226" s="926"/>
      <c r="BP226" s="926"/>
      <c r="BQ226" s="926"/>
      <c r="BR226" s="926"/>
      <c r="BS226" s="926"/>
      <c r="BT226" s="926"/>
      <c r="BU226" s="926"/>
      <c r="BV226" s="926"/>
      <c r="BW226" s="926"/>
      <c r="BX226" s="926"/>
      <c r="BY226" s="926"/>
      <c r="BZ226" s="926"/>
      <c r="CA226" s="926"/>
      <c r="CB226" s="926"/>
      <c r="CC226" s="926"/>
      <c r="CD226" s="926"/>
      <c r="CE226" s="926"/>
      <c r="CF226" s="926"/>
      <c r="CG226" s="926"/>
      <c r="CH226" s="926"/>
      <c r="CI226" s="926"/>
      <c r="CJ226" s="926"/>
      <c r="CK226" s="926"/>
      <c r="CL226" s="926"/>
      <c r="CM226" s="926"/>
      <c r="CN226" s="926"/>
      <c r="CO226" s="926"/>
      <c r="CP226" s="926"/>
      <c r="CQ226" s="926"/>
      <c r="CR226" s="926"/>
      <c r="CS226" s="926"/>
      <c r="CT226" s="926"/>
      <c r="CU226" s="926"/>
      <c r="CV226" s="926"/>
      <c r="CW226" s="926"/>
      <c r="CX226" s="926"/>
      <c r="CY226" s="926"/>
      <c r="CZ226" s="926"/>
      <c r="DA226" s="926"/>
      <c r="DB226" s="926"/>
      <c r="DC226" s="926"/>
      <c r="DD226" s="926"/>
      <c r="DE226" s="926"/>
      <c r="DF226" s="926"/>
      <c r="DG226" s="926"/>
      <c r="DH226" s="926"/>
      <c r="DI226" s="926"/>
      <c r="DJ226" s="926"/>
      <c r="DK226" s="926"/>
      <c r="DL226" s="926"/>
      <c r="DM226" s="926"/>
      <c r="DN226" s="926"/>
      <c r="DO226" s="926"/>
      <c r="DP226" s="926"/>
      <c r="DQ226" s="926"/>
      <c r="DR226" s="926"/>
      <c r="DS226" s="926"/>
      <c r="DT226" s="926"/>
      <c r="DU226" s="926"/>
      <c r="DV226" s="926"/>
      <c r="DW226" s="926"/>
      <c r="DX226" s="926"/>
      <c r="DY226" s="926"/>
      <c r="DZ226" s="926"/>
      <c r="EA226" s="926"/>
      <c r="EB226" s="926"/>
      <c r="EC226" s="926"/>
      <c r="ED226" s="926"/>
      <c r="EE226" s="926"/>
      <c r="EF226" s="926"/>
      <c r="EG226" s="926"/>
      <c r="EH226" s="926"/>
      <c r="EI226" s="926"/>
      <c r="EJ226" s="926"/>
      <c r="EK226" s="926"/>
      <c r="EL226" s="926"/>
      <c r="EM226" s="926"/>
      <c r="EN226" s="926"/>
      <c r="EO226" s="926"/>
      <c r="EP226" s="926"/>
      <c r="EQ226" s="926"/>
      <c r="ER226" s="926"/>
      <c r="ES226" s="926"/>
      <c r="ET226" s="926"/>
      <c r="EU226" s="926"/>
      <c r="EV226" s="926"/>
      <c r="EW226" s="926"/>
      <c r="EX226" s="926"/>
      <c r="EY226" s="926"/>
      <c r="EZ226" s="926"/>
      <c r="FA226" s="926"/>
      <c r="FB226" s="926"/>
      <c r="FC226" s="926"/>
      <c r="FD226" s="926"/>
      <c r="FE226" s="926"/>
      <c r="FF226" s="926"/>
      <c r="FG226" s="926"/>
      <c r="FH226" s="926"/>
      <c r="FI226" s="926"/>
      <c r="FJ226" s="926"/>
      <c r="FK226" s="926"/>
      <c r="FL226" s="926"/>
      <c r="FM226" s="926"/>
      <c r="FN226" s="926"/>
      <c r="FO226" s="926"/>
      <c r="FP226" s="926"/>
      <c r="FQ226" s="926"/>
      <c r="FR226" s="926"/>
      <c r="FS226" s="926"/>
      <c r="FT226" s="926"/>
      <c r="FU226" s="926"/>
      <c r="FV226" s="926"/>
      <c r="FW226" s="926"/>
      <c r="FX226" s="926"/>
      <c r="FY226" s="926"/>
      <c r="FZ226" s="926"/>
      <c r="GA226" s="926"/>
      <c r="GB226" s="926"/>
      <c r="GC226" s="926"/>
      <c r="GD226" s="926"/>
      <c r="GE226" s="926"/>
      <c r="GF226" s="926"/>
      <c r="GG226" s="926"/>
      <c r="GH226" s="926"/>
      <c r="GI226" s="926"/>
      <c r="GJ226" s="926"/>
      <c r="GK226" s="926"/>
      <c r="GL226" s="926"/>
      <c r="GM226" s="926"/>
      <c r="GN226" s="926"/>
      <c r="GO226" s="926"/>
      <c r="GP226" s="926"/>
      <c r="GQ226" s="926"/>
      <c r="GR226" s="926"/>
      <c r="GS226" s="926"/>
      <c r="GT226" s="926"/>
      <c r="GU226" s="926"/>
      <c r="GV226" s="926"/>
      <c r="GW226" s="926"/>
      <c r="GX226" s="926"/>
      <c r="GY226" s="926"/>
      <c r="GZ226" s="926"/>
      <c r="HA226" s="926"/>
      <c r="HB226" s="926"/>
      <c r="HC226" s="926"/>
      <c r="HD226" s="926"/>
      <c r="HE226" s="926"/>
      <c r="HF226" s="926"/>
      <c r="HG226" s="926"/>
      <c r="HH226" s="926"/>
      <c r="HI226" s="926"/>
      <c r="HJ226" s="926"/>
      <c r="HK226" s="926"/>
      <c r="HL226" s="926"/>
      <c r="HM226" s="926"/>
      <c r="HN226" s="926"/>
      <c r="HO226" s="926"/>
      <c r="HP226" s="926"/>
      <c r="HQ226" s="926"/>
      <c r="HR226" s="926"/>
      <c r="HS226" s="926"/>
      <c r="HT226" s="926"/>
      <c r="HU226" s="926"/>
      <c r="HV226" s="926"/>
      <c r="HW226" s="926"/>
      <c r="HX226" s="926"/>
      <c r="HY226" s="926"/>
      <c r="HZ226" s="926"/>
      <c r="IA226" s="926"/>
      <c r="IB226" s="926"/>
      <c r="IC226" s="926"/>
      <c r="ID226" s="926"/>
      <c r="IE226" s="926"/>
      <c r="IF226" s="926"/>
      <c r="IG226" s="926"/>
      <c r="IH226" s="926"/>
      <c r="II226" s="926"/>
      <c r="IJ226" s="926"/>
      <c r="IK226" s="926"/>
      <c r="IL226" s="926"/>
      <c r="IM226" s="926"/>
    </row>
    <row r="227" spans="1:247" x14ac:dyDescent="0.45">
      <c r="A227" s="441">
        <v>8312</v>
      </c>
      <c r="B227" s="939" t="s">
        <v>2764</v>
      </c>
      <c r="C227" s="47" t="s">
        <v>2170</v>
      </c>
      <c r="D227" s="449" t="s">
        <v>2537</v>
      </c>
      <c r="E227" s="946"/>
      <c r="F227" s="941">
        <f t="shared" si="56"/>
        <v>1.0209999999999999</v>
      </c>
      <c r="G227" s="947">
        <f>+$G$3</f>
        <v>1.0269999999999999</v>
      </c>
      <c r="H227" s="946"/>
      <c r="I227" s="948"/>
      <c r="J227" s="948"/>
      <c r="K227" s="948"/>
      <c r="L227" s="948"/>
      <c r="M227" s="948"/>
      <c r="N227" s="947"/>
      <c r="O227" s="949"/>
      <c r="P227" s="946">
        <f t="shared" si="59"/>
        <v>1.032</v>
      </c>
      <c r="Q227" s="947">
        <f t="shared" si="60"/>
        <v>1.0349999999999999</v>
      </c>
      <c r="R227" s="950">
        <f t="shared" si="57"/>
        <v>1.1199953840399997</v>
      </c>
      <c r="S227" s="926"/>
      <c r="T227" s="926"/>
      <c r="U227" s="926"/>
      <c r="V227" s="926"/>
      <c r="W227" s="926"/>
      <c r="X227" s="926"/>
      <c r="Y227" s="926"/>
      <c r="Z227" s="926"/>
      <c r="AA227" s="926"/>
      <c r="AB227" s="926"/>
      <c r="AC227" s="926"/>
      <c r="AD227" s="926"/>
      <c r="AE227" s="926"/>
      <c r="AF227" s="926"/>
      <c r="AG227" s="926"/>
      <c r="AH227" s="926"/>
      <c r="AI227" s="926"/>
      <c r="AJ227" s="926"/>
      <c r="AK227" s="926"/>
      <c r="AL227" s="926"/>
      <c r="AM227" s="926"/>
      <c r="AN227" s="926"/>
      <c r="AO227" s="926"/>
      <c r="AP227" s="926"/>
      <c r="AQ227" s="926"/>
      <c r="AR227" s="926"/>
      <c r="AS227" s="926"/>
      <c r="AT227" s="926"/>
      <c r="AU227" s="926"/>
      <c r="AV227" s="926"/>
      <c r="AW227" s="926"/>
      <c r="AX227" s="926"/>
      <c r="AY227" s="926"/>
      <c r="AZ227" s="926"/>
      <c r="BA227" s="926"/>
      <c r="BB227" s="926"/>
      <c r="BC227" s="926"/>
      <c r="BD227" s="926"/>
      <c r="BE227" s="926"/>
      <c r="BF227" s="926"/>
      <c r="BG227" s="926"/>
      <c r="BH227" s="926"/>
      <c r="BI227" s="926"/>
      <c r="BJ227" s="926"/>
      <c r="BK227" s="926"/>
      <c r="BL227" s="926"/>
      <c r="BM227" s="926"/>
      <c r="BN227" s="926"/>
      <c r="BO227" s="926"/>
      <c r="BP227" s="926"/>
      <c r="BQ227" s="926"/>
      <c r="BR227" s="926"/>
      <c r="BS227" s="926"/>
      <c r="BT227" s="926"/>
      <c r="BU227" s="926"/>
      <c r="BV227" s="926"/>
      <c r="BW227" s="926"/>
      <c r="BX227" s="926"/>
      <c r="BY227" s="926"/>
      <c r="BZ227" s="926"/>
      <c r="CA227" s="926"/>
      <c r="CB227" s="926"/>
      <c r="CC227" s="926"/>
      <c r="CD227" s="926"/>
      <c r="CE227" s="926"/>
      <c r="CF227" s="926"/>
      <c r="CG227" s="926"/>
      <c r="CH227" s="926"/>
      <c r="CI227" s="926"/>
      <c r="CJ227" s="926"/>
      <c r="CK227" s="926"/>
      <c r="CL227" s="926"/>
      <c r="CM227" s="926"/>
      <c r="CN227" s="926"/>
      <c r="CO227" s="926"/>
      <c r="CP227" s="926"/>
      <c r="CQ227" s="926"/>
      <c r="CR227" s="926"/>
      <c r="CS227" s="926"/>
      <c r="CT227" s="926"/>
      <c r="CU227" s="926"/>
      <c r="CV227" s="926"/>
      <c r="CW227" s="926"/>
      <c r="CX227" s="926"/>
      <c r="CY227" s="926"/>
      <c r="CZ227" s="926"/>
      <c r="DA227" s="926"/>
      <c r="DB227" s="926"/>
      <c r="DC227" s="926"/>
      <c r="DD227" s="926"/>
      <c r="DE227" s="926"/>
      <c r="DF227" s="926"/>
      <c r="DG227" s="926"/>
      <c r="DH227" s="926"/>
      <c r="DI227" s="926"/>
      <c r="DJ227" s="926"/>
      <c r="DK227" s="926"/>
      <c r="DL227" s="926"/>
      <c r="DM227" s="926"/>
      <c r="DN227" s="926"/>
      <c r="DO227" s="926"/>
      <c r="DP227" s="926"/>
      <c r="DQ227" s="926"/>
      <c r="DR227" s="926"/>
      <c r="DS227" s="926"/>
      <c r="DT227" s="926"/>
      <c r="DU227" s="926"/>
      <c r="DV227" s="926"/>
      <c r="DW227" s="926"/>
      <c r="DX227" s="926"/>
      <c r="DY227" s="926"/>
      <c r="DZ227" s="926"/>
      <c r="EA227" s="926"/>
      <c r="EB227" s="926"/>
      <c r="EC227" s="926"/>
      <c r="ED227" s="926"/>
      <c r="EE227" s="926"/>
      <c r="EF227" s="926"/>
      <c r="EG227" s="926"/>
      <c r="EH227" s="926"/>
      <c r="EI227" s="926"/>
      <c r="EJ227" s="926"/>
      <c r="EK227" s="926"/>
      <c r="EL227" s="926"/>
      <c r="EM227" s="926"/>
      <c r="EN227" s="926"/>
      <c r="EO227" s="926"/>
      <c r="EP227" s="926"/>
      <c r="EQ227" s="926"/>
      <c r="ER227" s="926"/>
      <c r="ES227" s="926"/>
      <c r="ET227" s="926"/>
      <c r="EU227" s="926"/>
      <c r="EV227" s="926"/>
      <c r="EW227" s="926"/>
      <c r="EX227" s="926"/>
      <c r="EY227" s="926"/>
      <c r="EZ227" s="926"/>
      <c r="FA227" s="926"/>
      <c r="FB227" s="926"/>
      <c r="FC227" s="926"/>
      <c r="FD227" s="926"/>
      <c r="FE227" s="926"/>
      <c r="FF227" s="926"/>
      <c r="FG227" s="926"/>
      <c r="FH227" s="926"/>
      <c r="FI227" s="926"/>
      <c r="FJ227" s="926"/>
      <c r="FK227" s="926"/>
      <c r="FL227" s="926"/>
      <c r="FM227" s="926"/>
      <c r="FN227" s="926"/>
      <c r="FO227" s="926"/>
      <c r="FP227" s="926"/>
      <c r="FQ227" s="926"/>
      <c r="FR227" s="926"/>
      <c r="FS227" s="926"/>
      <c r="FT227" s="926"/>
      <c r="FU227" s="926"/>
      <c r="FV227" s="926"/>
      <c r="FW227" s="926"/>
      <c r="FX227" s="926"/>
      <c r="FY227" s="926"/>
      <c r="FZ227" s="926"/>
      <c r="GA227" s="926"/>
      <c r="GB227" s="926"/>
      <c r="GC227" s="926"/>
      <c r="GD227" s="926"/>
      <c r="GE227" s="926"/>
      <c r="GF227" s="926"/>
      <c r="GG227" s="926"/>
      <c r="GH227" s="926"/>
      <c r="GI227" s="926"/>
      <c r="GJ227" s="926"/>
      <c r="GK227" s="926"/>
      <c r="GL227" s="926"/>
      <c r="GM227" s="926"/>
      <c r="GN227" s="926"/>
      <c r="GO227" s="926"/>
      <c r="GP227" s="926"/>
      <c r="GQ227" s="926"/>
      <c r="GR227" s="926"/>
      <c r="GS227" s="926"/>
      <c r="GT227" s="926"/>
      <c r="GU227" s="926"/>
      <c r="GV227" s="926"/>
      <c r="GW227" s="926"/>
      <c r="GX227" s="926"/>
      <c r="GY227" s="926"/>
      <c r="GZ227" s="926"/>
      <c r="HA227" s="926"/>
      <c r="HB227" s="926"/>
      <c r="HC227" s="926"/>
      <c r="HD227" s="926"/>
      <c r="HE227" s="926"/>
      <c r="HF227" s="926"/>
      <c r="HG227" s="926"/>
      <c r="HH227" s="926"/>
      <c r="HI227" s="926"/>
      <c r="HJ227" s="926"/>
      <c r="HK227" s="926"/>
      <c r="HL227" s="926"/>
      <c r="HM227" s="926"/>
      <c r="HN227" s="926"/>
      <c r="HO227" s="926"/>
      <c r="HP227" s="926"/>
      <c r="HQ227" s="926"/>
      <c r="HR227" s="926"/>
      <c r="HS227" s="926"/>
      <c r="HT227" s="926"/>
      <c r="HU227" s="926"/>
      <c r="HV227" s="926"/>
      <c r="HW227" s="926"/>
      <c r="HX227" s="926"/>
      <c r="HY227" s="926"/>
      <c r="HZ227" s="926"/>
      <c r="IA227" s="926"/>
      <c r="IB227" s="926"/>
      <c r="IC227" s="926"/>
      <c r="ID227" s="926"/>
      <c r="IE227" s="926"/>
      <c r="IF227" s="926"/>
      <c r="IG227" s="926"/>
      <c r="IH227" s="926"/>
      <c r="II227" s="926"/>
      <c r="IJ227" s="926"/>
      <c r="IK227" s="926"/>
      <c r="IL227" s="926"/>
      <c r="IM227" s="926"/>
    </row>
    <row r="228" spans="1:247" x14ac:dyDescent="0.45">
      <c r="A228" s="441">
        <v>8313</v>
      </c>
      <c r="B228" s="939" t="s">
        <v>2765</v>
      </c>
      <c r="C228" s="47" t="s">
        <v>2170</v>
      </c>
      <c r="D228" s="449" t="s">
        <v>2537</v>
      </c>
      <c r="E228" s="946"/>
      <c r="F228" s="941">
        <f t="shared" si="56"/>
        <v>1.0209999999999999</v>
      </c>
      <c r="G228" s="947">
        <f>+$G$3</f>
        <v>1.0269999999999999</v>
      </c>
      <c r="H228" s="946"/>
      <c r="I228" s="948"/>
      <c r="J228" s="948"/>
      <c r="K228" s="948"/>
      <c r="L228" s="948"/>
      <c r="M228" s="948"/>
      <c r="N228" s="947"/>
      <c r="O228" s="949"/>
      <c r="P228" s="946">
        <f t="shared" si="59"/>
        <v>1.032</v>
      </c>
      <c r="Q228" s="947">
        <f t="shared" si="60"/>
        <v>1.0349999999999999</v>
      </c>
      <c r="R228" s="950">
        <f t="shared" si="57"/>
        <v>1.1199953840399997</v>
      </c>
      <c r="S228" s="926"/>
      <c r="T228" s="926"/>
      <c r="U228" s="926"/>
      <c r="V228" s="926"/>
      <c r="W228" s="926"/>
      <c r="X228" s="926"/>
      <c r="Y228" s="926"/>
      <c r="Z228" s="926"/>
      <c r="AA228" s="926"/>
      <c r="AB228" s="926"/>
      <c r="AC228" s="926"/>
      <c r="AD228" s="926"/>
      <c r="AE228" s="926"/>
      <c r="AF228" s="926"/>
      <c r="AG228" s="926"/>
      <c r="AH228" s="926"/>
      <c r="AI228" s="926"/>
      <c r="AJ228" s="926"/>
      <c r="AK228" s="926"/>
      <c r="AL228" s="926"/>
      <c r="AM228" s="926"/>
      <c r="AN228" s="926"/>
      <c r="AO228" s="926"/>
      <c r="AP228" s="926"/>
      <c r="AQ228" s="926"/>
      <c r="AR228" s="926"/>
      <c r="AS228" s="926"/>
      <c r="AT228" s="926"/>
      <c r="AU228" s="926"/>
      <c r="AV228" s="926"/>
      <c r="AW228" s="926"/>
      <c r="AX228" s="926"/>
      <c r="AY228" s="926"/>
      <c r="AZ228" s="926"/>
      <c r="BA228" s="926"/>
      <c r="BB228" s="926"/>
      <c r="BC228" s="926"/>
      <c r="BD228" s="926"/>
      <c r="BE228" s="926"/>
      <c r="BF228" s="926"/>
      <c r="BG228" s="926"/>
      <c r="BH228" s="926"/>
      <c r="BI228" s="926"/>
      <c r="BJ228" s="926"/>
      <c r="BK228" s="926"/>
      <c r="BL228" s="926"/>
      <c r="BM228" s="926"/>
      <c r="BN228" s="926"/>
      <c r="BO228" s="926"/>
      <c r="BP228" s="926"/>
      <c r="BQ228" s="926"/>
      <c r="BR228" s="926"/>
      <c r="BS228" s="926"/>
      <c r="BT228" s="926"/>
      <c r="BU228" s="926"/>
      <c r="BV228" s="926"/>
      <c r="BW228" s="926"/>
      <c r="BX228" s="926"/>
      <c r="BY228" s="926"/>
      <c r="BZ228" s="926"/>
      <c r="CA228" s="926"/>
      <c r="CB228" s="926"/>
      <c r="CC228" s="926"/>
      <c r="CD228" s="926"/>
      <c r="CE228" s="926"/>
      <c r="CF228" s="926"/>
      <c r="CG228" s="926"/>
      <c r="CH228" s="926"/>
      <c r="CI228" s="926"/>
      <c r="CJ228" s="926"/>
      <c r="CK228" s="926"/>
      <c r="CL228" s="926"/>
      <c r="CM228" s="926"/>
      <c r="CN228" s="926"/>
      <c r="CO228" s="926"/>
      <c r="CP228" s="926"/>
      <c r="CQ228" s="926"/>
      <c r="CR228" s="926"/>
      <c r="CS228" s="926"/>
      <c r="CT228" s="926"/>
      <c r="CU228" s="926"/>
      <c r="CV228" s="926"/>
      <c r="CW228" s="926"/>
      <c r="CX228" s="926"/>
      <c r="CY228" s="926"/>
      <c r="CZ228" s="926"/>
      <c r="DA228" s="926"/>
      <c r="DB228" s="926"/>
      <c r="DC228" s="926"/>
      <c r="DD228" s="926"/>
      <c r="DE228" s="926"/>
      <c r="DF228" s="926"/>
      <c r="DG228" s="926"/>
      <c r="DH228" s="926"/>
      <c r="DI228" s="926"/>
      <c r="DJ228" s="926"/>
      <c r="DK228" s="926"/>
      <c r="DL228" s="926"/>
      <c r="DM228" s="926"/>
      <c r="DN228" s="926"/>
      <c r="DO228" s="926"/>
      <c r="DP228" s="926"/>
      <c r="DQ228" s="926"/>
      <c r="DR228" s="926"/>
      <c r="DS228" s="926"/>
      <c r="DT228" s="926"/>
      <c r="DU228" s="926"/>
      <c r="DV228" s="926"/>
      <c r="DW228" s="926"/>
      <c r="DX228" s="926"/>
      <c r="DY228" s="926"/>
      <c r="DZ228" s="926"/>
      <c r="EA228" s="926"/>
      <c r="EB228" s="926"/>
      <c r="EC228" s="926"/>
      <c r="ED228" s="926"/>
      <c r="EE228" s="926"/>
      <c r="EF228" s="926"/>
      <c r="EG228" s="926"/>
      <c r="EH228" s="926"/>
      <c r="EI228" s="926"/>
      <c r="EJ228" s="926"/>
      <c r="EK228" s="926"/>
      <c r="EL228" s="926"/>
      <c r="EM228" s="926"/>
      <c r="EN228" s="926"/>
      <c r="EO228" s="926"/>
      <c r="EP228" s="926"/>
      <c r="EQ228" s="926"/>
      <c r="ER228" s="926"/>
      <c r="ES228" s="926"/>
      <c r="ET228" s="926"/>
      <c r="EU228" s="926"/>
      <c r="EV228" s="926"/>
      <c r="EW228" s="926"/>
      <c r="EX228" s="926"/>
      <c r="EY228" s="926"/>
      <c r="EZ228" s="926"/>
      <c r="FA228" s="926"/>
      <c r="FB228" s="926"/>
      <c r="FC228" s="926"/>
      <c r="FD228" s="926"/>
      <c r="FE228" s="926"/>
      <c r="FF228" s="926"/>
      <c r="FG228" s="926"/>
      <c r="FH228" s="926"/>
      <c r="FI228" s="926"/>
      <c r="FJ228" s="926"/>
      <c r="FK228" s="926"/>
      <c r="FL228" s="926"/>
      <c r="FM228" s="926"/>
      <c r="FN228" s="926"/>
      <c r="FO228" s="926"/>
      <c r="FP228" s="926"/>
      <c r="FQ228" s="926"/>
      <c r="FR228" s="926"/>
      <c r="FS228" s="926"/>
      <c r="FT228" s="926"/>
      <c r="FU228" s="926"/>
      <c r="FV228" s="926"/>
      <c r="FW228" s="926"/>
      <c r="FX228" s="926"/>
      <c r="FY228" s="926"/>
      <c r="FZ228" s="926"/>
      <c r="GA228" s="926"/>
      <c r="GB228" s="926"/>
      <c r="GC228" s="926"/>
      <c r="GD228" s="926"/>
      <c r="GE228" s="926"/>
      <c r="GF228" s="926"/>
      <c r="GG228" s="926"/>
      <c r="GH228" s="926"/>
      <c r="GI228" s="926"/>
      <c r="GJ228" s="926"/>
      <c r="GK228" s="926"/>
      <c r="GL228" s="926"/>
      <c r="GM228" s="926"/>
      <c r="GN228" s="926"/>
      <c r="GO228" s="926"/>
      <c r="GP228" s="926"/>
      <c r="GQ228" s="926"/>
      <c r="GR228" s="926"/>
      <c r="GS228" s="926"/>
      <c r="GT228" s="926"/>
      <c r="GU228" s="926"/>
      <c r="GV228" s="926"/>
      <c r="GW228" s="926"/>
      <c r="GX228" s="926"/>
      <c r="GY228" s="926"/>
      <c r="GZ228" s="926"/>
      <c r="HA228" s="926"/>
      <c r="HB228" s="926"/>
      <c r="HC228" s="926"/>
      <c r="HD228" s="926"/>
      <c r="HE228" s="926"/>
      <c r="HF228" s="926"/>
      <c r="HG228" s="926"/>
      <c r="HH228" s="926"/>
      <c r="HI228" s="926"/>
      <c r="HJ228" s="926"/>
      <c r="HK228" s="926"/>
      <c r="HL228" s="926"/>
      <c r="HM228" s="926"/>
      <c r="HN228" s="926"/>
      <c r="HO228" s="926"/>
      <c r="HP228" s="926"/>
      <c r="HQ228" s="926"/>
      <c r="HR228" s="926"/>
      <c r="HS228" s="926"/>
      <c r="HT228" s="926"/>
      <c r="HU228" s="926"/>
      <c r="HV228" s="926"/>
      <c r="HW228" s="926"/>
      <c r="HX228" s="926"/>
      <c r="HY228" s="926"/>
      <c r="HZ228" s="926"/>
      <c r="IA228" s="926"/>
      <c r="IB228" s="926"/>
      <c r="IC228" s="926"/>
      <c r="ID228" s="926"/>
      <c r="IE228" s="926"/>
      <c r="IF228" s="926"/>
      <c r="IG228" s="926"/>
      <c r="IH228" s="926"/>
      <c r="II228" s="926"/>
      <c r="IJ228" s="926"/>
      <c r="IK228" s="926"/>
      <c r="IL228" s="926"/>
      <c r="IM228" s="926"/>
    </row>
    <row r="229" spans="1:247" x14ac:dyDescent="0.45">
      <c r="A229" s="441">
        <v>8314</v>
      </c>
      <c r="B229" s="939" t="s">
        <v>2766</v>
      </c>
      <c r="C229" s="47" t="s">
        <v>163</v>
      </c>
      <c r="D229" s="449" t="s">
        <v>2537</v>
      </c>
      <c r="E229" s="946"/>
      <c r="F229" s="941">
        <f t="shared" si="56"/>
        <v>1.0209999999999999</v>
      </c>
      <c r="G229" s="947"/>
      <c r="H229" s="946"/>
      <c r="I229" s="948"/>
      <c r="J229" s="948"/>
      <c r="K229" s="948"/>
      <c r="L229" s="948"/>
      <c r="M229" s="948"/>
      <c r="N229" s="947"/>
      <c r="O229" s="949"/>
      <c r="P229" s="946">
        <f t="shared" si="59"/>
        <v>1.032</v>
      </c>
      <c r="Q229" s="947">
        <f t="shared" si="60"/>
        <v>1.0349999999999999</v>
      </c>
      <c r="R229" s="950">
        <f t="shared" si="57"/>
        <v>1.0905505199999999</v>
      </c>
      <c r="S229" s="926"/>
      <c r="T229" s="926"/>
      <c r="U229" s="926"/>
      <c r="V229" s="926"/>
      <c r="W229" s="926"/>
      <c r="X229" s="926"/>
      <c r="Y229" s="926"/>
      <c r="Z229" s="926"/>
      <c r="AA229" s="926"/>
      <c r="AB229" s="926"/>
      <c r="AC229" s="926"/>
      <c r="AD229" s="926"/>
      <c r="AE229" s="926"/>
      <c r="AF229" s="926"/>
      <c r="AG229" s="926"/>
      <c r="AH229" s="926"/>
      <c r="AI229" s="926"/>
      <c r="AJ229" s="926"/>
      <c r="AK229" s="926"/>
      <c r="AL229" s="926"/>
      <c r="AM229" s="926"/>
      <c r="AN229" s="926"/>
      <c r="AO229" s="926"/>
      <c r="AP229" s="926"/>
      <c r="AQ229" s="926"/>
      <c r="AR229" s="926"/>
      <c r="AS229" s="926"/>
      <c r="AT229" s="926"/>
      <c r="AU229" s="926"/>
      <c r="AV229" s="926"/>
      <c r="AW229" s="926"/>
      <c r="AX229" s="926"/>
      <c r="AY229" s="926"/>
      <c r="AZ229" s="926"/>
      <c r="BA229" s="926"/>
      <c r="BB229" s="926"/>
      <c r="BC229" s="926"/>
      <c r="BD229" s="926"/>
      <c r="BE229" s="926"/>
      <c r="BF229" s="926"/>
      <c r="BG229" s="926"/>
      <c r="BH229" s="926"/>
      <c r="BI229" s="926"/>
      <c r="BJ229" s="926"/>
      <c r="BK229" s="926"/>
      <c r="BL229" s="926"/>
      <c r="BM229" s="926"/>
      <c r="BN229" s="926"/>
      <c r="BO229" s="926"/>
      <c r="BP229" s="926"/>
      <c r="BQ229" s="926"/>
      <c r="BR229" s="926"/>
      <c r="BS229" s="926"/>
      <c r="BT229" s="926"/>
      <c r="BU229" s="926"/>
      <c r="BV229" s="926"/>
      <c r="BW229" s="926"/>
      <c r="BX229" s="926"/>
      <c r="BY229" s="926"/>
      <c r="BZ229" s="926"/>
      <c r="CA229" s="926"/>
      <c r="CB229" s="926"/>
      <c r="CC229" s="926"/>
      <c r="CD229" s="926"/>
      <c r="CE229" s="926"/>
      <c r="CF229" s="926"/>
      <c r="CG229" s="926"/>
      <c r="CH229" s="926"/>
      <c r="CI229" s="926"/>
      <c r="CJ229" s="926"/>
      <c r="CK229" s="926"/>
      <c r="CL229" s="926"/>
      <c r="CM229" s="926"/>
      <c r="CN229" s="926"/>
      <c r="CO229" s="926"/>
      <c r="CP229" s="926"/>
      <c r="CQ229" s="926"/>
      <c r="CR229" s="926"/>
      <c r="CS229" s="926"/>
      <c r="CT229" s="926"/>
      <c r="CU229" s="926"/>
      <c r="CV229" s="926"/>
      <c r="CW229" s="926"/>
      <c r="CX229" s="926"/>
      <c r="CY229" s="926"/>
      <c r="CZ229" s="926"/>
      <c r="DA229" s="926"/>
      <c r="DB229" s="926"/>
      <c r="DC229" s="926"/>
      <c r="DD229" s="926"/>
      <c r="DE229" s="926"/>
      <c r="DF229" s="926"/>
      <c r="DG229" s="926"/>
      <c r="DH229" s="926"/>
      <c r="DI229" s="926"/>
      <c r="DJ229" s="926"/>
      <c r="DK229" s="926"/>
      <c r="DL229" s="926"/>
      <c r="DM229" s="926"/>
      <c r="DN229" s="926"/>
      <c r="DO229" s="926"/>
      <c r="DP229" s="926"/>
      <c r="DQ229" s="926"/>
      <c r="DR229" s="926"/>
      <c r="DS229" s="926"/>
      <c r="DT229" s="926"/>
      <c r="DU229" s="926"/>
      <c r="DV229" s="926"/>
      <c r="DW229" s="926"/>
      <c r="DX229" s="926"/>
      <c r="DY229" s="926"/>
      <c r="DZ229" s="926"/>
      <c r="EA229" s="926"/>
      <c r="EB229" s="926"/>
      <c r="EC229" s="926"/>
      <c r="ED229" s="926"/>
      <c r="EE229" s="926"/>
      <c r="EF229" s="926"/>
      <c r="EG229" s="926"/>
      <c r="EH229" s="926"/>
      <c r="EI229" s="926"/>
      <c r="EJ229" s="926"/>
      <c r="EK229" s="926"/>
      <c r="EL229" s="926"/>
      <c r="EM229" s="926"/>
      <c r="EN229" s="926"/>
      <c r="EO229" s="926"/>
      <c r="EP229" s="926"/>
      <c r="EQ229" s="926"/>
      <c r="ER229" s="926"/>
      <c r="ES229" s="926"/>
      <c r="ET229" s="926"/>
      <c r="EU229" s="926"/>
      <c r="EV229" s="926"/>
      <c r="EW229" s="926"/>
      <c r="EX229" s="926"/>
      <c r="EY229" s="926"/>
      <c r="EZ229" s="926"/>
      <c r="FA229" s="926"/>
      <c r="FB229" s="926"/>
      <c r="FC229" s="926"/>
      <c r="FD229" s="926"/>
      <c r="FE229" s="926"/>
      <c r="FF229" s="926"/>
      <c r="FG229" s="926"/>
      <c r="FH229" s="926"/>
      <c r="FI229" s="926"/>
      <c r="FJ229" s="926"/>
      <c r="FK229" s="926"/>
      <c r="FL229" s="926"/>
      <c r="FM229" s="926"/>
      <c r="FN229" s="926"/>
      <c r="FO229" s="926"/>
      <c r="FP229" s="926"/>
      <c r="FQ229" s="926"/>
      <c r="FR229" s="926"/>
      <c r="FS229" s="926"/>
      <c r="FT229" s="926"/>
      <c r="FU229" s="926"/>
      <c r="FV229" s="926"/>
      <c r="FW229" s="926"/>
      <c r="FX229" s="926"/>
      <c r="FY229" s="926"/>
      <c r="FZ229" s="926"/>
      <c r="GA229" s="926"/>
      <c r="GB229" s="926"/>
      <c r="GC229" s="926"/>
      <c r="GD229" s="926"/>
      <c r="GE229" s="926"/>
      <c r="GF229" s="926"/>
      <c r="GG229" s="926"/>
      <c r="GH229" s="926"/>
      <c r="GI229" s="926"/>
      <c r="GJ229" s="926"/>
      <c r="GK229" s="926"/>
      <c r="GL229" s="926"/>
      <c r="GM229" s="926"/>
      <c r="GN229" s="926"/>
      <c r="GO229" s="926"/>
      <c r="GP229" s="926"/>
      <c r="GQ229" s="926"/>
      <c r="GR229" s="926"/>
      <c r="GS229" s="926"/>
      <c r="GT229" s="926"/>
      <c r="GU229" s="926"/>
      <c r="GV229" s="926"/>
      <c r="GW229" s="926"/>
      <c r="GX229" s="926"/>
      <c r="GY229" s="926"/>
      <c r="GZ229" s="926"/>
      <c r="HA229" s="926"/>
      <c r="HB229" s="926"/>
      <c r="HC229" s="926"/>
      <c r="HD229" s="926"/>
      <c r="HE229" s="926"/>
      <c r="HF229" s="926"/>
      <c r="HG229" s="926"/>
      <c r="HH229" s="926"/>
      <c r="HI229" s="926"/>
      <c r="HJ229" s="926"/>
      <c r="HK229" s="926"/>
      <c r="HL229" s="926"/>
      <c r="HM229" s="926"/>
      <c r="HN229" s="926"/>
      <c r="HO229" s="926"/>
      <c r="HP229" s="926"/>
      <c r="HQ229" s="926"/>
      <c r="HR229" s="926"/>
      <c r="HS229" s="926"/>
      <c r="HT229" s="926"/>
      <c r="HU229" s="926"/>
      <c r="HV229" s="926"/>
      <c r="HW229" s="926"/>
      <c r="HX229" s="926"/>
      <c r="HY229" s="926"/>
      <c r="HZ229" s="926"/>
      <c r="IA229" s="926"/>
      <c r="IB229" s="926"/>
      <c r="IC229" s="926"/>
      <c r="ID229" s="926"/>
      <c r="IE229" s="926"/>
      <c r="IF229" s="926"/>
      <c r="IG229" s="926"/>
      <c r="IH229" s="926"/>
      <c r="II229" s="926"/>
      <c r="IJ229" s="926"/>
      <c r="IK229" s="926"/>
      <c r="IL229" s="926"/>
      <c r="IM229" s="926"/>
    </row>
    <row r="230" spans="1:247" x14ac:dyDescent="0.45">
      <c r="A230" s="441">
        <v>8315</v>
      </c>
      <c r="B230" s="939" t="s">
        <v>2767</v>
      </c>
      <c r="C230" s="47" t="s">
        <v>163</v>
      </c>
      <c r="D230" s="449" t="s">
        <v>2537</v>
      </c>
      <c r="E230" s="946"/>
      <c r="F230" s="941">
        <f t="shared" si="56"/>
        <v>1.0209999999999999</v>
      </c>
      <c r="G230" s="947"/>
      <c r="H230" s="946"/>
      <c r="I230" s="948"/>
      <c r="J230" s="948"/>
      <c r="K230" s="948"/>
      <c r="L230" s="948"/>
      <c r="M230" s="948"/>
      <c r="N230" s="947"/>
      <c r="O230" s="949"/>
      <c r="P230" s="946">
        <f t="shared" si="59"/>
        <v>1.032</v>
      </c>
      <c r="Q230" s="947">
        <f t="shared" si="60"/>
        <v>1.0349999999999999</v>
      </c>
      <c r="R230" s="950">
        <f t="shared" si="57"/>
        <v>1.0905505199999999</v>
      </c>
      <c r="S230" s="926"/>
      <c r="T230" s="926"/>
      <c r="U230" s="926"/>
      <c r="V230" s="926"/>
      <c r="W230" s="926"/>
      <c r="X230" s="926"/>
      <c r="Y230" s="926"/>
      <c r="Z230" s="926"/>
      <c r="AA230" s="926"/>
      <c r="AB230" s="926"/>
      <c r="AC230" s="926"/>
      <c r="AD230" s="926"/>
      <c r="AE230" s="926"/>
      <c r="AF230" s="926"/>
      <c r="AG230" s="926"/>
      <c r="AH230" s="926"/>
      <c r="AI230" s="926"/>
      <c r="AJ230" s="926"/>
      <c r="AK230" s="926"/>
      <c r="AL230" s="926"/>
      <c r="AM230" s="926"/>
      <c r="AN230" s="926"/>
      <c r="AO230" s="926"/>
      <c r="AP230" s="926"/>
      <c r="AQ230" s="926"/>
      <c r="AR230" s="926"/>
      <c r="AS230" s="926"/>
      <c r="AT230" s="926"/>
      <c r="AU230" s="926"/>
      <c r="AV230" s="926"/>
      <c r="AW230" s="926"/>
      <c r="AX230" s="926"/>
      <c r="AY230" s="926"/>
      <c r="AZ230" s="926"/>
      <c r="BA230" s="926"/>
      <c r="BB230" s="926"/>
      <c r="BC230" s="926"/>
      <c r="BD230" s="926"/>
      <c r="BE230" s="926"/>
      <c r="BF230" s="926"/>
      <c r="BG230" s="926"/>
      <c r="BH230" s="926"/>
      <c r="BI230" s="926"/>
      <c r="BJ230" s="926"/>
      <c r="BK230" s="926"/>
      <c r="BL230" s="926"/>
      <c r="BM230" s="926"/>
      <c r="BN230" s="926"/>
      <c r="BO230" s="926"/>
      <c r="BP230" s="926"/>
      <c r="BQ230" s="926"/>
      <c r="BR230" s="926"/>
      <c r="BS230" s="926"/>
      <c r="BT230" s="926"/>
      <c r="BU230" s="926"/>
      <c r="BV230" s="926"/>
      <c r="BW230" s="926"/>
      <c r="BX230" s="926"/>
      <c r="BY230" s="926"/>
      <c r="BZ230" s="926"/>
      <c r="CA230" s="926"/>
      <c r="CB230" s="926"/>
      <c r="CC230" s="926"/>
      <c r="CD230" s="926"/>
      <c r="CE230" s="926"/>
      <c r="CF230" s="926"/>
      <c r="CG230" s="926"/>
      <c r="CH230" s="926"/>
      <c r="CI230" s="926"/>
      <c r="CJ230" s="926"/>
      <c r="CK230" s="926"/>
      <c r="CL230" s="926"/>
      <c r="CM230" s="926"/>
      <c r="CN230" s="926"/>
      <c r="CO230" s="926"/>
      <c r="CP230" s="926"/>
      <c r="CQ230" s="926"/>
      <c r="CR230" s="926"/>
      <c r="CS230" s="926"/>
      <c r="CT230" s="926"/>
      <c r="CU230" s="926"/>
      <c r="CV230" s="926"/>
      <c r="CW230" s="926"/>
      <c r="CX230" s="926"/>
      <c r="CY230" s="926"/>
      <c r="CZ230" s="926"/>
      <c r="DA230" s="926"/>
      <c r="DB230" s="926"/>
      <c r="DC230" s="926"/>
      <c r="DD230" s="926"/>
      <c r="DE230" s="926"/>
      <c r="DF230" s="926"/>
      <c r="DG230" s="926"/>
      <c r="DH230" s="926"/>
      <c r="DI230" s="926"/>
      <c r="DJ230" s="926"/>
      <c r="DK230" s="926"/>
      <c r="DL230" s="926"/>
      <c r="DM230" s="926"/>
      <c r="DN230" s="926"/>
      <c r="DO230" s="926"/>
      <c r="DP230" s="926"/>
      <c r="DQ230" s="926"/>
      <c r="DR230" s="926"/>
      <c r="DS230" s="926"/>
      <c r="DT230" s="926"/>
      <c r="DU230" s="926"/>
      <c r="DV230" s="926"/>
      <c r="DW230" s="926"/>
      <c r="DX230" s="926"/>
      <c r="DY230" s="926"/>
      <c r="DZ230" s="926"/>
      <c r="EA230" s="926"/>
      <c r="EB230" s="926"/>
      <c r="EC230" s="926"/>
      <c r="ED230" s="926"/>
      <c r="EE230" s="926"/>
      <c r="EF230" s="926"/>
      <c r="EG230" s="926"/>
      <c r="EH230" s="926"/>
      <c r="EI230" s="926"/>
      <c r="EJ230" s="926"/>
      <c r="EK230" s="926"/>
      <c r="EL230" s="926"/>
      <c r="EM230" s="926"/>
      <c r="EN230" s="926"/>
      <c r="EO230" s="926"/>
      <c r="EP230" s="926"/>
      <c r="EQ230" s="926"/>
      <c r="ER230" s="926"/>
      <c r="ES230" s="926"/>
      <c r="ET230" s="926"/>
      <c r="EU230" s="926"/>
      <c r="EV230" s="926"/>
      <c r="EW230" s="926"/>
      <c r="EX230" s="926"/>
      <c r="EY230" s="926"/>
      <c r="EZ230" s="926"/>
      <c r="FA230" s="926"/>
      <c r="FB230" s="926"/>
      <c r="FC230" s="926"/>
      <c r="FD230" s="926"/>
      <c r="FE230" s="926"/>
      <c r="FF230" s="926"/>
      <c r="FG230" s="926"/>
      <c r="FH230" s="926"/>
      <c r="FI230" s="926"/>
      <c r="FJ230" s="926"/>
      <c r="FK230" s="926"/>
      <c r="FL230" s="926"/>
      <c r="FM230" s="926"/>
      <c r="FN230" s="926"/>
      <c r="FO230" s="926"/>
      <c r="FP230" s="926"/>
      <c r="FQ230" s="926"/>
      <c r="FR230" s="926"/>
      <c r="FS230" s="926"/>
      <c r="FT230" s="926"/>
      <c r="FU230" s="926"/>
      <c r="FV230" s="926"/>
      <c r="FW230" s="926"/>
      <c r="FX230" s="926"/>
      <c r="FY230" s="926"/>
      <c r="FZ230" s="926"/>
      <c r="GA230" s="926"/>
      <c r="GB230" s="926"/>
      <c r="GC230" s="926"/>
      <c r="GD230" s="926"/>
      <c r="GE230" s="926"/>
      <c r="GF230" s="926"/>
      <c r="GG230" s="926"/>
      <c r="GH230" s="926"/>
      <c r="GI230" s="926"/>
      <c r="GJ230" s="926"/>
      <c r="GK230" s="926"/>
      <c r="GL230" s="926"/>
      <c r="GM230" s="926"/>
      <c r="GN230" s="926"/>
      <c r="GO230" s="926"/>
      <c r="GP230" s="926"/>
      <c r="GQ230" s="926"/>
      <c r="GR230" s="926"/>
      <c r="GS230" s="926"/>
      <c r="GT230" s="926"/>
      <c r="GU230" s="926"/>
      <c r="GV230" s="926"/>
      <c r="GW230" s="926"/>
      <c r="GX230" s="926"/>
      <c r="GY230" s="926"/>
      <c r="GZ230" s="926"/>
      <c r="HA230" s="926"/>
      <c r="HB230" s="926"/>
      <c r="HC230" s="926"/>
      <c r="HD230" s="926"/>
      <c r="HE230" s="926"/>
      <c r="HF230" s="926"/>
      <c r="HG230" s="926"/>
      <c r="HH230" s="926"/>
      <c r="HI230" s="926"/>
      <c r="HJ230" s="926"/>
      <c r="HK230" s="926"/>
      <c r="HL230" s="926"/>
      <c r="HM230" s="926"/>
      <c r="HN230" s="926"/>
      <c r="HO230" s="926"/>
      <c r="HP230" s="926"/>
      <c r="HQ230" s="926"/>
      <c r="HR230" s="926"/>
      <c r="HS230" s="926"/>
      <c r="HT230" s="926"/>
      <c r="HU230" s="926"/>
      <c r="HV230" s="926"/>
      <c r="HW230" s="926"/>
      <c r="HX230" s="926"/>
      <c r="HY230" s="926"/>
      <c r="HZ230" s="926"/>
      <c r="IA230" s="926"/>
      <c r="IB230" s="926"/>
      <c r="IC230" s="926"/>
      <c r="ID230" s="926"/>
      <c r="IE230" s="926"/>
      <c r="IF230" s="926"/>
      <c r="IG230" s="926"/>
      <c r="IH230" s="926"/>
      <c r="II230" s="926"/>
      <c r="IJ230" s="926"/>
      <c r="IK230" s="926"/>
      <c r="IL230" s="926"/>
      <c r="IM230" s="926"/>
    </row>
    <row r="231" spans="1:247" x14ac:dyDescent="0.45">
      <c r="A231" s="441">
        <v>8321</v>
      </c>
      <c r="B231" s="939" t="s">
        <v>2768</v>
      </c>
      <c r="C231" s="47" t="s">
        <v>113</v>
      </c>
      <c r="D231" s="449" t="s">
        <v>2540</v>
      </c>
      <c r="E231" s="946"/>
      <c r="F231" s="941">
        <f t="shared" si="56"/>
        <v>1.0209999999999999</v>
      </c>
      <c r="G231" s="947"/>
      <c r="H231" s="946"/>
      <c r="I231" s="948"/>
      <c r="J231" s="948"/>
      <c r="K231" s="948"/>
      <c r="L231" s="948"/>
      <c r="M231" s="948"/>
      <c r="N231" s="947"/>
      <c r="O231" s="949"/>
      <c r="P231" s="946">
        <f t="shared" si="59"/>
        <v>1.032</v>
      </c>
      <c r="Q231" s="947">
        <f t="shared" si="60"/>
        <v>1.0349999999999999</v>
      </c>
      <c r="R231" s="950">
        <f t="shared" si="57"/>
        <v>1.0905505199999999</v>
      </c>
      <c r="S231" s="926"/>
      <c r="T231" s="926"/>
      <c r="U231" s="926"/>
      <c r="V231" s="926"/>
      <c r="W231" s="926"/>
      <c r="X231" s="926"/>
      <c r="Y231" s="926"/>
      <c r="Z231" s="926"/>
      <c r="AA231" s="926"/>
      <c r="AB231" s="926"/>
      <c r="AC231" s="926"/>
      <c r="AD231" s="926"/>
      <c r="AE231" s="926"/>
      <c r="AF231" s="926"/>
      <c r="AG231" s="926"/>
      <c r="AH231" s="926"/>
      <c r="AI231" s="926"/>
      <c r="AJ231" s="926"/>
      <c r="AK231" s="926"/>
      <c r="AL231" s="926"/>
      <c r="AM231" s="926"/>
      <c r="AN231" s="926"/>
      <c r="AO231" s="926"/>
      <c r="AP231" s="926"/>
      <c r="AQ231" s="926"/>
      <c r="AR231" s="926"/>
      <c r="AS231" s="926"/>
      <c r="AT231" s="926"/>
      <c r="AU231" s="926"/>
      <c r="AV231" s="926"/>
      <c r="AW231" s="926"/>
      <c r="AX231" s="926"/>
      <c r="AY231" s="926"/>
      <c r="AZ231" s="926"/>
      <c r="BA231" s="926"/>
      <c r="BB231" s="926"/>
      <c r="BC231" s="926"/>
      <c r="BD231" s="926"/>
      <c r="BE231" s="926"/>
      <c r="BF231" s="926"/>
      <c r="BG231" s="926"/>
      <c r="BH231" s="926"/>
      <c r="BI231" s="926"/>
      <c r="BJ231" s="926"/>
      <c r="BK231" s="926"/>
      <c r="BL231" s="926"/>
      <c r="BM231" s="926"/>
      <c r="BN231" s="926"/>
      <c r="BO231" s="926"/>
      <c r="BP231" s="926"/>
      <c r="BQ231" s="926"/>
      <c r="BR231" s="926"/>
      <c r="BS231" s="926"/>
      <c r="BT231" s="926"/>
      <c r="BU231" s="926"/>
      <c r="BV231" s="926"/>
      <c r="BW231" s="926"/>
      <c r="BX231" s="926"/>
      <c r="BY231" s="926"/>
      <c r="BZ231" s="926"/>
      <c r="CA231" s="926"/>
      <c r="CB231" s="926"/>
      <c r="CC231" s="926"/>
      <c r="CD231" s="926"/>
      <c r="CE231" s="926"/>
      <c r="CF231" s="926"/>
      <c r="CG231" s="926"/>
      <c r="CH231" s="926"/>
      <c r="CI231" s="926"/>
      <c r="CJ231" s="926"/>
      <c r="CK231" s="926"/>
      <c r="CL231" s="926"/>
      <c r="CM231" s="926"/>
      <c r="CN231" s="926"/>
      <c r="CO231" s="926"/>
      <c r="CP231" s="926"/>
      <c r="CQ231" s="926"/>
      <c r="CR231" s="926"/>
      <c r="CS231" s="926"/>
      <c r="CT231" s="926"/>
      <c r="CU231" s="926"/>
      <c r="CV231" s="926"/>
      <c r="CW231" s="926"/>
      <c r="CX231" s="926"/>
      <c r="CY231" s="926"/>
      <c r="CZ231" s="926"/>
      <c r="DA231" s="926"/>
      <c r="DB231" s="926"/>
      <c r="DC231" s="926"/>
      <c r="DD231" s="926"/>
      <c r="DE231" s="926"/>
      <c r="DF231" s="926"/>
      <c r="DG231" s="926"/>
      <c r="DH231" s="926"/>
      <c r="DI231" s="926"/>
      <c r="DJ231" s="926"/>
      <c r="DK231" s="926"/>
      <c r="DL231" s="926"/>
      <c r="DM231" s="926"/>
      <c r="DN231" s="926"/>
      <c r="DO231" s="926"/>
      <c r="DP231" s="926"/>
      <c r="DQ231" s="926"/>
      <c r="DR231" s="926"/>
      <c r="DS231" s="926"/>
      <c r="DT231" s="926"/>
      <c r="DU231" s="926"/>
      <c r="DV231" s="926"/>
      <c r="DW231" s="926"/>
      <c r="DX231" s="926"/>
      <c r="DY231" s="926"/>
      <c r="DZ231" s="926"/>
      <c r="EA231" s="926"/>
      <c r="EB231" s="926"/>
      <c r="EC231" s="926"/>
      <c r="ED231" s="926"/>
      <c r="EE231" s="926"/>
      <c r="EF231" s="926"/>
      <c r="EG231" s="926"/>
      <c r="EH231" s="926"/>
      <c r="EI231" s="926"/>
      <c r="EJ231" s="926"/>
      <c r="EK231" s="926"/>
      <c r="EL231" s="926"/>
      <c r="EM231" s="926"/>
      <c r="EN231" s="926"/>
      <c r="EO231" s="926"/>
      <c r="EP231" s="926"/>
      <c r="EQ231" s="926"/>
      <c r="ER231" s="926"/>
      <c r="ES231" s="926"/>
      <c r="ET231" s="926"/>
      <c r="EU231" s="926"/>
      <c r="EV231" s="926"/>
      <c r="EW231" s="926"/>
      <c r="EX231" s="926"/>
      <c r="EY231" s="926"/>
      <c r="EZ231" s="926"/>
      <c r="FA231" s="926"/>
      <c r="FB231" s="926"/>
      <c r="FC231" s="926"/>
      <c r="FD231" s="926"/>
      <c r="FE231" s="926"/>
      <c r="FF231" s="926"/>
      <c r="FG231" s="926"/>
      <c r="FH231" s="926"/>
      <c r="FI231" s="926"/>
      <c r="FJ231" s="926"/>
      <c r="FK231" s="926"/>
      <c r="FL231" s="926"/>
      <c r="FM231" s="926"/>
      <c r="FN231" s="926"/>
      <c r="FO231" s="926"/>
      <c r="FP231" s="926"/>
      <c r="FQ231" s="926"/>
      <c r="FR231" s="926"/>
      <c r="FS231" s="926"/>
      <c r="FT231" s="926"/>
      <c r="FU231" s="926"/>
      <c r="FV231" s="926"/>
      <c r="FW231" s="926"/>
      <c r="FX231" s="926"/>
      <c r="FY231" s="926"/>
      <c r="FZ231" s="926"/>
      <c r="GA231" s="926"/>
      <c r="GB231" s="926"/>
      <c r="GC231" s="926"/>
      <c r="GD231" s="926"/>
      <c r="GE231" s="926"/>
      <c r="GF231" s="926"/>
      <c r="GG231" s="926"/>
      <c r="GH231" s="926"/>
      <c r="GI231" s="926"/>
      <c r="GJ231" s="926"/>
      <c r="GK231" s="926"/>
      <c r="GL231" s="926"/>
      <c r="GM231" s="926"/>
      <c r="GN231" s="926"/>
      <c r="GO231" s="926"/>
      <c r="GP231" s="926"/>
      <c r="GQ231" s="926"/>
      <c r="GR231" s="926"/>
      <c r="GS231" s="926"/>
      <c r="GT231" s="926"/>
      <c r="GU231" s="926"/>
      <c r="GV231" s="926"/>
      <c r="GW231" s="926"/>
      <c r="GX231" s="926"/>
      <c r="GY231" s="926"/>
      <c r="GZ231" s="926"/>
      <c r="HA231" s="926"/>
      <c r="HB231" s="926"/>
      <c r="HC231" s="926"/>
      <c r="HD231" s="926"/>
      <c r="HE231" s="926"/>
      <c r="HF231" s="926"/>
      <c r="HG231" s="926"/>
      <c r="HH231" s="926"/>
      <c r="HI231" s="926"/>
      <c r="HJ231" s="926"/>
      <c r="HK231" s="926"/>
      <c r="HL231" s="926"/>
      <c r="HM231" s="926"/>
      <c r="HN231" s="926"/>
      <c r="HO231" s="926"/>
      <c r="HP231" s="926"/>
      <c r="HQ231" s="926"/>
      <c r="HR231" s="926"/>
      <c r="HS231" s="926"/>
      <c r="HT231" s="926"/>
      <c r="HU231" s="926"/>
      <c r="HV231" s="926"/>
      <c r="HW231" s="926"/>
      <c r="HX231" s="926"/>
      <c r="HY231" s="926"/>
      <c r="HZ231" s="926"/>
      <c r="IA231" s="926"/>
      <c r="IB231" s="926"/>
      <c r="IC231" s="926"/>
      <c r="ID231" s="926"/>
      <c r="IE231" s="926"/>
      <c r="IF231" s="926"/>
      <c r="IG231" s="926"/>
      <c r="IH231" s="926"/>
      <c r="II231" s="926"/>
      <c r="IJ231" s="926"/>
      <c r="IK231" s="926"/>
      <c r="IL231" s="926"/>
      <c r="IM231" s="926"/>
    </row>
    <row r="232" spans="1:247" x14ac:dyDescent="0.45">
      <c r="A232" s="441">
        <v>8331</v>
      </c>
      <c r="B232" s="939" t="s">
        <v>2769</v>
      </c>
      <c r="C232" s="47" t="s">
        <v>88</v>
      </c>
      <c r="D232" s="449" t="s">
        <v>2537</v>
      </c>
      <c r="E232" s="946"/>
      <c r="F232" s="941">
        <f t="shared" si="56"/>
        <v>1.0209999999999999</v>
      </c>
      <c r="G232" s="947">
        <f>+$G$3</f>
        <v>1.0269999999999999</v>
      </c>
      <c r="H232" s="946"/>
      <c r="I232" s="948"/>
      <c r="J232" s="948"/>
      <c r="K232" s="948"/>
      <c r="L232" s="948"/>
      <c r="M232" s="948"/>
      <c r="N232" s="947"/>
      <c r="O232" s="949"/>
      <c r="P232" s="946"/>
      <c r="Q232" s="947"/>
      <c r="R232" s="950">
        <f t="shared" si="57"/>
        <v>1.0485669999999998</v>
      </c>
      <c r="S232" s="926"/>
      <c r="T232" s="926"/>
      <c r="U232" s="926"/>
      <c r="V232" s="926"/>
      <c r="W232" s="926"/>
      <c r="X232" s="926"/>
      <c r="Y232" s="926"/>
      <c r="Z232" s="926"/>
      <c r="AA232" s="926"/>
      <c r="AB232" s="926"/>
      <c r="AC232" s="926"/>
      <c r="AD232" s="926"/>
      <c r="AE232" s="926"/>
      <c r="AF232" s="926"/>
      <c r="AG232" s="926"/>
      <c r="AH232" s="926"/>
      <c r="AI232" s="926"/>
      <c r="AJ232" s="926"/>
      <c r="AK232" s="926"/>
      <c r="AL232" s="926"/>
      <c r="AM232" s="926"/>
      <c r="AN232" s="926"/>
      <c r="AO232" s="926"/>
      <c r="AP232" s="926"/>
      <c r="AQ232" s="926"/>
      <c r="AR232" s="926"/>
      <c r="AS232" s="926"/>
      <c r="AT232" s="926"/>
      <c r="AU232" s="926"/>
      <c r="AV232" s="926"/>
      <c r="AW232" s="926"/>
      <c r="AX232" s="926"/>
      <c r="AY232" s="926"/>
      <c r="AZ232" s="926"/>
      <c r="BA232" s="926"/>
      <c r="BB232" s="926"/>
      <c r="BC232" s="926"/>
      <c r="BD232" s="926"/>
      <c r="BE232" s="926"/>
      <c r="BF232" s="926"/>
      <c r="BG232" s="926"/>
      <c r="BH232" s="926"/>
      <c r="BI232" s="926"/>
      <c r="BJ232" s="926"/>
      <c r="BK232" s="926"/>
      <c r="BL232" s="926"/>
      <c r="BM232" s="926"/>
      <c r="BN232" s="926"/>
      <c r="BO232" s="926"/>
      <c r="BP232" s="926"/>
      <c r="BQ232" s="926"/>
      <c r="BR232" s="926"/>
      <c r="BS232" s="926"/>
      <c r="BT232" s="926"/>
      <c r="BU232" s="926"/>
      <c r="BV232" s="926"/>
      <c r="BW232" s="926"/>
      <c r="BX232" s="926"/>
      <c r="BY232" s="926"/>
      <c r="BZ232" s="926"/>
      <c r="CA232" s="926"/>
      <c r="CB232" s="926"/>
      <c r="CC232" s="926"/>
      <c r="CD232" s="926"/>
      <c r="CE232" s="926"/>
      <c r="CF232" s="926"/>
      <c r="CG232" s="926"/>
      <c r="CH232" s="926"/>
      <c r="CI232" s="926"/>
      <c r="CJ232" s="926"/>
      <c r="CK232" s="926"/>
      <c r="CL232" s="926"/>
      <c r="CM232" s="926"/>
      <c r="CN232" s="926"/>
      <c r="CO232" s="926"/>
      <c r="CP232" s="926"/>
      <c r="CQ232" s="926"/>
      <c r="CR232" s="926"/>
      <c r="CS232" s="926"/>
      <c r="CT232" s="926"/>
      <c r="CU232" s="926"/>
      <c r="CV232" s="926"/>
      <c r="CW232" s="926"/>
      <c r="CX232" s="926"/>
      <c r="CY232" s="926"/>
      <c r="CZ232" s="926"/>
      <c r="DA232" s="926"/>
      <c r="DB232" s="926"/>
      <c r="DC232" s="926"/>
      <c r="DD232" s="926"/>
      <c r="DE232" s="926"/>
      <c r="DF232" s="926"/>
      <c r="DG232" s="926"/>
      <c r="DH232" s="926"/>
      <c r="DI232" s="926"/>
      <c r="DJ232" s="926"/>
      <c r="DK232" s="926"/>
      <c r="DL232" s="926"/>
      <c r="DM232" s="926"/>
      <c r="DN232" s="926"/>
      <c r="DO232" s="926"/>
      <c r="DP232" s="926"/>
      <c r="DQ232" s="926"/>
      <c r="DR232" s="926"/>
      <c r="DS232" s="926"/>
      <c r="DT232" s="926"/>
      <c r="DU232" s="926"/>
      <c r="DV232" s="926"/>
      <c r="DW232" s="926"/>
      <c r="DX232" s="926"/>
      <c r="DY232" s="926"/>
      <c r="DZ232" s="926"/>
      <c r="EA232" s="926"/>
      <c r="EB232" s="926"/>
      <c r="EC232" s="926"/>
      <c r="ED232" s="926"/>
      <c r="EE232" s="926"/>
      <c r="EF232" s="926"/>
      <c r="EG232" s="926"/>
      <c r="EH232" s="926"/>
      <c r="EI232" s="926"/>
      <c r="EJ232" s="926"/>
      <c r="EK232" s="926"/>
      <c r="EL232" s="926"/>
      <c r="EM232" s="926"/>
      <c r="EN232" s="926"/>
      <c r="EO232" s="926"/>
      <c r="EP232" s="926"/>
      <c r="EQ232" s="926"/>
      <c r="ER232" s="926"/>
      <c r="ES232" s="926"/>
      <c r="ET232" s="926"/>
      <c r="EU232" s="926"/>
      <c r="EV232" s="926"/>
      <c r="EW232" s="926"/>
      <c r="EX232" s="926"/>
      <c r="EY232" s="926"/>
      <c r="EZ232" s="926"/>
      <c r="FA232" s="926"/>
      <c r="FB232" s="926"/>
      <c r="FC232" s="926"/>
      <c r="FD232" s="926"/>
      <c r="FE232" s="926"/>
      <c r="FF232" s="926"/>
      <c r="FG232" s="926"/>
      <c r="FH232" s="926"/>
      <c r="FI232" s="926"/>
      <c r="FJ232" s="926"/>
      <c r="FK232" s="926"/>
      <c r="FL232" s="926"/>
      <c r="FM232" s="926"/>
      <c r="FN232" s="926"/>
      <c r="FO232" s="926"/>
      <c r="FP232" s="926"/>
      <c r="FQ232" s="926"/>
      <c r="FR232" s="926"/>
      <c r="FS232" s="926"/>
      <c r="FT232" s="926"/>
      <c r="FU232" s="926"/>
      <c r="FV232" s="926"/>
      <c r="FW232" s="926"/>
      <c r="FX232" s="926"/>
      <c r="FY232" s="926"/>
      <c r="FZ232" s="926"/>
      <c r="GA232" s="926"/>
      <c r="GB232" s="926"/>
      <c r="GC232" s="926"/>
      <c r="GD232" s="926"/>
      <c r="GE232" s="926"/>
      <c r="GF232" s="926"/>
      <c r="GG232" s="926"/>
      <c r="GH232" s="926"/>
      <c r="GI232" s="926"/>
      <c r="GJ232" s="926"/>
      <c r="GK232" s="926"/>
      <c r="GL232" s="926"/>
      <c r="GM232" s="926"/>
      <c r="GN232" s="926"/>
      <c r="GO232" s="926"/>
      <c r="GP232" s="926"/>
      <c r="GQ232" s="926"/>
      <c r="GR232" s="926"/>
      <c r="GS232" s="926"/>
      <c r="GT232" s="926"/>
      <c r="GU232" s="926"/>
      <c r="GV232" s="926"/>
      <c r="GW232" s="926"/>
      <c r="GX232" s="926"/>
      <c r="GY232" s="926"/>
      <c r="GZ232" s="926"/>
      <c r="HA232" s="926"/>
      <c r="HB232" s="926"/>
      <c r="HC232" s="926"/>
      <c r="HD232" s="926"/>
      <c r="HE232" s="926"/>
      <c r="HF232" s="926"/>
      <c r="HG232" s="926"/>
      <c r="HH232" s="926"/>
      <c r="HI232" s="926"/>
      <c r="HJ232" s="926"/>
      <c r="HK232" s="926"/>
      <c r="HL232" s="926"/>
      <c r="HM232" s="926"/>
      <c r="HN232" s="926"/>
      <c r="HO232" s="926"/>
      <c r="HP232" s="926"/>
      <c r="HQ232" s="926"/>
      <c r="HR232" s="926"/>
      <c r="HS232" s="926"/>
      <c r="HT232" s="926"/>
      <c r="HU232" s="926"/>
      <c r="HV232" s="926"/>
      <c r="HW232" s="926"/>
      <c r="HX232" s="926"/>
      <c r="HY232" s="926"/>
      <c r="HZ232" s="926"/>
      <c r="IA232" s="926"/>
      <c r="IB232" s="926"/>
      <c r="IC232" s="926"/>
      <c r="ID232" s="926"/>
      <c r="IE232" s="926"/>
      <c r="IF232" s="926"/>
      <c r="IG232" s="926"/>
      <c r="IH232" s="926"/>
      <c r="II232" s="926"/>
      <c r="IJ232" s="926"/>
      <c r="IK232" s="926"/>
      <c r="IL232" s="926"/>
      <c r="IM232" s="926"/>
    </row>
    <row r="233" spans="1:247" x14ac:dyDescent="0.45">
      <c r="A233" s="441">
        <v>8332</v>
      </c>
      <c r="B233" s="939" t="s">
        <v>2770</v>
      </c>
      <c r="C233" s="47" t="s">
        <v>1256</v>
      </c>
      <c r="D233" s="449" t="s">
        <v>2537</v>
      </c>
      <c r="E233" s="946"/>
      <c r="F233" s="941">
        <f t="shared" si="56"/>
        <v>1.0209999999999999</v>
      </c>
      <c r="G233" s="947">
        <f>+$G$3</f>
        <v>1.0269999999999999</v>
      </c>
      <c r="H233" s="946"/>
      <c r="I233" s="948"/>
      <c r="J233" s="948"/>
      <c r="K233" s="948"/>
      <c r="L233" s="948"/>
      <c r="M233" s="948"/>
      <c r="N233" s="947"/>
      <c r="O233" s="949"/>
      <c r="P233" s="946">
        <f>+$P$3</f>
        <v>1.032</v>
      </c>
      <c r="Q233" s="947">
        <f>+$Q$3</f>
        <v>1.0349999999999999</v>
      </c>
      <c r="R233" s="950">
        <f t="shared" si="57"/>
        <v>1.1199953840399997</v>
      </c>
      <c r="S233" s="926"/>
      <c r="T233" s="926"/>
      <c r="U233" s="926"/>
      <c r="V233" s="926"/>
      <c r="W233" s="926"/>
      <c r="X233" s="926"/>
      <c r="Y233" s="926"/>
      <c r="Z233" s="926"/>
      <c r="AA233" s="926"/>
      <c r="AB233" s="926"/>
      <c r="AC233" s="926"/>
      <c r="AD233" s="926"/>
      <c r="AE233" s="926"/>
      <c r="AF233" s="926"/>
      <c r="AG233" s="926"/>
      <c r="AH233" s="926"/>
      <c r="AI233" s="926"/>
      <c r="AJ233" s="926"/>
      <c r="AK233" s="926"/>
      <c r="AL233" s="926"/>
      <c r="AM233" s="926"/>
      <c r="AN233" s="926"/>
      <c r="AO233" s="926"/>
      <c r="AP233" s="926"/>
      <c r="AQ233" s="926"/>
      <c r="AR233" s="926"/>
      <c r="AS233" s="926"/>
      <c r="AT233" s="926"/>
      <c r="AU233" s="926"/>
      <c r="AV233" s="926"/>
      <c r="AW233" s="926"/>
      <c r="AX233" s="926"/>
      <c r="AY233" s="926"/>
      <c r="AZ233" s="926"/>
      <c r="BA233" s="926"/>
      <c r="BB233" s="926"/>
      <c r="BC233" s="926"/>
      <c r="BD233" s="926"/>
      <c r="BE233" s="926"/>
      <c r="BF233" s="926"/>
      <c r="BG233" s="926"/>
      <c r="BH233" s="926"/>
      <c r="BI233" s="926"/>
      <c r="BJ233" s="926"/>
      <c r="BK233" s="926"/>
      <c r="BL233" s="926"/>
      <c r="BM233" s="926"/>
      <c r="BN233" s="926"/>
      <c r="BO233" s="926"/>
      <c r="BP233" s="926"/>
      <c r="BQ233" s="926"/>
      <c r="BR233" s="926"/>
      <c r="BS233" s="926"/>
      <c r="BT233" s="926"/>
      <c r="BU233" s="926"/>
      <c r="BV233" s="926"/>
      <c r="BW233" s="926"/>
      <c r="BX233" s="926"/>
      <c r="BY233" s="926"/>
      <c r="BZ233" s="926"/>
      <c r="CA233" s="926"/>
      <c r="CB233" s="926"/>
      <c r="CC233" s="926"/>
      <c r="CD233" s="926"/>
      <c r="CE233" s="926"/>
      <c r="CF233" s="926"/>
      <c r="CG233" s="926"/>
      <c r="CH233" s="926"/>
      <c r="CI233" s="926"/>
      <c r="CJ233" s="926"/>
      <c r="CK233" s="926"/>
      <c r="CL233" s="926"/>
      <c r="CM233" s="926"/>
      <c r="CN233" s="926"/>
      <c r="CO233" s="926"/>
      <c r="CP233" s="926"/>
      <c r="CQ233" s="926"/>
      <c r="CR233" s="926"/>
      <c r="CS233" s="926"/>
      <c r="CT233" s="926"/>
      <c r="CU233" s="926"/>
      <c r="CV233" s="926"/>
      <c r="CW233" s="926"/>
      <c r="CX233" s="926"/>
      <c r="CY233" s="926"/>
      <c r="CZ233" s="926"/>
      <c r="DA233" s="926"/>
      <c r="DB233" s="926"/>
      <c r="DC233" s="926"/>
      <c r="DD233" s="926"/>
      <c r="DE233" s="926"/>
      <c r="DF233" s="926"/>
      <c r="DG233" s="926"/>
      <c r="DH233" s="926"/>
      <c r="DI233" s="926"/>
      <c r="DJ233" s="926"/>
      <c r="DK233" s="926"/>
      <c r="DL233" s="926"/>
      <c r="DM233" s="926"/>
      <c r="DN233" s="926"/>
      <c r="DO233" s="926"/>
      <c r="DP233" s="926"/>
      <c r="DQ233" s="926"/>
      <c r="DR233" s="926"/>
      <c r="DS233" s="926"/>
      <c r="DT233" s="926"/>
      <c r="DU233" s="926"/>
      <c r="DV233" s="926"/>
      <c r="DW233" s="926"/>
      <c r="DX233" s="926"/>
      <c r="DY233" s="926"/>
      <c r="DZ233" s="926"/>
      <c r="EA233" s="926"/>
      <c r="EB233" s="926"/>
      <c r="EC233" s="926"/>
      <c r="ED233" s="926"/>
      <c r="EE233" s="926"/>
      <c r="EF233" s="926"/>
      <c r="EG233" s="926"/>
      <c r="EH233" s="926"/>
      <c r="EI233" s="926"/>
      <c r="EJ233" s="926"/>
      <c r="EK233" s="926"/>
      <c r="EL233" s="926"/>
      <c r="EM233" s="926"/>
      <c r="EN233" s="926"/>
      <c r="EO233" s="926"/>
      <c r="EP233" s="926"/>
      <c r="EQ233" s="926"/>
      <c r="ER233" s="926"/>
      <c r="ES233" s="926"/>
      <c r="ET233" s="926"/>
      <c r="EU233" s="926"/>
      <c r="EV233" s="926"/>
      <c r="EW233" s="926"/>
      <c r="EX233" s="926"/>
      <c r="EY233" s="926"/>
      <c r="EZ233" s="926"/>
      <c r="FA233" s="926"/>
      <c r="FB233" s="926"/>
      <c r="FC233" s="926"/>
      <c r="FD233" s="926"/>
      <c r="FE233" s="926"/>
      <c r="FF233" s="926"/>
      <c r="FG233" s="926"/>
      <c r="FH233" s="926"/>
      <c r="FI233" s="926"/>
      <c r="FJ233" s="926"/>
      <c r="FK233" s="926"/>
      <c r="FL233" s="926"/>
      <c r="FM233" s="926"/>
      <c r="FN233" s="926"/>
      <c r="FO233" s="926"/>
      <c r="FP233" s="926"/>
      <c r="FQ233" s="926"/>
      <c r="FR233" s="926"/>
      <c r="FS233" s="926"/>
      <c r="FT233" s="926"/>
      <c r="FU233" s="926"/>
      <c r="FV233" s="926"/>
      <c r="FW233" s="926"/>
      <c r="FX233" s="926"/>
      <c r="FY233" s="926"/>
      <c r="FZ233" s="926"/>
      <c r="GA233" s="926"/>
      <c r="GB233" s="926"/>
      <c r="GC233" s="926"/>
      <c r="GD233" s="926"/>
      <c r="GE233" s="926"/>
      <c r="GF233" s="926"/>
      <c r="GG233" s="926"/>
      <c r="GH233" s="926"/>
      <c r="GI233" s="926"/>
      <c r="GJ233" s="926"/>
      <c r="GK233" s="926"/>
      <c r="GL233" s="926"/>
      <c r="GM233" s="926"/>
      <c r="GN233" s="926"/>
      <c r="GO233" s="926"/>
      <c r="GP233" s="926"/>
      <c r="GQ233" s="926"/>
      <c r="GR233" s="926"/>
      <c r="GS233" s="926"/>
      <c r="GT233" s="926"/>
      <c r="GU233" s="926"/>
      <c r="GV233" s="926"/>
      <c r="GW233" s="926"/>
      <c r="GX233" s="926"/>
      <c r="GY233" s="926"/>
      <c r="GZ233" s="926"/>
      <c r="HA233" s="926"/>
      <c r="HB233" s="926"/>
      <c r="HC233" s="926"/>
      <c r="HD233" s="926"/>
      <c r="HE233" s="926"/>
      <c r="HF233" s="926"/>
      <c r="HG233" s="926"/>
      <c r="HH233" s="926"/>
      <c r="HI233" s="926"/>
      <c r="HJ233" s="926"/>
      <c r="HK233" s="926"/>
      <c r="HL233" s="926"/>
      <c r="HM233" s="926"/>
      <c r="HN233" s="926"/>
      <c r="HO233" s="926"/>
      <c r="HP233" s="926"/>
      <c r="HQ233" s="926"/>
      <c r="HR233" s="926"/>
      <c r="HS233" s="926"/>
      <c r="HT233" s="926"/>
      <c r="HU233" s="926"/>
      <c r="HV233" s="926"/>
      <c r="HW233" s="926"/>
      <c r="HX233" s="926"/>
      <c r="HY233" s="926"/>
      <c r="HZ233" s="926"/>
      <c r="IA233" s="926"/>
      <c r="IB233" s="926"/>
      <c r="IC233" s="926"/>
      <c r="ID233" s="926"/>
      <c r="IE233" s="926"/>
      <c r="IF233" s="926"/>
      <c r="IG233" s="926"/>
      <c r="IH233" s="926"/>
      <c r="II233" s="926"/>
      <c r="IJ233" s="926"/>
      <c r="IK233" s="926"/>
      <c r="IL233" s="926"/>
      <c r="IM233" s="926"/>
    </row>
    <row r="234" spans="1:247" x14ac:dyDescent="0.45">
      <c r="A234" s="441">
        <v>8333</v>
      </c>
      <c r="B234" s="939" t="s">
        <v>2771</v>
      </c>
      <c r="C234" s="47" t="s">
        <v>672</v>
      </c>
      <c r="D234" s="449" t="s">
        <v>2537</v>
      </c>
      <c r="E234" s="946"/>
      <c r="F234" s="941">
        <f t="shared" si="56"/>
        <v>1.0209999999999999</v>
      </c>
      <c r="G234" s="947">
        <f>+$G$3</f>
        <v>1.0269999999999999</v>
      </c>
      <c r="H234" s="946"/>
      <c r="I234" s="948"/>
      <c r="J234" s="948"/>
      <c r="K234" s="948"/>
      <c r="L234" s="948"/>
      <c r="M234" s="948"/>
      <c r="N234" s="947"/>
      <c r="O234" s="949"/>
      <c r="P234" s="946">
        <f>+$P$3</f>
        <v>1.032</v>
      </c>
      <c r="Q234" s="947">
        <f>+$Q$3</f>
        <v>1.0349999999999999</v>
      </c>
      <c r="R234" s="950">
        <f t="shared" si="57"/>
        <v>1.1199953840399997</v>
      </c>
      <c r="S234" s="926"/>
      <c r="T234" s="926"/>
      <c r="U234" s="926"/>
      <c r="V234" s="926"/>
      <c r="W234" s="926"/>
      <c r="X234" s="926"/>
      <c r="Y234" s="926"/>
      <c r="Z234" s="926"/>
      <c r="AA234" s="926"/>
      <c r="AB234" s="926"/>
      <c r="AC234" s="926"/>
      <c r="AD234" s="926"/>
      <c r="AE234" s="926"/>
      <c r="AF234" s="926"/>
      <c r="AG234" s="926"/>
      <c r="AH234" s="926"/>
      <c r="AI234" s="926"/>
      <c r="AJ234" s="926"/>
      <c r="AK234" s="926"/>
      <c r="AL234" s="926"/>
      <c r="AM234" s="926"/>
      <c r="AN234" s="926"/>
      <c r="AO234" s="926"/>
      <c r="AP234" s="926"/>
      <c r="AQ234" s="926"/>
      <c r="AR234" s="926"/>
      <c r="AS234" s="926"/>
      <c r="AT234" s="926"/>
      <c r="AU234" s="926"/>
      <c r="AV234" s="926"/>
      <c r="AW234" s="926"/>
      <c r="AX234" s="926"/>
      <c r="AY234" s="926"/>
      <c r="AZ234" s="926"/>
      <c r="BA234" s="926"/>
      <c r="BB234" s="926"/>
      <c r="BC234" s="926"/>
      <c r="BD234" s="926"/>
      <c r="BE234" s="926"/>
      <c r="BF234" s="926"/>
      <c r="BG234" s="926"/>
      <c r="BH234" s="926"/>
      <c r="BI234" s="926"/>
      <c r="BJ234" s="926"/>
      <c r="BK234" s="926"/>
      <c r="BL234" s="926"/>
      <c r="BM234" s="926"/>
      <c r="BN234" s="926"/>
      <c r="BO234" s="926"/>
      <c r="BP234" s="926"/>
      <c r="BQ234" s="926"/>
      <c r="BR234" s="926"/>
      <c r="BS234" s="926"/>
      <c r="BT234" s="926"/>
      <c r="BU234" s="926"/>
      <c r="BV234" s="926"/>
      <c r="BW234" s="926"/>
      <c r="BX234" s="926"/>
      <c r="BY234" s="926"/>
      <c r="BZ234" s="926"/>
      <c r="CA234" s="926"/>
      <c r="CB234" s="926"/>
      <c r="CC234" s="926"/>
      <c r="CD234" s="926"/>
      <c r="CE234" s="926"/>
      <c r="CF234" s="926"/>
      <c r="CG234" s="926"/>
      <c r="CH234" s="926"/>
      <c r="CI234" s="926"/>
      <c r="CJ234" s="926"/>
      <c r="CK234" s="926"/>
      <c r="CL234" s="926"/>
      <c r="CM234" s="926"/>
      <c r="CN234" s="926"/>
      <c r="CO234" s="926"/>
      <c r="CP234" s="926"/>
      <c r="CQ234" s="926"/>
      <c r="CR234" s="926"/>
      <c r="CS234" s="926"/>
      <c r="CT234" s="926"/>
      <c r="CU234" s="926"/>
      <c r="CV234" s="926"/>
      <c r="CW234" s="926"/>
      <c r="CX234" s="926"/>
      <c r="CY234" s="926"/>
      <c r="CZ234" s="926"/>
      <c r="DA234" s="926"/>
      <c r="DB234" s="926"/>
      <c r="DC234" s="926"/>
      <c r="DD234" s="926"/>
      <c r="DE234" s="926"/>
      <c r="DF234" s="926"/>
      <c r="DG234" s="926"/>
      <c r="DH234" s="926"/>
      <c r="DI234" s="926"/>
      <c r="DJ234" s="926"/>
      <c r="DK234" s="926"/>
      <c r="DL234" s="926"/>
      <c r="DM234" s="926"/>
      <c r="DN234" s="926"/>
      <c r="DO234" s="926"/>
      <c r="DP234" s="926"/>
      <c r="DQ234" s="926"/>
      <c r="DR234" s="926"/>
      <c r="DS234" s="926"/>
      <c r="DT234" s="926"/>
      <c r="DU234" s="926"/>
      <c r="DV234" s="926"/>
      <c r="DW234" s="926"/>
      <c r="DX234" s="926"/>
      <c r="DY234" s="926"/>
      <c r="DZ234" s="926"/>
      <c r="EA234" s="926"/>
      <c r="EB234" s="926"/>
      <c r="EC234" s="926"/>
      <c r="ED234" s="926"/>
      <c r="EE234" s="926"/>
      <c r="EF234" s="926"/>
      <c r="EG234" s="926"/>
      <c r="EH234" s="926"/>
      <c r="EI234" s="926"/>
      <c r="EJ234" s="926"/>
      <c r="EK234" s="926"/>
      <c r="EL234" s="926"/>
      <c r="EM234" s="926"/>
      <c r="EN234" s="926"/>
      <c r="EO234" s="926"/>
      <c r="EP234" s="926"/>
      <c r="EQ234" s="926"/>
      <c r="ER234" s="926"/>
      <c r="ES234" s="926"/>
      <c r="ET234" s="926"/>
      <c r="EU234" s="926"/>
      <c r="EV234" s="926"/>
      <c r="EW234" s="926"/>
      <c r="EX234" s="926"/>
      <c r="EY234" s="926"/>
      <c r="EZ234" s="926"/>
      <c r="FA234" s="926"/>
      <c r="FB234" s="926"/>
      <c r="FC234" s="926"/>
      <c r="FD234" s="926"/>
      <c r="FE234" s="926"/>
      <c r="FF234" s="926"/>
      <c r="FG234" s="926"/>
      <c r="FH234" s="926"/>
      <c r="FI234" s="926"/>
      <c r="FJ234" s="926"/>
      <c r="FK234" s="926"/>
      <c r="FL234" s="926"/>
      <c r="FM234" s="926"/>
      <c r="FN234" s="926"/>
      <c r="FO234" s="926"/>
      <c r="FP234" s="926"/>
      <c r="FQ234" s="926"/>
      <c r="FR234" s="926"/>
      <c r="FS234" s="926"/>
      <c r="FT234" s="926"/>
      <c r="FU234" s="926"/>
      <c r="FV234" s="926"/>
      <c r="FW234" s="926"/>
      <c r="FX234" s="926"/>
      <c r="FY234" s="926"/>
      <c r="FZ234" s="926"/>
      <c r="GA234" s="926"/>
      <c r="GB234" s="926"/>
      <c r="GC234" s="926"/>
      <c r="GD234" s="926"/>
      <c r="GE234" s="926"/>
      <c r="GF234" s="926"/>
      <c r="GG234" s="926"/>
      <c r="GH234" s="926"/>
      <c r="GI234" s="926"/>
      <c r="GJ234" s="926"/>
      <c r="GK234" s="926"/>
      <c r="GL234" s="926"/>
      <c r="GM234" s="926"/>
      <c r="GN234" s="926"/>
      <c r="GO234" s="926"/>
      <c r="GP234" s="926"/>
      <c r="GQ234" s="926"/>
      <c r="GR234" s="926"/>
      <c r="GS234" s="926"/>
      <c r="GT234" s="926"/>
      <c r="GU234" s="926"/>
      <c r="GV234" s="926"/>
      <c r="GW234" s="926"/>
      <c r="GX234" s="926"/>
      <c r="GY234" s="926"/>
      <c r="GZ234" s="926"/>
      <c r="HA234" s="926"/>
      <c r="HB234" s="926"/>
      <c r="HC234" s="926"/>
      <c r="HD234" s="926"/>
      <c r="HE234" s="926"/>
      <c r="HF234" s="926"/>
      <c r="HG234" s="926"/>
      <c r="HH234" s="926"/>
      <c r="HI234" s="926"/>
      <c r="HJ234" s="926"/>
      <c r="HK234" s="926"/>
      <c r="HL234" s="926"/>
      <c r="HM234" s="926"/>
      <c r="HN234" s="926"/>
      <c r="HO234" s="926"/>
      <c r="HP234" s="926"/>
      <c r="HQ234" s="926"/>
      <c r="HR234" s="926"/>
      <c r="HS234" s="926"/>
      <c r="HT234" s="926"/>
      <c r="HU234" s="926"/>
      <c r="HV234" s="926"/>
      <c r="HW234" s="926"/>
      <c r="HX234" s="926"/>
      <c r="HY234" s="926"/>
      <c r="HZ234" s="926"/>
      <c r="IA234" s="926"/>
      <c r="IB234" s="926"/>
      <c r="IC234" s="926"/>
      <c r="ID234" s="926"/>
      <c r="IE234" s="926"/>
      <c r="IF234" s="926"/>
      <c r="IG234" s="926"/>
      <c r="IH234" s="926"/>
      <c r="II234" s="926"/>
      <c r="IJ234" s="926"/>
      <c r="IK234" s="926"/>
      <c r="IL234" s="926"/>
      <c r="IM234" s="926"/>
    </row>
    <row r="235" spans="1:247" x14ac:dyDescent="0.45">
      <c r="A235" s="441">
        <v>8334</v>
      </c>
      <c r="B235" s="939" t="s">
        <v>2772</v>
      </c>
      <c r="C235" s="47" t="s">
        <v>672</v>
      </c>
      <c r="D235" s="449" t="s">
        <v>2537</v>
      </c>
      <c r="E235" s="946"/>
      <c r="F235" s="941">
        <f t="shared" si="56"/>
        <v>1.0209999999999999</v>
      </c>
      <c r="G235" s="947">
        <f>+$G$3</f>
        <v>1.0269999999999999</v>
      </c>
      <c r="H235" s="946"/>
      <c r="I235" s="948"/>
      <c r="J235" s="948"/>
      <c r="K235" s="948"/>
      <c r="L235" s="948"/>
      <c r="M235" s="948"/>
      <c r="N235" s="947"/>
      <c r="O235" s="949"/>
      <c r="P235" s="946">
        <f>+$P$3</f>
        <v>1.032</v>
      </c>
      <c r="Q235" s="947">
        <f>+$Q$3</f>
        <v>1.0349999999999999</v>
      </c>
      <c r="R235" s="950">
        <f t="shared" si="57"/>
        <v>1.1199953840399997</v>
      </c>
      <c r="S235" s="926"/>
      <c r="T235" s="926"/>
      <c r="U235" s="926"/>
      <c r="V235" s="926"/>
      <c r="W235" s="926"/>
      <c r="X235" s="926"/>
      <c r="Y235" s="926"/>
      <c r="Z235" s="926"/>
      <c r="AA235" s="926"/>
      <c r="AB235" s="926"/>
      <c r="AC235" s="926"/>
      <c r="AD235" s="926"/>
      <c r="AE235" s="926"/>
      <c r="AF235" s="926"/>
      <c r="AG235" s="926"/>
      <c r="AH235" s="926"/>
      <c r="AI235" s="926"/>
      <c r="AJ235" s="926"/>
      <c r="AK235" s="926"/>
      <c r="AL235" s="926"/>
      <c r="AM235" s="926"/>
      <c r="AN235" s="926"/>
      <c r="AO235" s="926"/>
      <c r="AP235" s="926"/>
      <c r="AQ235" s="926"/>
      <c r="AR235" s="926"/>
      <c r="AS235" s="926"/>
      <c r="AT235" s="926"/>
      <c r="AU235" s="926"/>
      <c r="AV235" s="926"/>
      <c r="AW235" s="926"/>
      <c r="AX235" s="926"/>
      <c r="AY235" s="926"/>
      <c r="AZ235" s="926"/>
      <c r="BA235" s="926"/>
      <c r="BB235" s="926"/>
      <c r="BC235" s="926"/>
      <c r="BD235" s="926"/>
      <c r="BE235" s="926"/>
      <c r="BF235" s="926"/>
      <c r="BG235" s="926"/>
      <c r="BH235" s="926"/>
      <c r="BI235" s="926"/>
      <c r="BJ235" s="926"/>
      <c r="BK235" s="926"/>
      <c r="BL235" s="926"/>
      <c r="BM235" s="926"/>
      <c r="BN235" s="926"/>
      <c r="BO235" s="926"/>
      <c r="BP235" s="926"/>
      <c r="BQ235" s="926"/>
      <c r="BR235" s="926"/>
      <c r="BS235" s="926"/>
      <c r="BT235" s="926"/>
      <c r="BU235" s="926"/>
      <c r="BV235" s="926"/>
      <c r="BW235" s="926"/>
      <c r="BX235" s="926"/>
      <c r="BY235" s="926"/>
      <c r="BZ235" s="926"/>
      <c r="CA235" s="926"/>
      <c r="CB235" s="926"/>
      <c r="CC235" s="926"/>
      <c r="CD235" s="926"/>
      <c r="CE235" s="926"/>
      <c r="CF235" s="926"/>
      <c r="CG235" s="926"/>
      <c r="CH235" s="926"/>
      <c r="CI235" s="926"/>
      <c r="CJ235" s="926"/>
      <c r="CK235" s="926"/>
      <c r="CL235" s="926"/>
      <c r="CM235" s="926"/>
      <c r="CN235" s="926"/>
      <c r="CO235" s="926"/>
      <c r="CP235" s="926"/>
      <c r="CQ235" s="926"/>
      <c r="CR235" s="926"/>
      <c r="CS235" s="926"/>
      <c r="CT235" s="926"/>
      <c r="CU235" s="926"/>
      <c r="CV235" s="926"/>
      <c r="CW235" s="926"/>
      <c r="CX235" s="926"/>
      <c r="CY235" s="926"/>
      <c r="CZ235" s="926"/>
      <c r="DA235" s="926"/>
      <c r="DB235" s="926"/>
      <c r="DC235" s="926"/>
      <c r="DD235" s="926"/>
      <c r="DE235" s="926"/>
      <c r="DF235" s="926"/>
      <c r="DG235" s="926"/>
      <c r="DH235" s="926"/>
      <c r="DI235" s="926"/>
      <c r="DJ235" s="926"/>
      <c r="DK235" s="926"/>
      <c r="DL235" s="926"/>
      <c r="DM235" s="926"/>
      <c r="DN235" s="926"/>
      <c r="DO235" s="926"/>
      <c r="DP235" s="926"/>
      <c r="DQ235" s="926"/>
      <c r="DR235" s="926"/>
      <c r="DS235" s="926"/>
      <c r="DT235" s="926"/>
      <c r="DU235" s="926"/>
      <c r="DV235" s="926"/>
      <c r="DW235" s="926"/>
      <c r="DX235" s="926"/>
      <c r="DY235" s="926"/>
      <c r="DZ235" s="926"/>
      <c r="EA235" s="926"/>
      <c r="EB235" s="926"/>
      <c r="EC235" s="926"/>
      <c r="ED235" s="926"/>
      <c r="EE235" s="926"/>
      <c r="EF235" s="926"/>
      <c r="EG235" s="926"/>
      <c r="EH235" s="926"/>
      <c r="EI235" s="926"/>
      <c r="EJ235" s="926"/>
      <c r="EK235" s="926"/>
      <c r="EL235" s="926"/>
      <c r="EM235" s="926"/>
      <c r="EN235" s="926"/>
      <c r="EO235" s="926"/>
      <c r="EP235" s="926"/>
      <c r="EQ235" s="926"/>
      <c r="ER235" s="926"/>
      <c r="ES235" s="926"/>
      <c r="ET235" s="926"/>
      <c r="EU235" s="926"/>
      <c r="EV235" s="926"/>
      <c r="EW235" s="926"/>
      <c r="EX235" s="926"/>
      <c r="EY235" s="926"/>
      <c r="EZ235" s="926"/>
      <c r="FA235" s="926"/>
      <c r="FB235" s="926"/>
      <c r="FC235" s="926"/>
      <c r="FD235" s="926"/>
      <c r="FE235" s="926"/>
      <c r="FF235" s="926"/>
      <c r="FG235" s="926"/>
      <c r="FH235" s="926"/>
      <c r="FI235" s="926"/>
      <c r="FJ235" s="926"/>
      <c r="FK235" s="926"/>
      <c r="FL235" s="926"/>
      <c r="FM235" s="926"/>
      <c r="FN235" s="926"/>
      <c r="FO235" s="926"/>
      <c r="FP235" s="926"/>
      <c r="FQ235" s="926"/>
      <c r="FR235" s="926"/>
      <c r="FS235" s="926"/>
      <c r="FT235" s="926"/>
      <c r="FU235" s="926"/>
      <c r="FV235" s="926"/>
      <c r="FW235" s="926"/>
      <c r="FX235" s="926"/>
      <c r="FY235" s="926"/>
      <c r="FZ235" s="926"/>
      <c r="GA235" s="926"/>
      <c r="GB235" s="926"/>
      <c r="GC235" s="926"/>
      <c r="GD235" s="926"/>
      <c r="GE235" s="926"/>
      <c r="GF235" s="926"/>
      <c r="GG235" s="926"/>
      <c r="GH235" s="926"/>
      <c r="GI235" s="926"/>
      <c r="GJ235" s="926"/>
      <c r="GK235" s="926"/>
      <c r="GL235" s="926"/>
      <c r="GM235" s="926"/>
      <c r="GN235" s="926"/>
      <c r="GO235" s="926"/>
      <c r="GP235" s="926"/>
      <c r="GQ235" s="926"/>
      <c r="GR235" s="926"/>
      <c r="GS235" s="926"/>
      <c r="GT235" s="926"/>
      <c r="GU235" s="926"/>
      <c r="GV235" s="926"/>
      <c r="GW235" s="926"/>
      <c r="GX235" s="926"/>
      <c r="GY235" s="926"/>
      <c r="GZ235" s="926"/>
      <c r="HA235" s="926"/>
      <c r="HB235" s="926"/>
      <c r="HC235" s="926"/>
      <c r="HD235" s="926"/>
      <c r="HE235" s="926"/>
      <c r="HF235" s="926"/>
      <c r="HG235" s="926"/>
      <c r="HH235" s="926"/>
      <c r="HI235" s="926"/>
      <c r="HJ235" s="926"/>
      <c r="HK235" s="926"/>
      <c r="HL235" s="926"/>
      <c r="HM235" s="926"/>
      <c r="HN235" s="926"/>
      <c r="HO235" s="926"/>
      <c r="HP235" s="926"/>
      <c r="HQ235" s="926"/>
      <c r="HR235" s="926"/>
      <c r="HS235" s="926"/>
      <c r="HT235" s="926"/>
      <c r="HU235" s="926"/>
      <c r="HV235" s="926"/>
      <c r="HW235" s="926"/>
      <c r="HX235" s="926"/>
      <c r="HY235" s="926"/>
      <c r="HZ235" s="926"/>
      <c r="IA235" s="926"/>
      <c r="IB235" s="926"/>
      <c r="IC235" s="926"/>
      <c r="ID235" s="926"/>
      <c r="IE235" s="926"/>
      <c r="IF235" s="926"/>
      <c r="IG235" s="926"/>
      <c r="IH235" s="926"/>
      <c r="II235" s="926"/>
      <c r="IJ235" s="926"/>
      <c r="IK235" s="926"/>
      <c r="IL235" s="926"/>
      <c r="IM235" s="926"/>
    </row>
    <row r="236" spans="1:247" x14ac:dyDescent="0.45">
      <c r="A236" s="441">
        <v>8412</v>
      </c>
      <c r="B236" s="939" t="s">
        <v>2773</v>
      </c>
      <c r="C236" s="47" t="s">
        <v>2170</v>
      </c>
      <c r="D236" s="449" t="s">
        <v>2537</v>
      </c>
      <c r="E236" s="946"/>
      <c r="F236" s="941">
        <f t="shared" si="56"/>
        <v>1.0209999999999999</v>
      </c>
      <c r="G236" s="947">
        <f>+$G$3</f>
        <v>1.0269999999999999</v>
      </c>
      <c r="H236" s="946"/>
      <c r="I236" s="948"/>
      <c r="J236" s="948"/>
      <c r="K236" s="948"/>
      <c r="L236" s="948"/>
      <c r="M236" s="948"/>
      <c r="N236" s="947"/>
      <c r="O236" s="949"/>
      <c r="P236" s="946">
        <f>+$P$3</f>
        <v>1.032</v>
      </c>
      <c r="Q236" s="947">
        <f>+$Q$3</f>
        <v>1.0349999999999999</v>
      </c>
      <c r="R236" s="950">
        <f t="shared" si="57"/>
        <v>1.1199953840399997</v>
      </c>
      <c r="S236" s="926"/>
      <c r="T236" s="926"/>
      <c r="U236" s="926"/>
      <c r="V236" s="926"/>
      <c r="W236" s="926"/>
      <c r="X236" s="926"/>
      <c r="Y236" s="926"/>
      <c r="Z236" s="926"/>
      <c r="AA236" s="926"/>
      <c r="AB236" s="926"/>
      <c r="AC236" s="926"/>
      <c r="AD236" s="926"/>
      <c r="AE236" s="926"/>
      <c r="AF236" s="926"/>
      <c r="AG236" s="926"/>
      <c r="AH236" s="926"/>
      <c r="AI236" s="926"/>
      <c r="AJ236" s="926"/>
      <c r="AK236" s="926"/>
      <c r="AL236" s="926"/>
      <c r="AM236" s="926"/>
      <c r="AN236" s="926"/>
      <c r="AO236" s="926"/>
      <c r="AP236" s="926"/>
      <c r="AQ236" s="926"/>
      <c r="AR236" s="926"/>
      <c r="AS236" s="926"/>
      <c r="AT236" s="926"/>
      <c r="AU236" s="926"/>
      <c r="AV236" s="926"/>
      <c r="AW236" s="926"/>
      <c r="AX236" s="926"/>
      <c r="AY236" s="926"/>
      <c r="AZ236" s="926"/>
      <c r="BA236" s="926"/>
      <c r="BB236" s="926"/>
      <c r="BC236" s="926"/>
      <c r="BD236" s="926"/>
      <c r="BE236" s="926"/>
      <c r="BF236" s="926"/>
      <c r="BG236" s="926"/>
      <c r="BH236" s="926"/>
      <c r="BI236" s="926"/>
      <c r="BJ236" s="926"/>
      <c r="BK236" s="926"/>
      <c r="BL236" s="926"/>
      <c r="BM236" s="926"/>
      <c r="BN236" s="926"/>
      <c r="BO236" s="926"/>
      <c r="BP236" s="926"/>
      <c r="BQ236" s="926"/>
      <c r="BR236" s="926"/>
      <c r="BS236" s="926"/>
      <c r="BT236" s="926"/>
      <c r="BU236" s="926"/>
      <c r="BV236" s="926"/>
      <c r="BW236" s="926"/>
      <c r="BX236" s="926"/>
      <c r="BY236" s="926"/>
      <c r="BZ236" s="926"/>
      <c r="CA236" s="926"/>
      <c r="CB236" s="926"/>
      <c r="CC236" s="926"/>
      <c r="CD236" s="926"/>
      <c r="CE236" s="926"/>
      <c r="CF236" s="926"/>
      <c r="CG236" s="926"/>
      <c r="CH236" s="926"/>
      <c r="CI236" s="926"/>
      <c r="CJ236" s="926"/>
      <c r="CK236" s="926"/>
      <c r="CL236" s="926"/>
      <c r="CM236" s="926"/>
      <c r="CN236" s="926"/>
      <c r="CO236" s="926"/>
      <c r="CP236" s="926"/>
      <c r="CQ236" s="926"/>
      <c r="CR236" s="926"/>
      <c r="CS236" s="926"/>
      <c r="CT236" s="926"/>
      <c r="CU236" s="926"/>
      <c r="CV236" s="926"/>
      <c r="CW236" s="926"/>
      <c r="CX236" s="926"/>
      <c r="CY236" s="926"/>
      <c r="CZ236" s="926"/>
      <c r="DA236" s="926"/>
      <c r="DB236" s="926"/>
      <c r="DC236" s="926"/>
      <c r="DD236" s="926"/>
      <c r="DE236" s="926"/>
      <c r="DF236" s="926"/>
      <c r="DG236" s="926"/>
      <c r="DH236" s="926"/>
      <c r="DI236" s="926"/>
      <c r="DJ236" s="926"/>
      <c r="DK236" s="926"/>
      <c r="DL236" s="926"/>
      <c r="DM236" s="926"/>
      <c r="DN236" s="926"/>
      <c r="DO236" s="926"/>
      <c r="DP236" s="926"/>
      <c r="DQ236" s="926"/>
      <c r="DR236" s="926"/>
      <c r="DS236" s="926"/>
      <c r="DT236" s="926"/>
      <c r="DU236" s="926"/>
      <c r="DV236" s="926"/>
      <c r="DW236" s="926"/>
      <c r="DX236" s="926"/>
      <c r="DY236" s="926"/>
      <c r="DZ236" s="926"/>
      <c r="EA236" s="926"/>
      <c r="EB236" s="926"/>
      <c r="EC236" s="926"/>
      <c r="ED236" s="926"/>
      <c r="EE236" s="926"/>
      <c r="EF236" s="926"/>
      <c r="EG236" s="926"/>
      <c r="EH236" s="926"/>
      <c r="EI236" s="926"/>
      <c r="EJ236" s="926"/>
      <c r="EK236" s="926"/>
      <c r="EL236" s="926"/>
      <c r="EM236" s="926"/>
      <c r="EN236" s="926"/>
      <c r="EO236" s="926"/>
      <c r="EP236" s="926"/>
      <c r="EQ236" s="926"/>
      <c r="ER236" s="926"/>
      <c r="ES236" s="926"/>
      <c r="ET236" s="926"/>
      <c r="EU236" s="926"/>
      <c r="EV236" s="926"/>
      <c r="EW236" s="926"/>
      <c r="EX236" s="926"/>
      <c r="EY236" s="926"/>
      <c r="EZ236" s="926"/>
      <c r="FA236" s="926"/>
      <c r="FB236" s="926"/>
      <c r="FC236" s="926"/>
      <c r="FD236" s="926"/>
      <c r="FE236" s="926"/>
      <c r="FF236" s="926"/>
      <c r="FG236" s="926"/>
      <c r="FH236" s="926"/>
      <c r="FI236" s="926"/>
      <c r="FJ236" s="926"/>
      <c r="FK236" s="926"/>
      <c r="FL236" s="926"/>
      <c r="FM236" s="926"/>
      <c r="FN236" s="926"/>
      <c r="FO236" s="926"/>
      <c r="FP236" s="926"/>
      <c r="FQ236" s="926"/>
      <c r="FR236" s="926"/>
      <c r="FS236" s="926"/>
      <c r="FT236" s="926"/>
      <c r="FU236" s="926"/>
      <c r="FV236" s="926"/>
      <c r="FW236" s="926"/>
      <c r="FX236" s="926"/>
      <c r="FY236" s="926"/>
      <c r="FZ236" s="926"/>
      <c r="GA236" s="926"/>
      <c r="GB236" s="926"/>
      <c r="GC236" s="926"/>
      <c r="GD236" s="926"/>
      <c r="GE236" s="926"/>
      <c r="GF236" s="926"/>
      <c r="GG236" s="926"/>
      <c r="GH236" s="926"/>
      <c r="GI236" s="926"/>
      <c r="GJ236" s="926"/>
      <c r="GK236" s="926"/>
      <c r="GL236" s="926"/>
      <c r="GM236" s="926"/>
      <c r="GN236" s="926"/>
      <c r="GO236" s="926"/>
      <c r="GP236" s="926"/>
      <c r="GQ236" s="926"/>
      <c r="GR236" s="926"/>
      <c r="GS236" s="926"/>
      <c r="GT236" s="926"/>
      <c r="GU236" s="926"/>
      <c r="GV236" s="926"/>
      <c r="GW236" s="926"/>
      <c r="GX236" s="926"/>
      <c r="GY236" s="926"/>
      <c r="GZ236" s="926"/>
      <c r="HA236" s="926"/>
      <c r="HB236" s="926"/>
      <c r="HC236" s="926"/>
      <c r="HD236" s="926"/>
      <c r="HE236" s="926"/>
      <c r="HF236" s="926"/>
      <c r="HG236" s="926"/>
      <c r="HH236" s="926"/>
      <c r="HI236" s="926"/>
      <c r="HJ236" s="926"/>
      <c r="HK236" s="926"/>
      <c r="HL236" s="926"/>
      <c r="HM236" s="926"/>
      <c r="HN236" s="926"/>
      <c r="HO236" s="926"/>
      <c r="HP236" s="926"/>
      <c r="HQ236" s="926"/>
      <c r="HR236" s="926"/>
      <c r="HS236" s="926"/>
      <c r="HT236" s="926"/>
      <c r="HU236" s="926"/>
      <c r="HV236" s="926"/>
      <c r="HW236" s="926"/>
      <c r="HX236" s="926"/>
      <c r="HY236" s="926"/>
      <c r="HZ236" s="926"/>
      <c r="IA236" s="926"/>
      <c r="IB236" s="926"/>
      <c r="IC236" s="926"/>
      <c r="ID236" s="926"/>
      <c r="IE236" s="926"/>
      <c r="IF236" s="926"/>
      <c r="IG236" s="926"/>
      <c r="IH236" s="926"/>
      <c r="II236" s="926"/>
      <c r="IJ236" s="926"/>
      <c r="IK236" s="926"/>
      <c r="IL236" s="926"/>
      <c r="IM236" s="926"/>
    </row>
    <row r="237" spans="1:247" x14ac:dyDescent="0.45">
      <c r="A237" s="441">
        <v>8413</v>
      </c>
      <c r="B237" s="939" t="s">
        <v>2774</v>
      </c>
      <c r="C237" s="47" t="s">
        <v>163</v>
      </c>
      <c r="D237" s="449" t="s">
        <v>2537</v>
      </c>
      <c r="E237" s="946"/>
      <c r="F237" s="941">
        <f t="shared" si="56"/>
        <v>1.0209999999999999</v>
      </c>
      <c r="G237" s="947"/>
      <c r="H237" s="946"/>
      <c r="I237" s="948"/>
      <c r="J237" s="948"/>
      <c r="K237" s="948"/>
      <c r="L237" s="948"/>
      <c r="M237" s="948"/>
      <c r="N237" s="947"/>
      <c r="O237" s="949"/>
      <c r="P237" s="946">
        <f>+$P$3</f>
        <v>1.032</v>
      </c>
      <c r="Q237" s="947">
        <f>+$Q$3</f>
        <v>1.0349999999999999</v>
      </c>
      <c r="R237" s="950">
        <f t="shared" si="57"/>
        <v>1.0905505199999999</v>
      </c>
      <c r="S237" s="926"/>
      <c r="T237" s="926"/>
      <c r="U237" s="926"/>
      <c r="V237" s="926"/>
      <c r="W237" s="926"/>
      <c r="X237" s="926"/>
      <c r="Y237" s="926"/>
      <c r="Z237" s="926"/>
      <c r="AA237" s="926"/>
      <c r="AB237" s="926"/>
      <c r="AC237" s="926"/>
      <c r="AD237" s="926"/>
      <c r="AE237" s="926"/>
      <c r="AF237" s="926"/>
      <c r="AG237" s="926"/>
      <c r="AH237" s="926"/>
      <c r="AI237" s="926"/>
      <c r="AJ237" s="926"/>
      <c r="AK237" s="926"/>
      <c r="AL237" s="926"/>
      <c r="AM237" s="926"/>
      <c r="AN237" s="926"/>
      <c r="AO237" s="926"/>
      <c r="AP237" s="926"/>
      <c r="AQ237" s="926"/>
      <c r="AR237" s="926"/>
      <c r="AS237" s="926"/>
      <c r="AT237" s="926"/>
      <c r="AU237" s="926"/>
      <c r="AV237" s="926"/>
      <c r="AW237" s="926"/>
      <c r="AX237" s="926"/>
      <c r="AY237" s="926"/>
      <c r="AZ237" s="926"/>
      <c r="BA237" s="926"/>
      <c r="BB237" s="926"/>
      <c r="BC237" s="926"/>
      <c r="BD237" s="926"/>
      <c r="BE237" s="926"/>
      <c r="BF237" s="926"/>
      <c r="BG237" s="926"/>
      <c r="BH237" s="926"/>
      <c r="BI237" s="926"/>
      <c r="BJ237" s="926"/>
      <c r="BK237" s="926"/>
      <c r="BL237" s="926"/>
      <c r="BM237" s="926"/>
      <c r="BN237" s="926"/>
      <c r="BO237" s="926"/>
      <c r="BP237" s="926"/>
      <c r="BQ237" s="926"/>
      <c r="BR237" s="926"/>
      <c r="BS237" s="926"/>
      <c r="BT237" s="926"/>
      <c r="BU237" s="926"/>
      <c r="BV237" s="926"/>
      <c r="BW237" s="926"/>
      <c r="BX237" s="926"/>
      <c r="BY237" s="926"/>
      <c r="BZ237" s="926"/>
      <c r="CA237" s="926"/>
      <c r="CB237" s="926"/>
      <c r="CC237" s="926"/>
      <c r="CD237" s="926"/>
      <c r="CE237" s="926"/>
      <c r="CF237" s="926"/>
      <c r="CG237" s="926"/>
      <c r="CH237" s="926"/>
      <c r="CI237" s="926"/>
      <c r="CJ237" s="926"/>
      <c r="CK237" s="926"/>
      <c r="CL237" s="926"/>
      <c r="CM237" s="926"/>
      <c r="CN237" s="926"/>
      <c r="CO237" s="926"/>
      <c r="CP237" s="926"/>
      <c r="CQ237" s="926"/>
      <c r="CR237" s="926"/>
      <c r="CS237" s="926"/>
      <c r="CT237" s="926"/>
      <c r="CU237" s="926"/>
      <c r="CV237" s="926"/>
      <c r="CW237" s="926"/>
      <c r="CX237" s="926"/>
      <c r="CY237" s="926"/>
      <c r="CZ237" s="926"/>
      <c r="DA237" s="926"/>
      <c r="DB237" s="926"/>
      <c r="DC237" s="926"/>
      <c r="DD237" s="926"/>
      <c r="DE237" s="926"/>
      <c r="DF237" s="926"/>
      <c r="DG237" s="926"/>
      <c r="DH237" s="926"/>
      <c r="DI237" s="926"/>
      <c r="DJ237" s="926"/>
      <c r="DK237" s="926"/>
      <c r="DL237" s="926"/>
      <c r="DM237" s="926"/>
      <c r="DN237" s="926"/>
      <c r="DO237" s="926"/>
      <c r="DP237" s="926"/>
      <c r="DQ237" s="926"/>
      <c r="DR237" s="926"/>
      <c r="DS237" s="926"/>
      <c r="DT237" s="926"/>
      <c r="DU237" s="926"/>
      <c r="DV237" s="926"/>
      <c r="DW237" s="926"/>
      <c r="DX237" s="926"/>
      <c r="DY237" s="926"/>
      <c r="DZ237" s="926"/>
      <c r="EA237" s="926"/>
      <c r="EB237" s="926"/>
      <c r="EC237" s="926"/>
      <c r="ED237" s="926"/>
      <c r="EE237" s="926"/>
      <c r="EF237" s="926"/>
      <c r="EG237" s="926"/>
      <c r="EH237" s="926"/>
      <c r="EI237" s="926"/>
      <c r="EJ237" s="926"/>
      <c r="EK237" s="926"/>
      <c r="EL237" s="926"/>
      <c r="EM237" s="926"/>
      <c r="EN237" s="926"/>
      <c r="EO237" s="926"/>
      <c r="EP237" s="926"/>
      <c r="EQ237" s="926"/>
      <c r="ER237" s="926"/>
      <c r="ES237" s="926"/>
      <c r="ET237" s="926"/>
      <c r="EU237" s="926"/>
      <c r="EV237" s="926"/>
      <c r="EW237" s="926"/>
      <c r="EX237" s="926"/>
      <c r="EY237" s="926"/>
      <c r="EZ237" s="926"/>
      <c r="FA237" s="926"/>
      <c r="FB237" s="926"/>
      <c r="FC237" s="926"/>
      <c r="FD237" s="926"/>
      <c r="FE237" s="926"/>
      <c r="FF237" s="926"/>
      <c r="FG237" s="926"/>
      <c r="FH237" s="926"/>
      <c r="FI237" s="926"/>
      <c r="FJ237" s="926"/>
      <c r="FK237" s="926"/>
      <c r="FL237" s="926"/>
      <c r="FM237" s="926"/>
      <c r="FN237" s="926"/>
      <c r="FO237" s="926"/>
      <c r="FP237" s="926"/>
      <c r="FQ237" s="926"/>
      <c r="FR237" s="926"/>
      <c r="FS237" s="926"/>
      <c r="FT237" s="926"/>
      <c r="FU237" s="926"/>
      <c r="FV237" s="926"/>
      <c r="FW237" s="926"/>
      <c r="FX237" s="926"/>
      <c r="FY237" s="926"/>
      <c r="FZ237" s="926"/>
      <c r="GA237" s="926"/>
      <c r="GB237" s="926"/>
      <c r="GC237" s="926"/>
      <c r="GD237" s="926"/>
      <c r="GE237" s="926"/>
      <c r="GF237" s="926"/>
      <c r="GG237" s="926"/>
      <c r="GH237" s="926"/>
      <c r="GI237" s="926"/>
      <c r="GJ237" s="926"/>
      <c r="GK237" s="926"/>
      <c r="GL237" s="926"/>
      <c r="GM237" s="926"/>
      <c r="GN237" s="926"/>
      <c r="GO237" s="926"/>
      <c r="GP237" s="926"/>
      <c r="GQ237" s="926"/>
      <c r="GR237" s="926"/>
      <c r="GS237" s="926"/>
      <c r="GT237" s="926"/>
      <c r="GU237" s="926"/>
      <c r="GV237" s="926"/>
      <c r="GW237" s="926"/>
      <c r="GX237" s="926"/>
      <c r="GY237" s="926"/>
      <c r="GZ237" s="926"/>
      <c r="HA237" s="926"/>
      <c r="HB237" s="926"/>
      <c r="HC237" s="926"/>
      <c r="HD237" s="926"/>
      <c r="HE237" s="926"/>
      <c r="HF237" s="926"/>
      <c r="HG237" s="926"/>
      <c r="HH237" s="926"/>
      <c r="HI237" s="926"/>
      <c r="HJ237" s="926"/>
      <c r="HK237" s="926"/>
      <c r="HL237" s="926"/>
      <c r="HM237" s="926"/>
      <c r="HN237" s="926"/>
      <c r="HO237" s="926"/>
      <c r="HP237" s="926"/>
      <c r="HQ237" s="926"/>
      <c r="HR237" s="926"/>
      <c r="HS237" s="926"/>
      <c r="HT237" s="926"/>
      <c r="HU237" s="926"/>
      <c r="HV237" s="926"/>
      <c r="HW237" s="926"/>
      <c r="HX237" s="926"/>
      <c r="HY237" s="926"/>
      <c r="HZ237" s="926"/>
      <c r="IA237" s="926"/>
      <c r="IB237" s="926"/>
      <c r="IC237" s="926"/>
      <c r="ID237" s="926"/>
      <c r="IE237" s="926"/>
      <c r="IF237" s="926"/>
      <c r="IG237" s="926"/>
      <c r="IH237" s="926"/>
      <c r="II237" s="926"/>
      <c r="IJ237" s="926"/>
      <c r="IK237" s="926"/>
      <c r="IL237" s="926"/>
      <c r="IM237" s="926"/>
    </row>
    <row r="238" spans="1:247" x14ac:dyDescent="0.45">
      <c r="A238" s="441">
        <v>8414</v>
      </c>
      <c r="B238" s="939" t="s">
        <v>2775</v>
      </c>
      <c r="C238" s="47" t="s">
        <v>2170</v>
      </c>
      <c r="D238" s="449" t="s">
        <v>2537</v>
      </c>
      <c r="E238" s="946"/>
      <c r="F238" s="941">
        <f t="shared" si="56"/>
        <v>1.0209999999999999</v>
      </c>
      <c r="G238" s="947"/>
      <c r="H238" s="946"/>
      <c r="I238" s="948"/>
      <c r="J238" s="948"/>
      <c r="K238" s="948"/>
      <c r="L238" s="948"/>
      <c r="M238" s="948"/>
      <c r="N238" s="947"/>
      <c r="O238" s="949"/>
      <c r="P238" s="946"/>
      <c r="Q238" s="947"/>
      <c r="R238" s="950">
        <f t="shared" si="57"/>
        <v>1.0209999999999999</v>
      </c>
      <c r="S238" s="926"/>
      <c r="T238" s="926"/>
      <c r="U238" s="926"/>
      <c r="V238" s="926"/>
      <c r="W238" s="926"/>
      <c r="X238" s="926"/>
      <c r="Y238" s="926"/>
      <c r="Z238" s="926"/>
      <c r="AA238" s="926"/>
      <c r="AB238" s="926"/>
      <c r="AC238" s="926"/>
      <c r="AD238" s="926"/>
      <c r="AE238" s="926"/>
      <c r="AF238" s="926"/>
      <c r="AG238" s="926"/>
      <c r="AH238" s="926"/>
      <c r="AI238" s="926"/>
      <c r="AJ238" s="926"/>
      <c r="AK238" s="926"/>
      <c r="AL238" s="926"/>
      <c r="AM238" s="926"/>
      <c r="AN238" s="926"/>
      <c r="AO238" s="926"/>
      <c r="AP238" s="926"/>
      <c r="AQ238" s="926"/>
      <c r="AR238" s="926"/>
      <c r="AS238" s="926"/>
      <c r="AT238" s="926"/>
      <c r="AU238" s="926"/>
      <c r="AV238" s="926"/>
      <c r="AW238" s="926"/>
      <c r="AX238" s="926"/>
      <c r="AY238" s="926"/>
      <c r="AZ238" s="926"/>
      <c r="BA238" s="926"/>
      <c r="BB238" s="926"/>
      <c r="BC238" s="926"/>
      <c r="BD238" s="926"/>
      <c r="BE238" s="926"/>
      <c r="BF238" s="926"/>
      <c r="BG238" s="926"/>
      <c r="BH238" s="926"/>
      <c r="BI238" s="926"/>
      <c r="BJ238" s="926"/>
      <c r="BK238" s="926"/>
      <c r="BL238" s="926"/>
      <c r="BM238" s="926"/>
      <c r="BN238" s="926"/>
      <c r="BO238" s="926"/>
      <c r="BP238" s="926"/>
      <c r="BQ238" s="926"/>
      <c r="BR238" s="926"/>
      <c r="BS238" s="926"/>
      <c r="BT238" s="926"/>
      <c r="BU238" s="926"/>
      <c r="BV238" s="926"/>
      <c r="BW238" s="926"/>
      <c r="BX238" s="926"/>
      <c r="BY238" s="926"/>
      <c r="BZ238" s="926"/>
      <c r="CA238" s="926"/>
      <c r="CB238" s="926"/>
      <c r="CC238" s="926"/>
      <c r="CD238" s="926"/>
      <c r="CE238" s="926"/>
      <c r="CF238" s="926"/>
      <c r="CG238" s="926"/>
      <c r="CH238" s="926"/>
      <c r="CI238" s="926"/>
      <c r="CJ238" s="926"/>
      <c r="CK238" s="926"/>
      <c r="CL238" s="926"/>
      <c r="CM238" s="926"/>
      <c r="CN238" s="926"/>
      <c r="CO238" s="926"/>
      <c r="CP238" s="926"/>
      <c r="CQ238" s="926"/>
      <c r="CR238" s="926"/>
      <c r="CS238" s="926"/>
      <c r="CT238" s="926"/>
      <c r="CU238" s="926"/>
      <c r="CV238" s="926"/>
      <c r="CW238" s="926"/>
      <c r="CX238" s="926"/>
      <c r="CY238" s="926"/>
      <c r="CZ238" s="926"/>
      <c r="DA238" s="926"/>
      <c r="DB238" s="926"/>
      <c r="DC238" s="926"/>
      <c r="DD238" s="926"/>
      <c r="DE238" s="926"/>
      <c r="DF238" s="926"/>
      <c r="DG238" s="926"/>
      <c r="DH238" s="926"/>
      <c r="DI238" s="926"/>
      <c r="DJ238" s="926"/>
      <c r="DK238" s="926"/>
      <c r="DL238" s="926"/>
      <c r="DM238" s="926"/>
      <c r="DN238" s="926"/>
      <c r="DO238" s="926"/>
      <c r="DP238" s="926"/>
      <c r="DQ238" s="926"/>
      <c r="DR238" s="926"/>
      <c r="DS238" s="926"/>
      <c r="DT238" s="926"/>
      <c r="DU238" s="926"/>
      <c r="DV238" s="926"/>
      <c r="DW238" s="926"/>
      <c r="DX238" s="926"/>
      <c r="DY238" s="926"/>
      <c r="DZ238" s="926"/>
      <c r="EA238" s="926"/>
      <c r="EB238" s="926"/>
      <c r="EC238" s="926"/>
      <c r="ED238" s="926"/>
      <c r="EE238" s="926"/>
      <c r="EF238" s="926"/>
      <c r="EG238" s="926"/>
      <c r="EH238" s="926"/>
      <c r="EI238" s="926"/>
      <c r="EJ238" s="926"/>
      <c r="EK238" s="926"/>
      <c r="EL238" s="926"/>
      <c r="EM238" s="926"/>
      <c r="EN238" s="926"/>
      <c r="EO238" s="926"/>
      <c r="EP238" s="926"/>
      <c r="EQ238" s="926"/>
      <c r="ER238" s="926"/>
      <c r="ES238" s="926"/>
      <c r="ET238" s="926"/>
      <c r="EU238" s="926"/>
      <c r="EV238" s="926"/>
      <c r="EW238" s="926"/>
      <c r="EX238" s="926"/>
      <c r="EY238" s="926"/>
      <c r="EZ238" s="926"/>
      <c r="FA238" s="926"/>
      <c r="FB238" s="926"/>
      <c r="FC238" s="926"/>
      <c r="FD238" s="926"/>
      <c r="FE238" s="926"/>
      <c r="FF238" s="926"/>
      <c r="FG238" s="926"/>
      <c r="FH238" s="926"/>
      <c r="FI238" s="926"/>
      <c r="FJ238" s="926"/>
      <c r="FK238" s="926"/>
      <c r="FL238" s="926"/>
      <c r="FM238" s="926"/>
      <c r="FN238" s="926"/>
      <c r="FO238" s="926"/>
      <c r="FP238" s="926"/>
      <c r="FQ238" s="926"/>
      <c r="FR238" s="926"/>
      <c r="FS238" s="926"/>
      <c r="FT238" s="926"/>
      <c r="FU238" s="926"/>
      <c r="FV238" s="926"/>
      <c r="FW238" s="926"/>
      <c r="FX238" s="926"/>
      <c r="FY238" s="926"/>
      <c r="FZ238" s="926"/>
      <c r="GA238" s="926"/>
      <c r="GB238" s="926"/>
      <c r="GC238" s="926"/>
      <c r="GD238" s="926"/>
      <c r="GE238" s="926"/>
      <c r="GF238" s="926"/>
      <c r="GG238" s="926"/>
      <c r="GH238" s="926"/>
      <c r="GI238" s="926"/>
      <c r="GJ238" s="926"/>
      <c r="GK238" s="926"/>
      <c r="GL238" s="926"/>
      <c r="GM238" s="926"/>
      <c r="GN238" s="926"/>
      <c r="GO238" s="926"/>
      <c r="GP238" s="926"/>
      <c r="GQ238" s="926"/>
      <c r="GR238" s="926"/>
      <c r="GS238" s="926"/>
      <c r="GT238" s="926"/>
      <c r="GU238" s="926"/>
      <c r="GV238" s="926"/>
      <c r="GW238" s="926"/>
      <c r="GX238" s="926"/>
      <c r="GY238" s="926"/>
      <c r="GZ238" s="926"/>
      <c r="HA238" s="926"/>
      <c r="HB238" s="926"/>
      <c r="HC238" s="926"/>
      <c r="HD238" s="926"/>
      <c r="HE238" s="926"/>
      <c r="HF238" s="926"/>
      <c r="HG238" s="926"/>
      <c r="HH238" s="926"/>
      <c r="HI238" s="926"/>
      <c r="HJ238" s="926"/>
      <c r="HK238" s="926"/>
      <c r="HL238" s="926"/>
      <c r="HM238" s="926"/>
      <c r="HN238" s="926"/>
      <c r="HO238" s="926"/>
      <c r="HP238" s="926"/>
      <c r="HQ238" s="926"/>
      <c r="HR238" s="926"/>
      <c r="HS238" s="926"/>
      <c r="HT238" s="926"/>
      <c r="HU238" s="926"/>
      <c r="HV238" s="926"/>
      <c r="HW238" s="926"/>
      <c r="HX238" s="926"/>
      <c r="HY238" s="926"/>
      <c r="HZ238" s="926"/>
      <c r="IA238" s="926"/>
      <c r="IB238" s="926"/>
      <c r="IC238" s="926"/>
      <c r="ID238" s="926"/>
      <c r="IE238" s="926"/>
      <c r="IF238" s="926"/>
      <c r="IG238" s="926"/>
      <c r="IH238" s="926"/>
      <c r="II238" s="926"/>
      <c r="IJ238" s="926"/>
      <c r="IK238" s="926"/>
      <c r="IL238" s="926"/>
      <c r="IM238" s="926"/>
    </row>
    <row r="239" spans="1:247" x14ac:dyDescent="0.45">
      <c r="A239" s="441">
        <v>8415</v>
      </c>
      <c r="B239" s="939" t="s">
        <v>2776</v>
      </c>
      <c r="C239" s="47" t="s">
        <v>2170</v>
      </c>
      <c r="D239" s="449" t="s">
        <v>2537</v>
      </c>
      <c r="E239" s="946"/>
      <c r="F239" s="941">
        <f t="shared" si="56"/>
        <v>1.0209999999999999</v>
      </c>
      <c r="G239" s="947">
        <f>+$G$3</f>
        <v>1.0269999999999999</v>
      </c>
      <c r="H239" s="946"/>
      <c r="I239" s="948"/>
      <c r="J239" s="948"/>
      <c r="K239" s="948"/>
      <c r="L239" s="948"/>
      <c r="M239" s="948"/>
      <c r="N239" s="947"/>
      <c r="O239" s="949"/>
      <c r="P239" s="946">
        <f t="shared" ref="P239:P247" si="61">+$P$3</f>
        <v>1.032</v>
      </c>
      <c r="Q239" s="947">
        <f t="shared" ref="Q239:Q247" si="62">+$Q$3</f>
        <v>1.0349999999999999</v>
      </c>
      <c r="R239" s="950">
        <f t="shared" si="57"/>
        <v>1.1199953840399997</v>
      </c>
      <c r="S239" s="926"/>
      <c r="T239" s="926"/>
      <c r="U239" s="926"/>
      <c r="V239" s="926"/>
      <c r="W239" s="926"/>
      <c r="X239" s="926"/>
      <c r="Y239" s="926"/>
      <c r="Z239" s="926"/>
      <c r="AA239" s="926"/>
      <c r="AB239" s="926"/>
      <c r="AC239" s="926"/>
      <c r="AD239" s="926"/>
      <c r="AE239" s="926"/>
      <c r="AF239" s="926"/>
      <c r="AG239" s="926"/>
      <c r="AH239" s="926"/>
      <c r="AI239" s="926"/>
      <c r="AJ239" s="926"/>
      <c r="AK239" s="926"/>
      <c r="AL239" s="926"/>
      <c r="AM239" s="926"/>
      <c r="AN239" s="926"/>
      <c r="AO239" s="926"/>
      <c r="AP239" s="926"/>
      <c r="AQ239" s="926"/>
      <c r="AR239" s="926"/>
      <c r="AS239" s="926"/>
      <c r="AT239" s="926"/>
      <c r="AU239" s="926"/>
      <c r="AV239" s="926"/>
      <c r="AW239" s="926"/>
      <c r="AX239" s="926"/>
      <c r="AY239" s="926"/>
      <c r="AZ239" s="926"/>
      <c r="BA239" s="926"/>
      <c r="BB239" s="926"/>
      <c r="BC239" s="926"/>
      <c r="BD239" s="926"/>
      <c r="BE239" s="926"/>
      <c r="BF239" s="926"/>
      <c r="BG239" s="926"/>
      <c r="BH239" s="926"/>
      <c r="BI239" s="926"/>
      <c r="BJ239" s="926"/>
      <c r="BK239" s="926"/>
      <c r="BL239" s="926"/>
      <c r="BM239" s="926"/>
      <c r="BN239" s="926"/>
      <c r="BO239" s="926"/>
      <c r="BP239" s="926"/>
      <c r="BQ239" s="926"/>
      <c r="BR239" s="926"/>
      <c r="BS239" s="926"/>
      <c r="BT239" s="926"/>
      <c r="BU239" s="926"/>
      <c r="BV239" s="926"/>
      <c r="BW239" s="926"/>
      <c r="BX239" s="926"/>
      <c r="BY239" s="926"/>
      <c r="BZ239" s="926"/>
      <c r="CA239" s="926"/>
      <c r="CB239" s="926"/>
      <c r="CC239" s="926"/>
      <c r="CD239" s="926"/>
      <c r="CE239" s="926"/>
      <c r="CF239" s="926"/>
      <c r="CG239" s="926"/>
      <c r="CH239" s="926"/>
      <c r="CI239" s="926"/>
      <c r="CJ239" s="926"/>
      <c r="CK239" s="926"/>
      <c r="CL239" s="926"/>
      <c r="CM239" s="926"/>
      <c r="CN239" s="926"/>
      <c r="CO239" s="926"/>
      <c r="CP239" s="926"/>
      <c r="CQ239" s="926"/>
      <c r="CR239" s="926"/>
      <c r="CS239" s="926"/>
      <c r="CT239" s="926"/>
      <c r="CU239" s="926"/>
      <c r="CV239" s="926"/>
      <c r="CW239" s="926"/>
      <c r="CX239" s="926"/>
      <c r="CY239" s="926"/>
      <c r="CZ239" s="926"/>
      <c r="DA239" s="926"/>
      <c r="DB239" s="926"/>
      <c r="DC239" s="926"/>
      <c r="DD239" s="926"/>
      <c r="DE239" s="926"/>
      <c r="DF239" s="926"/>
      <c r="DG239" s="926"/>
      <c r="DH239" s="926"/>
      <c r="DI239" s="926"/>
      <c r="DJ239" s="926"/>
      <c r="DK239" s="926"/>
      <c r="DL239" s="926"/>
      <c r="DM239" s="926"/>
      <c r="DN239" s="926"/>
      <c r="DO239" s="926"/>
      <c r="DP239" s="926"/>
      <c r="DQ239" s="926"/>
      <c r="DR239" s="926"/>
      <c r="DS239" s="926"/>
      <c r="DT239" s="926"/>
      <c r="DU239" s="926"/>
      <c r="DV239" s="926"/>
      <c r="DW239" s="926"/>
      <c r="DX239" s="926"/>
      <c r="DY239" s="926"/>
      <c r="DZ239" s="926"/>
      <c r="EA239" s="926"/>
      <c r="EB239" s="926"/>
      <c r="EC239" s="926"/>
      <c r="ED239" s="926"/>
      <c r="EE239" s="926"/>
      <c r="EF239" s="926"/>
      <c r="EG239" s="926"/>
      <c r="EH239" s="926"/>
      <c r="EI239" s="926"/>
      <c r="EJ239" s="926"/>
      <c r="EK239" s="926"/>
      <c r="EL239" s="926"/>
      <c r="EM239" s="926"/>
      <c r="EN239" s="926"/>
      <c r="EO239" s="926"/>
      <c r="EP239" s="926"/>
      <c r="EQ239" s="926"/>
      <c r="ER239" s="926"/>
      <c r="ES239" s="926"/>
      <c r="ET239" s="926"/>
      <c r="EU239" s="926"/>
      <c r="EV239" s="926"/>
      <c r="EW239" s="926"/>
      <c r="EX239" s="926"/>
      <c r="EY239" s="926"/>
      <c r="EZ239" s="926"/>
      <c r="FA239" s="926"/>
      <c r="FB239" s="926"/>
      <c r="FC239" s="926"/>
      <c r="FD239" s="926"/>
      <c r="FE239" s="926"/>
      <c r="FF239" s="926"/>
      <c r="FG239" s="926"/>
      <c r="FH239" s="926"/>
      <c r="FI239" s="926"/>
      <c r="FJ239" s="926"/>
      <c r="FK239" s="926"/>
      <c r="FL239" s="926"/>
      <c r="FM239" s="926"/>
      <c r="FN239" s="926"/>
      <c r="FO239" s="926"/>
      <c r="FP239" s="926"/>
      <c r="FQ239" s="926"/>
      <c r="FR239" s="926"/>
      <c r="FS239" s="926"/>
      <c r="FT239" s="926"/>
      <c r="FU239" s="926"/>
      <c r="FV239" s="926"/>
      <c r="FW239" s="926"/>
      <c r="FX239" s="926"/>
      <c r="FY239" s="926"/>
      <c r="FZ239" s="926"/>
      <c r="GA239" s="926"/>
      <c r="GB239" s="926"/>
      <c r="GC239" s="926"/>
      <c r="GD239" s="926"/>
      <c r="GE239" s="926"/>
      <c r="GF239" s="926"/>
      <c r="GG239" s="926"/>
      <c r="GH239" s="926"/>
      <c r="GI239" s="926"/>
      <c r="GJ239" s="926"/>
      <c r="GK239" s="926"/>
      <c r="GL239" s="926"/>
      <c r="GM239" s="926"/>
      <c r="GN239" s="926"/>
      <c r="GO239" s="926"/>
      <c r="GP239" s="926"/>
      <c r="GQ239" s="926"/>
      <c r="GR239" s="926"/>
      <c r="GS239" s="926"/>
      <c r="GT239" s="926"/>
      <c r="GU239" s="926"/>
      <c r="GV239" s="926"/>
      <c r="GW239" s="926"/>
      <c r="GX239" s="926"/>
      <c r="GY239" s="926"/>
      <c r="GZ239" s="926"/>
      <c r="HA239" s="926"/>
      <c r="HB239" s="926"/>
      <c r="HC239" s="926"/>
      <c r="HD239" s="926"/>
      <c r="HE239" s="926"/>
      <c r="HF239" s="926"/>
      <c r="HG239" s="926"/>
      <c r="HH239" s="926"/>
      <c r="HI239" s="926"/>
      <c r="HJ239" s="926"/>
      <c r="HK239" s="926"/>
      <c r="HL239" s="926"/>
      <c r="HM239" s="926"/>
      <c r="HN239" s="926"/>
      <c r="HO239" s="926"/>
      <c r="HP239" s="926"/>
      <c r="HQ239" s="926"/>
      <c r="HR239" s="926"/>
      <c r="HS239" s="926"/>
      <c r="HT239" s="926"/>
      <c r="HU239" s="926"/>
      <c r="HV239" s="926"/>
      <c r="HW239" s="926"/>
      <c r="HX239" s="926"/>
      <c r="HY239" s="926"/>
      <c r="HZ239" s="926"/>
      <c r="IA239" s="926"/>
      <c r="IB239" s="926"/>
      <c r="IC239" s="926"/>
      <c r="ID239" s="926"/>
      <c r="IE239" s="926"/>
      <c r="IF239" s="926"/>
      <c r="IG239" s="926"/>
      <c r="IH239" s="926"/>
      <c r="II239" s="926"/>
      <c r="IJ239" s="926"/>
      <c r="IK239" s="926"/>
      <c r="IL239" s="926"/>
      <c r="IM239" s="926"/>
    </row>
    <row r="240" spans="1:247" x14ac:dyDescent="0.45">
      <c r="A240" s="441">
        <v>8421</v>
      </c>
      <c r="B240" s="939" t="s">
        <v>2777</v>
      </c>
      <c r="C240" s="47" t="s">
        <v>113</v>
      </c>
      <c r="D240" s="449" t="s">
        <v>2540</v>
      </c>
      <c r="E240" s="946"/>
      <c r="F240" s="941">
        <f t="shared" si="56"/>
        <v>1.0209999999999999</v>
      </c>
      <c r="G240" s="947"/>
      <c r="H240" s="946"/>
      <c r="I240" s="948"/>
      <c r="J240" s="948"/>
      <c r="K240" s="948"/>
      <c r="L240" s="948"/>
      <c r="M240" s="948"/>
      <c r="N240" s="947"/>
      <c r="O240" s="949"/>
      <c r="P240" s="946">
        <f t="shared" si="61"/>
        <v>1.032</v>
      </c>
      <c r="Q240" s="947">
        <f t="shared" si="62"/>
        <v>1.0349999999999999</v>
      </c>
      <c r="R240" s="950">
        <f t="shared" si="57"/>
        <v>1.0905505199999999</v>
      </c>
      <c r="S240" s="926"/>
      <c r="T240" s="926"/>
      <c r="U240" s="926"/>
      <c r="V240" s="926"/>
      <c r="W240" s="926"/>
      <c r="X240" s="926"/>
      <c r="Y240" s="926"/>
      <c r="Z240" s="926"/>
      <c r="AA240" s="926"/>
      <c r="AB240" s="926"/>
      <c r="AC240" s="926"/>
      <c r="AD240" s="926"/>
      <c r="AE240" s="926"/>
      <c r="AF240" s="926"/>
      <c r="AG240" s="926"/>
      <c r="AH240" s="926"/>
      <c r="AI240" s="926"/>
      <c r="AJ240" s="926"/>
      <c r="AK240" s="926"/>
      <c r="AL240" s="926"/>
      <c r="AM240" s="926"/>
      <c r="AN240" s="926"/>
      <c r="AO240" s="926"/>
      <c r="AP240" s="926"/>
      <c r="AQ240" s="926"/>
      <c r="AR240" s="926"/>
      <c r="AS240" s="926"/>
      <c r="AT240" s="926"/>
      <c r="AU240" s="926"/>
      <c r="AV240" s="926"/>
      <c r="AW240" s="926"/>
      <c r="AX240" s="926"/>
      <c r="AY240" s="926"/>
      <c r="AZ240" s="926"/>
      <c r="BA240" s="926"/>
      <c r="BB240" s="926"/>
      <c r="BC240" s="926"/>
      <c r="BD240" s="926"/>
      <c r="BE240" s="926"/>
      <c r="BF240" s="926"/>
      <c r="BG240" s="926"/>
      <c r="BH240" s="926"/>
      <c r="BI240" s="926"/>
      <c r="BJ240" s="926"/>
      <c r="BK240" s="926"/>
      <c r="BL240" s="926"/>
      <c r="BM240" s="926"/>
      <c r="BN240" s="926"/>
      <c r="BO240" s="926"/>
      <c r="BP240" s="926"/>
      <c r="BQ240" s="926"/>
      <c r="BR240" s="926"/>
      <c r="BS240" s="926"/>
      <c r="BT240" s="926"/>
      <c r="BU240" s="926"/>
      <c r="BV240" s="926"/>
      <c r="BW240" s="926"/>
      <c r="BX240" s="926"/>
      <c r="BY240" s="926"/>
      <c r="BZ240" s="926"/>
      <c r="CA240" s="926"/>
      <c r="CB240" s="926"/>
      <c r="CC240" s="926"/>
      <c r="CD240" s="926"/>
      <c r="CE240" s="926"/>
      <c r="CF240" s="926"/>
      <c r="CG240" s="926"/>
      <c r="CH240" s="926"/>
      <c r="CI240" s="926"/>
      <c r="CJ240" s="926"/>
      <c r="CK240" s="926"/>
      <c r="CL240" s="926"/>
      <c r="CM240" s="926"/>
      <c r="CN240" s="926"/>
      <c r="CO240" s="926"/>
      <c r="CP240" s="926"/>
      <c r="CQ240" s="926"/>
      <c r="CR240" s="926"/>
      <c r="CS240" s="926"/>
      <c r="CT240" s="926"/>
      <c r="CU240" s="926"/>
      <c r="CV240" s="926"/>
      <c r="CW240" s="926"/>
      <c r="CX240" s="926"/>
      <c r="CY240" s="926"/>
      <c r="CZ240" s="926"/>
      <c r="DA240" s="926"/>
      <c r="DB240" s="926"/>
      <c r="DC240" s="926"/>
      <c r="DD240" s="926"/>
      <c r="DE240" s="926"/>
      <c r="DF240" s="926"/>
      <c r="DG240" s="926"/>
      <c r="DH240" s="926"/>
      <c r="DI240" s="926"/>
      <c r="DJ240" s="926"/>
      <c r="DK240" s="926"/>
      <c r="DL240" s="926"/>
      <c r="DM240" s="926"/>
      <c r="DN240" s="926"/>
      <c r="DO240" s="926"/>
      <c r="DP240" s="926"/>
      <c r="DQ240" s="926"/>
      <c r="DR240" s="926"/>
      <c r="DS240" s="926"/>
      <c r="DT240" s="926"/>
      <c r="DU240" s="926"/>
      <c r="DV240" s="926"/>
      <c r="DW240" s="926"/>
      <c r="DX240" s="926"/>
      <c r="DY240" s="926"/>
      <c r="DZ240" s="926"/>
      <c r="EA240" s="926"/>
      <c r="EB240" s="926"/>
      <c r="EC240" s="926"/>
      <c r="ED240" s="926"/>
      <c r="EE240" s="926"/>
      <c r="EF240" s="926"/>
      <c r="EG240" s="926"/>
      <c r="EH240" s="926"/>
      <c r="EI240" s="926"/>
      <c r="EJ240" s="926"/>
      <c r="EK240" s="926"/>
      <c r="EL240" s="926"/>
      <c r="EM240" s="926"/>
      <c r="EN240" s="926"/>
      <c r="EO240" s="926"/>
      <c r="EP240" s="926"/>
      <c r="EQ240" s="926"/>
      <c r="ER240" s="926"/>
      <c r="ES240" s="926"/>
      <c r="ET240" s="926"/>
      <c r="EU240" s="926"/>
      <c r="EV240" s="926"/>
      <c r="EW240" s="926"/>
      <c r="EX240" s="926"/>
      <c r="EY240" s="926"/>
      <c r="EZ240" s="926"/>
      <c r="FA240" s="926"/>
      <c r="FB240" s="926"/>
      <c r="FC240" s="926"/>
      <c r="FD240" s="926"/>
      <c r="FE240" s="926"/>
      <c r="FF240" s="926"/>
      <c r="FG240" s="926"/>
      <c r="FH240" s="926"/>
      <c r="FI240" s="926"/>
      <c r="FJ240" s="926"/>
      <c r="FK240" s="926"/>
      <c r="FL240" s="926"/>
      <c r="FM240" s="926"/>
      <c r="FN240" s="926"/>
      <c r="FO240" s="926"/>
      <c r="FP240" s="926"/>
      <c r="FQ240" s="926"/>
      <c r="FR240" s="926"/>
      <c r="FS240" s="926"/>
      <c r="FT240" s="926"/>
      <c r="FU240" s="926"/>
      <c r="FV240" s="926"/>
      <c r="FW240" s="926"/>
      <c r="FX240" s="926"/>
      <c r="FY240" s="926"/>
      <c r="FZ240" s="926"/>
      <c r="GA240" s="926"/>
      <c r="GB240" s="926"/>
      <c r="GC240" s="926"/>
      <c r="GD240" s="926"/>
      <c r="GE240" s="926"/>
      <c r="GF240" s="926"/>
      <c r="GG240" s="926"/>
      <c r="GH240" s="926"/>
      <c r="GI240" s="926"/>
      <c r="GJ240" s="926"/>
      <c r="GK240" s="926"/>
      <c r="GL240" s="926"/>
      <c r="GM240" s="926"/>
      <c r="GN240" s="926"/>
      <c r="GO240" s="926"/>
      <c r="GP240" s="926"/>
      <c r="GQ240" s="926"/>
      <c r="GR240" s="926"/>
      <c r="GS240" s="926"/>
      <c r="GT240" s="926"/>
      <c r="GU240" s="926"/>
      <c r="GV240" s="926"/>
      <c r="GW240" s="926"/>
      <c r="GX240" s="926"/>
      <c r="GY240" s="926"/>
      <c r="GZ240" s="926"/>
      <c r="HA240" s="926"/>
      <c r="HB240" s="926"/>
      <c r="HC240" s="926"/>
      <c r="HD240" s="926"/>
      <c r="HE240" s="926"/>
      <c r="HF240" s="926"/>
      <c r="HG240" s="926"/>
      <c r="HH240" s="926"/>
      <c r="HI240" s="926"/>
      <c r="HJ240" s="926"/>
      <c r="HK240" s="926"/>
      <c r="HL240" s="926"/>
      <c r="HM240" s="926"/>
      <c r="HN240" s="926"/>
      <c r="HO240" s="926"/>
      <c r="HP240" s="926"/>
      <c r="HQ240" s="926"/>
      <c r="HR240" s="926"/>
      <c r="HS240" s="926"/>
      <c r="HT240" s="926"/>
      <c r="HU240" s="926"/>
      <c r="HV240" s="926"/>
      <c r="HW240" s="926"/>
      <c r="HX240" s="926"/>
      <c r="HY240" s="926"/>
      <c r="HZ240" s="926"/>
      <c r="IA240" s="926"/>
      <c r="IB240" s="926"/>
      <c r="IC240" s="926"/>
      <c r="ID240" s="926"/>
      <c r="IE240" s="926"/>
      <c r="IF240" s="926"/>
      <c r="IG240" s="926"/>
      <c r="IH240" s="926"/>
      <c r="II240" s="926"/>
      <c r="IJ240" s="926"/>
      <c r="IK240" s="926"/>
      <c r="IL240" s="926"/>
      <c r="IM240" s="926"/>
    </row>
    <row r="241" spans="1:247" x14ac:dyDescent="0.45">
      <c r="A241" s="441">
        <v>8432</v>
      </c>
      <c r="B241" s="939" t="s">
        <v>2778</v>
      </c>
      <c r="C241" s="47" t="s">
        <v>113</v>
      </c>
      <c r="D241" s="449" t="s">
        <v>2540</v>
      </c>
      <c r="E241" s="946"/>
      <c r="F241" s="941">
        <f t="shared" si="56"/>
        <v>1.0209999999999999</v>
      </c>
      <c r="G241" s="947"/>
      <c r="H241" s="946"/>
      <c r="I241" s="948"/>
      <c r="J241" s="948"/>
      <c r="K241" s="948"/>
      <c r="L241" s="948"/>
      <c r="M241" s="948"/>
      <c r="N241" s="947"/>
      <c r="O241" s="949"/>
      <c r="P241" s="946">
        <f t="shared" si="61"/>
        <v>1.032</v>
      </c>
      <c r="Q241" s="947">
        <f t="shared" si="62"/>
        <v>1.0349999999999999</v>
      </c>
      <c r="R241" s="950">
        <f t="shared" si="57"/>
        <v>1.0905505199999999</v>
      </c>
      <c r="S241" s="926"/>
      <c r="T241" s="926"/>
      <c r="U241" s="926"/>
      <c r="V241" s="926"/>
      <c r="W241" s="926"/>
      <c r="X241" s="926"/>
      <c r="Y241" s="926"/>
      <c r="Z241" s="926"/>
      <c r="AA241" s="926"/>
      <c r="AB241" s="926"/>
      <c r="AC241" s="926"/>
      <c r="AD241" s="926"/>
      <c r="AE241" s="926"/>
      <c r="AF241" s="926"/>
      <c r="AG241" s="926"/>
      <c r="AH241" s="926"/>
      <c r="AI241" s="926"/>
      <c r="AJ241" s="926"/>
      <c r="AK241" s="926"/>
      <c r="AL241" s="926"/>
      <c r="AM241" s="926"/>
      <c r="AN241" s="926"/>
      <c r="AO241" s="926"/>
      <c r="AP241" s="926"/>
      <c r="AQ241" s="926"/>
      <c r="AR241" s="926"/>
      <c r="AS241" s="926"/>
      <c r="AT241" s="926"/>
      <c r="AU241" s="926"/>
      <c r="AV241" s="926"/>
      <c r="AW241" s="926"/>
      <c r="AX241" s="926"/>
      <c r="AY241" s="926"/>
      <c r="AZ241" s="926"/>
      <c r="BA241" s="926"/>
      <c r="BB241" s="926"/>
      <c r="BC241" s="926"/>
      <c r="BD241" s="926"/>
      <c r="BE241" s="926"/>
      <c r="BF241" s="926"/>
      <c r="BG241" s="926"/>
      <c r="BH241" s="926"/>
      <c r="BI241" s="926"/>
      <c r="BJ241" s="926"/>
      <c r="BK241" s="926"/>
      <c r="BL241" s="926"/>
      <c r="BM241" s="926"/>
      <c r="BN241" s="926"/>
      <c r="BO241" s="926"/>
      <c r="BP241" s="926"/>
      <c r="BQ241" s="926"/>
      <c r="BR241" s="926"/>
      <c r="BS241" s="926"/>
      <c r="BT241" s="926"/>
      <c r="BU241" s="926"/>
      <c r="BV241" s="926"/>
      <c r="BW241" s="926"/>
      <c r="BX241" s="926"/>
      <c r="BY241" s="926"/>
      <c r="BZ241" s="926"/>
      <c r="CA241" s="926"/>
      <c r="CB241" s="926"/>
      <c r="CC241" s="926"/>
      <c r="CD241" s="926"/>
      <c r="CE241" s="926"/>
      <c r="CF241" s="926"/>
      <c r="CG241" s="926"/>
      <c r="CH241" s="926"/>
      <c r="CI241" s="926"/>
      <c r="CJ241" s="926"/>
      <c r="CK241" s="926"/>
      <c r="CL241" s="926"/>
      <c r="CM241" s="926"/>
      <c r="CN241" s="926"/>
      <c r="CO241" s="926"/>
      <c r="CP241" s="926"/>
      <c r="CQ241" s="926"/>
      <c r="CR241" s="926"/>
      <c r="CS241" s="926"/>
      <c r="CT241" s="926"/>
      <c r="CU241" s="926"/>
      <c r="CV241" s="926"/>
      <c r="CW241" s="926"/>
      <c r="CX241" s="926"/>
      <c r="CY241" s="926"/>
      <c r="CZ241" s="926"/>
      <c r="DA241" s="926"/>
      <c r="DB241" s="926"/>
      <c r="DC241" s="926"/>
      <c r="DD241" s="926"/>
      <c r="DE241" s="926"/>
      <c r="DF241" s="926"/>
      <c r="DG241" s="926"/>
      <c r="DH241" s="926"/>
      <c r="DI241" s="926"/>
      <c r="DJ241" s="926"/>
      <c r="DK241" s="926"/>
      <c r="DL241" s="926"/>
      <c r="DM241" s="926"/>
      <c r="DN241" s="926"/>
      <c r="DO241" s="926"/>
      <c r="DP241" s="926"/>
      <c r="DQ241" s="926"/>
      <c r="DR241" s="926"/>
      <c r="DS241" s="926"/>
      <c r="DT241" s="926"/>
      <c r="DU241" s="926"/>
      <c r="DV241" s="926"/>
      <c r="DW241" s="926"/>
      <c r="DX241" s="926"/>
      <c r="DY241" s="926"/>
      <c r="DZ241" s="926"/>
      <c r="EA241" s="926"/>
      <c r="EB241" s="926"/>
      <c r="EC241" s="926"/>
      <c r="ED241" s="926"/>
      <c r="EE241" s="926"/>
      <c r="EF241" s="926"/>
      <c r="EG241" s="926"/>
      <c r="EH241" s="926"/>
      <c r="EI241" s="926"/>
      <c r="EJ241" s="926"/>
      <c r="EK241" s="926"/>
      <c r="EL241" s="926"/>
      <c r="EM241" s="926"/>
      <c r="EN241" s="926"/>
      <c r="EO241" s="926"/>
      <c r="EP241" s="926"/>
      <c r="EQ241" s="926"/>
      <c r="ER241" s="926"/>
      <c r="ES241" s="926"/>
      <c r="ET241" s="926"/>
      <c r="EU241" s="926"/>
      <c r="EV241" s="926"/>
      <c r="EW241" s="926"/>
      <c r="EX241" s="926"/>
      <c r="EY241" s="926"/>
      <c r="EZ241" s="926"/>
      <c r="FA241" s="926"/>
      <c r="FB241" s="926"/>
      <c r="FC241" s="926"/>
      <c r="FD241" s="926"/>
      <c r="FE241" s="926"/>
      <c r="FF241" s="926"/>
      <c r="FG241" s="926"/>
      <c r="FH241" s="926"/>
      <c r="FI241" s="926"/>
      <c r="FJ241" s="926"/>
      <c r="FK241" s="926"/>
      <c r="FL241" s="926"/>
      <c r="FM241" s="926"/>
      <c r="FN241" s="926"/>
      <c r="FO241" s="926"/>
      <c r="FP241" s="926"/>
      <c r="FQ241" s="926"/>
      <c r="FR241" s="926"/>
      <c r="FS241" s="926"/>
      <c r="FT241" s="926"/>
      <c r="FU241" s="926"/>
      <c r="FV241" s="926"/>
      <c r="FW241" s="926"/>
      <c r="FX241" s="926"/>
      <c r="FY241" s="926"/>
      <c r="FZ241" s="926"/>
      <c r="GA241" s="926"/>
      <c r="GB241" s="926"/>
      <c r="GC241" s="926"/>
      <c r="GD241" s="926"/>
      <c r="GE241" s="926"/>
      <c r="GF241" s="926"/>
      <c r="GG241" s="926"/>
      <c r="GH241" s="926"/>
      <c r="GI241" s="926"/>
      <c r="GJ241" s="926"/>
      <c r="GK241" s="926"/>
      <c r="GL241" s="926"/>
      <c r="GM241" s="926"/>
      <c r="GN241" s="926"/>
      <c r="GO241" s="926"/>
      <c r="GP241" s="926"/>
      <c r="GQ241" s="926"/>
      <c r="GR241" s="926"/>
      <c r="GS241" s="926"/>
      <c r="GT241" s="926"/>
      <c r="GU241" s="926"/>
      <c r="GV241" s="926"/>
      <c r="GW241" s="926"/>
      <c r="GX241" s="926"/>
      <c r="GY241" s="926"/>
      <c r="GZ241" s="926"/>
      <c r="HA241" s="926"/>
      <c r="HB241" s="926"/>
      <c r="HC241" s="926"/>
      <c r="HD241" s="926"/>
      <c r="HE241" s="926"/>
      <c r="HF241" s="926"/>
      <c r="HG241" s="926"/>
      <c r="HH241" s="926"/>
      <c r="HI241" s="926"/>
      <c r="HJ241" s="926"/>
      <c r="HK241" s="926"/>
      <c r="HL241" s="926"/>
      <c r="HM241" s="926"/>
      <c r="HN241" s="926"/>
      <c r="HO241" s="926"/>
      <c r="HP241" s="926"/>
      <c r="HQ241" s="926"/>
      <c r="HR241" s="926"/>
      <c r="HS241" s="926"/>
      <c r="HT241" s="926"/>
      <c r="HU241" s="926"/>
      <c r="HV241" s="926"/>
      <c r="HW241" s="926"/>
      <c r="HX241" s="926"/>
      <c r="HY241" s="926"/>
      <c r="HZ241" s="926"/>
      <c r="IA241" s="926"/>
      <c r="IB241" s="926"/>
      <c r="IC241" s="926"/>
      <c r="ID241" s="926"/>
      <c r="IE241" s="926"/>
      <c r="IF241" s="926"/>
      <c r="IG241" s="926"/>
      <c r="IH241" s="926"/>
      <c r="II241" s="926"/>
      <c r="IJ241" s="926"/>
      <c r="IK241" s="926"/>
      <c r="IL241" s="926"/>
      <c r="IM241" s="926"/>
    </row>
    <row r="242" spans="1:247" x14ac:dyDescent="0.45">
      <c r="A242" s="441">
        <v>8441</v>
      </c>
      <c r="B242" s="939" t="s">
        <v>2779</v>
      </c>
      <c r="C242" s="47" t="s">
        <v>2170</v>
      </c>
      <c r="D242" s="449" t="s">
        <v>2537</v>
      </c>
      <c r="E242" s="946"/>
      <c r="F242" s="941">
        <f t="shared" si="56"/>
        <v>1.0209999999999999</v>
      </c>
      <c r="G242" s="947"/>
      <c r="H242" s="946"/>
      <c r="I242" s="948"/>
      <c r="J242" s="948"/>
      <c r="K242" s="948"/>
      <c r="L242" s="948"/>
      <c r="M242" s="948"/>
      <c r="N242" s="947"/>
      <c r="O242" s="949"/>
      <c r="P242" s="946">
        <f t="shared" si="61"/>
        <v>1.032</v>
      </c>
      <c r="Q242" s="947">
        <f t="shared" si="62"/>
        <v>1.0349999999999999</v>
      </c>
      <c r="R242" s="950">
        <f t="shared" si="57"/>
        <v>1.0905505199999999</v>
      </c>
      <c r="S242" s="926"/>
      <c r="T242" s="926"/>
      <c r="U242" s="926"/>
      <c r="V242" s="926"/>
      <c r="W242" s="926"/>
      <c r="X242" s="926"/>
      <c r="Y242" s="926"/>
      <c r="Z242" s="926"/>
      <c r="AA242" s="926"/>
      <c r="AB242" s="926"/>
      <c r="AC242" s="926"/>
      <c r="AD242" s="926"/>
      <c r="AE242" s="926"/>
      <c r="AF242" s="926"/>
      <c r="AG242" s="926"/>
      <c r="AH242" s="926"/>
      <c r="AI242" s="926"/>
      <c r="AJ242" s="926"/>
      <c r="AK242" s="926"/>
      <c r="AL242" s="926"/>
      <c r="AM242" s="926"/>
      <c r="AN242" s="926"/>
      <c r="AO242" s="926"/>
      <c r="AP242" s="926"/>
      <c r="AQ242" s="926"/>
      <c r="AR242" s="926"/>
      <c r="AS242" s="926"/>
      <c r="AT242" s="926"/>
      <c r="AU242" s="926"/>
      <c r="AV242" s="926"/>
      <c r="AW242" s="926"/>
      <c r="AX242" s="926"/>
      <c r="AY242" s="926"/>
      <c r="AZ242" s="926"/>
      <c r="BA242" s="926"/>
      <c r="BB242" s="926"/>
      <c r="BC242" s="926"/>
      <c r="BD242" s="926"/>
      <c r="BE242" s="926"/>
      <c r="BF242" s="926"/>
      <c r="BG242" s="926"/>
      <c r="BH242" s="926"/>
      <c r="BI242" s="926"/>
      <c r="BJ242" s="926"/>
      <c r="BK242" s="926"/>
      <c r="BL242" s="926"/>
      <c r="BM242" s="926"/>
      <c r="BN242" s="926"/>
      <c r="BO242" s="926"/>
      <c r="BP242" s="926"/>
      <c r="BQ242" s="926"/>
      <c r="BR242" s="926"/>
      <c r="BS242" s="926"/>
      <c r="BT242" s="926"/>
      <c r="BU242" s="926"/>
      <c r="BV242" s="926"/>
      <c r="BW242" s="926"/>
      <c r="BX242" s="926"/>
      <c r="BY242" s="926"/>
      <c r="BZ242" s="926"/>
      <c r="CA242" s="926"/>
      <c r="CB242" s="926"/>
      <c r="CC242" s="926"/>
      <c r="CD242" s="926"/>
      <c r="CE242" s="926"/>
      <c r="CF242" s="926"/>
      <c r="CG242" s="926"/>
      <c r="CH242" s="926"/>
      <c r="CI242" s="926"/>
      <c r="CJ242" s="926"/>
      <c r="CK242" s="926"/>
      <c r="CL242" s="926"/>
      <c r="CM242" s="926"/>
      <c r="CN242" s="926"/>
      <c r="CO242" s="926"/>
      <c r="CP242" s="926"/>
      <c r="CQ242" s="926"/>
      <c r="CR242" s="926"/>
      <c r="CS242" s="926"/>
      <c r="CT242" s="926"/>
      <c r="CU242" s="926"/>
      <c r="CV242" s="926"/>
      <c r="CW242" s="926"/>
      <c r="CX242" s="926"/>
      <c r="CY242" s="926"/>
      <c r="CZ242" s="926"/>
      <c r="DA242" s="926"/>
      <c r="DB242" s="926"/>
      <c r="DC242" s="926"/>
      <c r="DD242" s="926"/>
      <c r="DE242" s="926"/>
      <c r="DF242" s="926"/>
      <c r="DG242" s="926"/>
      <c r="DH242" s="926"/>
      <c r="DI242" s="926"/>
      <c r="DJ242" s="926"/>
      <c r="DK242" s="926"/>
      <c r="DL242" s="926"/>
      <c r="DM242" s="926"/>
      <c r="DN242" s="926"/>
      <c r="DO242" s="926"/>
      <c r="DP242" s="926"/>
      <c r="DQ242" s="926"/>
      <c r="DR242" s="926"/>
      <c r="DS242" s="926"/>
      <c r="DT242" s="926"/>
      <c r="DU242" s="926"/>
      <c r="DV242" s="926"/>
      <c r="DW242" s="926"/>
      <c r="DX242" s="926"/>
      <c r="DY242" s="926"/>
      <c r="DZ242" s="926"/>
      <c r="EA242" s="926"/>
      <c r="EB242" s="926"/>
      <c r="EC242" s="926"/>
      <c r="ED242" s="926"/>
      <c r="EE242" s="926"/>
      <c r="EF242" s="926"/>
      <c r="EG242" s="926"/>
      <c r="EH242" s="926"/>
      <c r="EI242" s="926"/>
      <c r="EJ242" s="926"/>
      <c r="EK242" s="926"/>
      <c r="EL242" s="926"/>
      <c r="EM242" s="926"/>
      <c r="EN242" s="926"/>
      <c r="EO242" s="926"/>
      <c r="EP242" s="926"/>
      <c r="EQ242" s="926"/>
      <c r="ER242" s="926"/>
      <c r="ES242" s="926"/>
      <c r="ET242" s="926"/>
      <c r="EU242" s="926"/>
      <c r="EV242" s="926"/>
      <c r="EW242" s="926"/>
      <c r="EX242" s="926"/>
      <c r="EY242" s="926"/>
      <c r="EZ242" s="926"/>
      <c r="FA242" s="926"/>
      <c r="FB242" s="926"/>
      <c r="FC242" s="926"/>
      <c r="FD242" s="926"/>
      <c r="FE242" s="926"/>
      <c r="FF242" s="926"/>
      <c r="FG242" s="926"/>
      <c r="FH242" s="926"/>
      <c r="FI242" s="926"/>
      <c r="FJ242" s="926"/>
      <c r="FK242" s="926"/>
      <c r="FL242" s="926"/>
      <c r="FM242" s="926"/>
      <c r="FN242" s="926"/>
      <c r="FO242" s="926"/>
      <c r="FP242" s="926"/>
      <c r="FQ242" s="926"/>
      <c r="FR242" s="926"/>
      <c r="FS242" s="926"/>
      <c r="FT242" s="926"/>
      <c r="FU242" s="926"/>
      <c r="FV242" s="926"/>
      <c r="FW242" s="926"/>
      <c r="FX242" s="926"/>
      <c r="FY242" s="926"/>
      <c r="FZ242" s="926"/>
      <c r="GA242" s="926"/>
      <c r="GB242" s="926"/>
      <c r="GC242" s="926"/>
      <c r="GD242" s="926"/>
      <c r="GE242" s="926"/>
      <c r="GF242" s="926"/>
      <c r="GG242" s="926"/>
      <c r="GH242" s="926"/>
      <c r="GI242" s="926"/>
      <c r="GJ242" s="926"/>
      <c r="GK242" s="926"/>
      <c r="GL242" s="926"/>
      <c r="GM242" s="926"/>
      <c r="GN242" s="926"/>
      <c r="GO242" s="926"/>
      <c r="GP242" s="926"/>
      <c r="GQ242" s="926"/>
      <c r="GR242" s="926"/>
      <c r="GS242" s="926"/>
      <c r="GT242" s="926"/>
      <c r="GU242" s="926"/>
      <c r="GV242" s="926"/>
      <c r="GW242" s="926"/>
      <c r="GX242" s="926"/>
      <c r="GY242" s="926"/>
      <c r="GZ242" s="926"/>
      <c r="HA242" s="926"/>
      <c r="HB242" s="926"/>
      <c r="HC242" s="926"/>
      <c r="HD242" s="926"/>
      <c r="HE242" s="926"/>
      <c r="HF242" s="926"/>
      <c r="HG242" s="926"/>
      <c r="HH242" s="926"/>
      <c r="HI242" s="926"/>
      <c r="HJ242" s="926"/>
      <c r="HK242" s="926"/>
      <c r="HL242" s="926"/>
      <c r="HM242" s="926"/>
      <c r="HN242" s="926"/>
      <c r="HO242" s="926"/>
      <c r="HP242" s="926"/>
      <c r="HQ242" s="926"/>
      <c r="HR242" s="926"/>
      <c r="HS242" s="926"/>
      <c r="HT242" s="926"/>
      <c r="HU242" s="926"/>
      <c r="HV242" s="926"/>
      <c r="HW242" s="926"/>
      <c r="HX242" s="926"/>
      <c r="HY242" s="926"/>
      <c r="HZ242" s="926"/>
      <c r="IA242" s="926"/>
      <c r="IB242" s="926"/>
      <c r="IC242" s="926"/>
      <c r="ID242" s="926"/>
      <c r="IE242" s="926"/>
      <c r="IF242" s="926"/>
      <c r="IG242" s="926"/>
      <c r="IH242" s="926"/>
      <c r="II242" s="926"/>
      <c r="IJ242" s="926"/>
      <c r="IK242" s="926"/>
      <c r="IL242" s="926"/>
      <c r="IM242" s="926"/>
    </row>
    <row r="243" spans="1:247" x14ac:dyDescent="0.45">
      <c r="A243" s="441">
        <v>8442</v>
      </c>
      <c r="B243" s="939" t="s">
        <v>2780</v>
      </c>
      <c r="C243" s="47" t="s">
        <v>163</v>
      </c>
      <c r="D243" s="449" t="s">
        <v>2537</v>
      </c>
      <c r="E243" s="946"/>
      <c r="F243" s="941">
        <f t="shared" si="56"/>
        <v>1.0209999999999999</v>
      </c>
      <c r="G243" s="947"/>
      <c r="H243" s="946"/>
      <c r="I243" s="948"/>
      <c r="J243" s="948"/>
      <c r="K243" s="948"/>
      <c r="L243" s="948"/>
      <c r="M243" s="948"/>
      <c r="N243" s="947"/>
      <c r="O243" s="949"/>
      <c r="P243" s="946">
        <f t="shared" si="61"/>
        <v>1.032</v>
      </c>
      <c r="Q243" s="947">
        <f t="shared" si="62"/>
        <v>1.0349999999999999</v>
      </c>
      <c r="R243" s="950">
        <f t="shared" si="57"/>
        <v>1.0905505199999999</v>
      </c>
      <c r="S243" s="926"/>
      <c r="T243" s="926"/>
      <c r="U243" s="926"/>
      <c r="V243" s="926"/>
      <c r="W243" s="926"/>
      <c r="X243" s="926"/>
      <c r="Y243" s="926"/>
      <c r="Z243" s="926"/>
      <c r="AA243" s="926"/>
      <c r="AB243" s="926"/>
      <c r="AC243" s="926"/>
      <c r="AD243" s="926"/>
      <c r="AE243" s="926"/>
      <c r="AF243" s="926"/>
      <c r="AG243" s="926"/>
      <c r="AH243" s="926"/>
      <c r="AI243" s="926"/>
      <c r="AJ243" s="926"/>
      <c r="AK243" s="926"/>
      <c r="AL243" s="926"/>
      <c r="AM243" s="926"/>
      <c r="AN243" s="926"/>
      <c r="AO243" s="926"/>
      <c r="AP243" s="926"/>
      <c r="AQ243" s="926"/>
      <c r="AR243" s="926"/>
      <c r="AS243" s="926"/>
      <c r="AT243" s="926"/>
      <c r="AU243" s="926"/>
      <c r="AV243" s="926"/>
      <c r="AW243" s="926"/>
      <c r="AX243" s="926"/>
      <c r="AY243" s="926"/>
      <c r="AZ243" s="926"/>
      <c r="BA243" s="926"/>
      <c r="BB243" s="926"/>
      <c r="BC243" s="926"/>
      <c r="BD243" s="926"/>
      <c r="BE243" s="926"/>
      <c r="BF243" s="926"/>
      <c r="BG243" s="926"/>
      <c r="BH243" s="926"/>
      <c r="BI243" s="926"/>
      <c r="BJ243" s="926"/>
      <c r="BK243" s="926"/>
      <c r="BL243" s="926"/>
      <c r="BM243" s="926"/>
      <c r="BN243" s="926"/>
      <c r="BO243" s="926"/>
      <c r="BP243" s="926"/>
      <c r="BQ243" s="926"/>
      <c r="BR243" s="926"/>
      <c r="BS243" s="926"/>
      <c r="BT243" s="926"/>
      <c r="BU243" s="926"/>
      <c r="BV243" s="926"/>
      <c r="BW243" s="926"/>
      <c r="BX243" s="926"/>
      <c r="BY243" s="926"/>
      <c r="BZ243" s="926"/>
      <c r="CA243" s="926"/>
      <c r="CB243" s="926"/>
      <c r="CC243" s="926"/>
      <c r="CD243" s="926"/>
      <c r="CE243" s="926"/>
      <c r="CF243" s="926"/>
      <c r="CG243" s="926"/>
      <c r="CH243" s="926"/>
      <c r="CI243" s="926"/>
      <c r="CJ243" s="926"/>
      <c r="CK243" s="926"/>
      <c r="CL243" s="926"/>
      <c r="CM243" s="926"/>
      <c r="CN243" s="926"/>
      <c r="CO243" s="926"/>
      <c r="CP243" s="926"/>
      <c r="CQ243" s="926"/>
      <c r="CR243" s="926"/>
      <c r="CS243" s="926"/>
      <c r="CT243" s="926"/>
      <c r="CU243" s="926"/>
      <c r="CV243" s="926"/>
      <c r="CW243" s="926"/>
      <c r="CX243" s="926"/>
      <c r="CY243" s="926"/>
      <c r="CZ243" s="926"/>
      <c r="DA243" s="926"/>
      <c r="DB243" s="926"/>
      <c r="DC243" s="926"/>
      <c r="DD243" s="926"/>
      <c r="DE243" s="926"/>
      <c r="DF243" s="926"/>
      <c r="DG243" s="926"/>
      <c r="DH243" s="926"/>
      <c r="DI243" s="926"/>
      <c r="DJ243" s="926"/>
      <c r="DK243" s="926"/>
      <c r="DL243" s="926"/>
      <c r="DM243" s="926"/>
      <c r="DN243" s="926"/>
      <c r="DO243" s="926"/>
      <c r="DP243" s="926"/>
      <c r="DQ243" s="926"/>
      <c r="DR243" s="926"/>
      <c r="DS243" s="926"/>
      <c r="DT243" s="926"/>
      <c r="DU243" s="926"/>
      <c r="DV243" s="926"/>
      <c r="DW243" s="926"/>
      <c r="DX243" s="926"/>
      <c r="DY243" s="926"/>
      <c r="DZ243" s="926"/>
      <c r="EA243" s="926"/>
      <c r="EB243" s="926"/>
      <c r="EC243" s="926"/>
      <c r="ED243" s="926"/>
      <c r="EE243" s="926"/>
      <c r="EF243" s="926"/>
      <c r="EG243" s="926"/>
      <c r="EH243" s="926"/>
      <c r="EI243" s="926"/>
      <c r="EJ243" s="926"/>
      <c r="EK243" s="926"/>
      <c r="EL243" s="926"/>
      <c r="EM243" s="926"/>
      <c r="EN243" s="926"/>
      <c r="EO243" s="926"/>
      <c r="EP243" s="926"/>
      <c r="EQ243" s="926"/>
      <c r="ER243" s="926"/>
      <c r="ES243" s="926"/>
      <c r="ET243" s="926"/>
      <c r="EU243" s="926"/>
      <c r="EV243" s="926"/>
      <c r="EW243" s="926"/>
      <c r="EX243" s="926"/>
      <c r="EY243" s="926"/>
      <c r="EZ243" s="926"/>
      <c r="FA243" s="926"/>
      <c r="FB243" s="926"/>
      <c r="FC243" s="926"/>
      <c r="FD243" s="926"/>
      <c r="FE243" s="926"/>
      <c r="FF243" s="926"/>
      <c r="FG243" s="926"/>
      <c r="FH243" s="926"/>
      <c r="FI243" s="926"/>
      <c r="FJ243" s="926"/>
      <c r="FK243" s="926"/>
      <c r="FL243" s="926"/>
      <c r="FM243" s="926"/>
      <c r="FN243" s="926"/>
      <c r="FO243" s="926"/>
      <c r="FP243" s="926"/>
      <c r="FQ243" s="926"/>
      <c r="FR243" s="926"/>
      <c r="FS243" s="926"/>
      <c r="FT243" s="926"/>
      <c r="FU243" s="926"/>
      <c r="FV243" s="926"/>
      <c r="FW243" s="926"/>
      <c r="FX243" s="926"/>
      <c r="FY243" s="926"/>
      <c r="FZ243" s="926"/>
      <c r="GA243" s="926"/>
      <c r="GB243" s="926"/>
      <c r="GC243" s="926"/>
      <c r="GD243" s="926"/>
      <c r="GE243" s="926"/>
      <c r="GF243" s="926"/>
      <c r="GG243" s="926"/>
      <c r="GH243" s="926"/>
      <c r="GI243" s="926"/>
      <c r="GJ243" s="926"/>
      <c r="GK243" s="926"/>
      <c r="GL243" s="926"/>
      <c r="GM243" s="926"/>
      <c r="GN243" s="926"/>
      <c r="GO243" s="926"/>
      <c r="GP243" s="926"/>
      <c r="GQ243" s="926"/>
      <c r="GR243" s="926"/>
      <c r="GS243" s="926"/>
      <c r="GT243" s="926"/>
      <c r="GU243" s="926"/>
      <c r="GV243" s="926"/>
      <c r="GW243" s="926"/>
      <c r="GX243" s="926"/>
      <c r="GY243" s="926"/>
      <c r="GZ243" s="926"/>
      <c r="HA243" s="926"/>
      <c r="HB243" s="926"/>
      <c r="HC243" s="926"/>
      <c r="HD243" s="926"/>
      <c r="HE243" s="926"/>
      <c r="HF243" s="926"/>
      <c r="HG243" s="926"/>
      <c r="HH243" s="926"/>
      <c r="HI243" s="926"/>
      <c r="HJ243" s="926"/>
      <c r="HK243" s="926"/>
      <c r="HL243" s="926"/>
      <c r="HM243" s="926"/>
      <c r="HN243" s="926"/>
      <c r="HO243" s="926"/>
      <c r="HP243" s="926"/>
      <c r="HQ243" s="926"/>
      <c r="HR243" s="926"/>
      <c r="HS243" s="926"/>
      <c r="HT243" s="926"/>
      <c r="HU243" s="926"/>
      <c r="HV243" s="926"/>
      <c r="HW243" s="926"/>
      <c r="HX243" s="926"/>
      <c r="HY243" s="926"/>
      <c r="HZ243" s="926"/>
      <c r="IA243" s="926"/>
      <c r="IB243" s="926"/>
      <c r="IC243" s="926"/>
      <c r="ID243" s="926"/>
      <c r="IE243" s="926"/>
      <c r="IF243" s="926"/>
      <c r="IG243" s="926"/>
      <c r="IH243" s="926"/>
      <c r="II243" s="926"/>
      <c r="IJ243" s="926"/>
      <c r="IK243" s="926"/>
      <c r="IL243" s="926"/>
      <c r="IM243" s="926"/>
    </row>
    <row r="244" spans="1:247" x14ac:dyDescent="0.45">
      <c r="A244" s="441">
        <v>8511</v>
      </c>
      <c r="B244" s="939" t="s">
        <v>2781</v>
      </c>
      <c r="C244" s="47" t="s">
        <v>8</v>
      </c>
      <c r="D244" s="449" t="s">
        <v>2540</v>
      </c>
      <c r="E244" s="946"/>
      <c r="F244" s="941">
        <f t="shared" si="56"/>
        <v>1.0209999999999999</v>
      </c>
      <c r="G244" s="947">
        <f>+$G$3</f>
        <v>1.0269999999999999</v>
      </c>
      <c r="H244" s="946"/>
      <c r="I244" s="948"/>
      <c r="J244" s="948"/>
      <c r="K244" s="948"/>
      <c r="L244" s="948"/>
      <c r="M244" s="948"/>
      <c r="N244" s="947"/>
      <c r="O244" s="949"/>
      <c r="P244" s="946">
        <f t="shared" si="61"/>
        <v>1.032</v>
      </c>
      <c r="Q244" s="947">
        <f t="shared" si="62"/>
        <v>1.0349999999999999</v>
      </c>
      <c r="R244" s="950">
        <f t="shared" si="57"/>
        <v>1.1199953840399997</v>
      </c>
      <c r="S244" s="926"/>
      <c r="T244" s="926"/>
      <c r="U244" s="926"/>
      <c r="V244" s="926"/>
      <c r="W244" s="926"/>
      <c r="X244" s="926"/>
      <c r="Y244" s="926"/>
      <c r="Z244" s="926"/>
      <c r="AA244" s="926"/>
      <c r="AB244" s="926"/>
      <c r="AC244" s="926"/>
      <c r="AD244" s="926"/>
      <c r="AE244" s="926"/>
      <c r="AF244" s="926"/>
      <c r="AG244" s="926"/>
      <c r="AH244" s="926"/>
      <c r="AI244" s="926"/>
      <c r="AJ244" s="926"/>
      <c r="AK244" s="926"/>
      <c r="AL244" s="926"/>
      <c r="AM244" s="926"/>
      <c r="AN244" s="926"/>
      <c r="AO244" s="926"/>
      <c r="AP244" s="926"/>
      <c r="AQ244" s="926"/>
      <c r="AR244" s="926"/>
      <c r="AS244" s="926"/>
      <c r="AT244" s="926"/>
      <c r="AU244" s="926"/>
      <c r="AV244" s="926"/>
      <c r="AW244" s="926"/>
      <c r="AX244" s="926"/>
      <c r="AY244" s="926"/>
      <c r="AZ244" s="926"/>
      <c r="BA244" s="926"/>
      <c r="BB244" s="926"/>
      <c r="BC244" s="926"/>
      <c r="BD244" s="926"/>
      <c r="BE244" s="926"/>
      <c r="BF244" s="926"/>
      <c r="BG244" s="926"/>
      <c r="BH244" s="926"/>
      <c r="BI244" s="926"/>
      <c r="BJ244" s="926"/>
      <c r="BK244" s="926"/>
      <c r="BL244" s="926"/>
      <c r="BM244" s="926"/>
      <c r="BN244" s="926"/>
      <c r="BO244" s="926"/>
      <c r="BP244" s="926"/>
      <c r="BQ244" s="926"/>
      <c r="BR244" s="926"/>
      <c r="BS244" s="926"/>
      <c r="BT244" s="926"/>
      <c r="BU244" s="926"/>
      <c r="BV244" s="926"/>
      <c r="BW244" s="926"/>
      <c r="BX244" s="926"/>
      <c r="BY244" s="926"/>
      <c r="BZ244" s="926"/>
      <c r="CA244" s="926"/>
      <c r="CB244" s="926"/>
      <c r="CC244" s="926"/>
      <c r="CD244" s="926"/>
      <c r="CE244" s="926"/>
      <c r="CF244" s="926"/>
      <c r="CG244" s="926"/>
      <c r="CH244" s="926"/>
      <c r="CI244" s="926"/>
      <c r="CJ244" s="926"/>
      <c r="CK244" s="926"/>
      <c r="CL244" s="926"/>
      <c r="CM244" s="926"/>
      <c r="CN244" s="926"/>
      <c r="CO244" s="926"/>
      <c r="CP244" s="926"/>
      <c r="CQ244" s="926"/>
      <c r="CR244" s="926"/>
      <c r="CS244" s="926"/>
      <c r="CT244" s="926"/>
      <c r="CU244" s="926"/>
      <c r="CV244" s="926"/>
      <c r="CW244" s="926"/>
      <c r="CX244" s="926"/>
      <c r="CY244" s="926"/>
      <c r="CZ244" s="926"/>
      <c r="DA244" s="926"/>
      <c r="DB244" s="926"/>
      <c r="DC244" s="926"/>
      <c r="DD244" s="926"/>
      <c r="DE244" s="926"/>
      <c r="DF244" s="926"/>
      <c r="DG244" s="926"/>
      <c r="DH244" s="926"/>
      <c r="DI244" s="926"/>
      <c r="DJ244" s="926"/>
      <c r="DK244" s="926"/>
      <c r="DL244" s="926"/>
      <c r="DM244" s="926"/>
      <c r="DN244" s="926"/>
      <c r="DO244" s="926"/>
      <c r="DP244" s="926"/>
      <c r="DQ244" s="926"/>
      <c r="DR244" s="926"/>
      <c r="DS244" s="926"/>
      <c r="DT244" s="926"/>
      <c r="DU244" s="926"/>
      <c r="DV244" s="926"/>
      <c r="DW244" s="926"/>
      <c r="DX244" s="926"/>
      <c r="DY244" s="926"/>
      <c r="DZ244" s="926"/>
      <c r="EA244" s="926"/>
      <c r="EB244" s="926"/>
      <c r="EC244" s="926"/>
      <c r="ED244" s="926"/>
      <c r="EE244" s="926"/>
      <c r="EF244" s="926"/>
      <c r="EG244" s="926"/>
      <c r="EH244" s="926"/>
      <c r="EI244" s="926"/>
      <c r="EJ244" s="926"/>
      <c r="EK244" s="926"/>
      <c r="EL244" s="926"/>
      <c r="EM244" s="926"/>
      <c r="EN244" s="926"/>
      <c r="EO244" s="926"/>
      <c r="EP244" s="926"/>
      <c r="EQ244" s="926"/>
      <c r="ER244" s="926"/>
      <c r="ES244" s="926"/>
      <c r="ET244" s="926"/>
      <c r="EU244" s="926"/>
      <c r="EV244" s="926"/>
      <c r="EW244" s="926"/>
      <c r="EX244" s="926"/>
      <c r="EY244" s="926"/>
      <c r="EZ244" s="926"/>
      <c r="FA244" s="926"/>
      <c r="FB244" s="926"/>
      <c r="FC244" s="926"/>
      <c r="FD244" s="926"/>
      <c r="FE244" s="926"/>
      <c r="FF244" s="926"/>
      <c r="FG244" s="926"/>
      <c r="FH244" s="926"/>
      <c r="FI244" s="926"/>
      <c r="FJ244" s="926"/>
      <c r="FK244" s="926"/>
      <c r="FL244" s="926"/>
      <c r="FM244" s="926"/>
      <c r="FN244" s="926"/>
      <c r="FO244" s="926"/>
      <c r="FP244" s="926"/>
      <c r="FQ244" s="926"/>
      <c r="FR244" s="926"/>
      <c r="FS244" s="926"/>
      <c r="FT244" s="926"/>
      <c r="FU244" s="926"/>
      <c r="FV244" s="926"/>
      <c r="FW244" s="926"/>
      <c r="FX244" s="926"/>
      <c r="FY244" s="926"/>
      <c r="FZ244" s="926"/>
      <c r="GA244" s="926"/>
      <c r="GB244" s="926"/>
      <c r="GC244" s="926"/>
      <c r="GD244" s="926"/>
      <c r="GE244" s="926"/>
      <c r="GF244" s="926"/>
      <c r="GG244" s="926"/>
      <c r="GH244" s="926"/>
      <c r="GI244" s="926"/>
      <c r="GJ244" s="926"/>
      <c r="GK244" s="926"/>
      <c r="GL244" s="926"/>
      <c r="GM244" s="926"/>
      <c r="GN244" s="926"/>
      <c r="GO244" s="926"/>
      <c r="GP244" s="926"/>
      <c r="GQ244" s="926"/>
      <c r="GR244" s="926"/>
      <c r="GS244" s="926"/>
      <c r="GT244" s="926"/>
      <c r="GU244" s="926"/>
      <c r="GV244" s="926"/>
      <c r="GW244" s="926"/>
      <c r="GX244" s="926"/>
      <c r="GY244" s="926"/>
      <c r="GZ244" s="926"/>
      <c r="HA244" s="926"/>
      <c r="HB244" s="926"/>
      <c r="HC244" s="926"/>
      <c r="HD244" s="926"/>
      <c r="HE244" s="926"/>
      <c r="HF244" s="926"/>
      <c r="HG244" s="926"/>
      <c r="HH244" s="926"/>
      <c r="HI244" s="926"/>
      <c r="HJ244" s="926"/>
      <c r="HK244" s="926"/>
      <c r="HL244" s="926"/>
      <c r="HM244" s="926"/>
      <c r="HN244" s="926"/>
      <c r="HO244" s="926"/>
      <c r="HP244" s="926"/>
      <c r="HQ244" s="926"/>
      <c r="HR244" s="926"/>
      <c r="HS244" s="926"/>
      <c r="HT244" s="926"/>
      <c r="HU244" s="926"/>
      <c r="HV244" s="926"/>
      <c r="HW244" s="926"/>
      <c r="HX244" s="926"/>
      <c r="HY244" s="926"/>
      <c r="HZ244" s="926"/>
      <c r="IA244" s="926"/>
      <c r="IB244" s="926"/>
      <c r="IC244" s="926"/>
      <c r="ID244" s="926"/>
      <c r="IE244" s="926"/>
      <c r="IF244" s="926"/>
      <c r="IG244" s="926"/>
      <c r="IH244" s="926"/>
      <c r="II244" s="926"/>
      <c r="IJ244" s="926"/>
      <c r="IK244" s="926"/>
      <c r="IL244" s="926"/>
      <c r="IM244" s="926"/>
    </row>
    <row r="245" spans="1:247" x14ac:dyDescent="0.45">
      <c r="A245" s="441">
        <v>8513</v>
      </c>
      <c r="B245" s="939" t="s">
        <v>2782</v>
      </c>
      <c r="C245" s="47" t="s">
        <v>8</v>
      </c>
      <c r="D245" s="449" t="s">
        <v>2537</v>
      </c>
      <c r="E245" s="946"/>
      <c r="F245" s="941">
        <f t="shared" si="56"/>
        <v>1.0209999999999999</v>
      </c>
      <c r="G245" s="947">
        <f>+$G$3</f>
        <v>1.0269999999999999</v>
      </c>
      <c r="H245" s="946"/>
      <c r="I245" s="948"/>
      <c r="J245" s="948"/>
      <c r="K245" s="948"/>
      <c r="L245" s="948"/>
      <c r="M245" s="948"/>
      <c r="N245" s="947"/>
      <c r="O245" s="949"/>
      <c r="P245" s="946">
        <f t="shared" si="61"/>
        <v>1.032</v>
      </c>
      <c r="Q245" s="947">
        <f t="shared" si="62"/>
        <v>1.0349999999999999</v>
      </c>
      <c r="R245" s="950">
        <f t="shared" si="57"/>
        <v>1.1199953840399997</v>
      </c>
      <c r="S245" s="926"/>
      <c r="T245" s="926"/>
      <c r="U245" s="926"/>
      <c r="V245" s="926"/>
      <c r="W245" s="926"/>
      <c r="X245" s="926"/>
      <c r="Y245" s="926"/>
      <c r="Z245" s="926"/>
      <c r="AA245" s="926"/>
      <c r="AB245" s="926"/>
      <c r="AC245" s="926"/>
      <c r="AD245" s="926"/>
      <c r="AE245" s="926"/>
      <c r="AF245" s="926"/>
      <c r="AG245" s="926"/>
      <c r="AH245" s="926"/>
      <c r="AI245" s="926"/>
      <c r="AJ245" s="926"/>
      <c r="AK245" s="926"/>
      <c r="AL245" s="926"/>
      <c r="AM245" s="926"/>
      <c r="AN245" s="926"/>
      <c r="AO245" s="926"/>
      <c r="AP245" s="926"/>
      <c r="AQ245" s="926"/>
      <c r="AR245" s="926"/>
      <c r="AS245" s="926"/>
      <c r="AT245" s="926"/>
      <c r="AU245" s="926"/>
      <c r="AV245" s="926"/>
      <c r="AW245" s="926"/>
      <c r="AX245" s="926"/>
      <c r="AY245" s="926"/>
      <c r="AZ245" s="926"/>
      <c r="BA245" s="926"/>
      <c r="BB245" s="926"/>
      <c r="BC245" s="926"/>
      <c r="BD245" s="926"/>
      <c r="BE245" s="926"/>
      <c r="BF245" s="926"/>
      <c r="BG245" s="926"/>
      <c r="BH245" s="926"/>
      <c r="BI245" s="926"/>
      <c r="BJ245" s="926"/>
      <c r="BK245" s="926"/>
      <c r="BL245" s="926"/>
      <c r="BM245" s="926"/>
      <c r="BN245" s="926"/>
      <c r="BO245" s="926"/>
      <c r="BP245" s="926"/>
      <c r="BQ245" s="926"/>
      <c r="BR245" s="926"/>
      <c r="BS245" s="926"/>
      <c r="BT245" s="926"/>
      <c r="BU245" s="926"/>
      <c r="BV245" s="926"/>
      <c r="BW245" s="926"/>
      <c r="BX245" s="926"/>
      <c r="BY245" s="926"/>
      <c r="BZ245" s="926"/>
      <c r="CA245" s="926"/>
      <c r="CB245" s="926"/>
      <c r="CC245" s="926"/>
      <c r="CD245" s="926"/>
      <c r="CE245" s="926"/>
      <c r="CF245" s="926"/>
      <c r="CG245" s="926"/>
      <c r="CH245" s="926"/>
      <c r="CI245" s="926"/>
      <c r="CJ245" s="926"/>
      <c r="CK245" s="926"/>
      <c r="CL245" s="926"/>
      <c r="CM245" s="926"/>
      <c r="CN245" s="926"/>
      <c r="CO245" s="926"/>
      <c r="CP245" s="926"/>
      <c r="CQ245" s="926"/>
      <c r="CR245" s="926"/>
      <c r="CS245" s="926"/>
      <c r="CT245" s="926"/>
      <c r="CU245" s="926"/>
      <c r="CV245" s="926"/>
      <c r="CW245" s="926"/>
      <c r="CX245" s="926"/>
      <c r="CY245" s="926"/>
      <c r="CZ245" s="926"/>
      <c r="DA245" s="926"/>
      <c r="DB245" s="926"/>
      <c r="DC245" s="926"/>
      <c r="DD245" s="926"/>
      <c r="DE245" s="926"/>
      <c r="DF245" s="926"/>
      <c r="DG245" s="926"/>
      <c r="DH245" s="926"/>
      <c r="DI245" s="926"/>
      <c r="DJ245" s="926"/>
      <c r="DK245" s="926"/>
      <c r="DL245" s="926"/>
      <c r="DM245" s="926"/>
      <c r="DN245" s="926"/>
      <c r="DO245" s="926"/>
      <c r="DP245" s="926"/>
      <c r="DQ245" s="926"/>
      <c r="DR245" s="926"/>
      <c r="DS245" s="926"/>
      <c r="DT245" s="926"/>
      <c r="DU245" s="926"/>
      <c r="DV245" s="926"/>
      <c r="DW245" s="926"/>
      <c r="DX245" s="926"/>
      <c r="DY245" s="926"/>
      <c r="DZ245" s="926"/>
      <c r="EA245" s="926"/>
      <c r="EB245" s="926"/>
      <c r="EC245" s="926"/>
      <c r="ED245" s="926"/>
      <c r="EE245" s="926"/>
      <c r="EF245" s="926"/>
      <c r="EG245" s="926"/>
      <c r="EH245" s="926"/>
      <c r="EI245" s="926"/>
      <c r="EJ245" s="926"/>
      <c r="EK245" s="926"/>
      <c r="EL245" s="926"/>
      <c r="EM245" s="926"/>
      <c r="EN245" s="926"/>
      <c r="EO245" s="926"/>
      <c r="EP245" s="926"/>
      <c r="EQ245" s="926"/>
      <c r="ER245" s="926"/>
      <c r="ES245" s="926"/>
      <c r="ET245" s="926"/>
      <c r="EU245" s="926"/>
      <c r="EV245" s="926"/>
      <c r="EW245" s="926"/>
      <c r="EX245" s="926"/>
      <c r="EY245" s="926"/>
      <c r="EZ245" s="926"/>
      <c r="FA245" s="926"/>
      <c r="FB245" s="926"/>
      <c r="FC245" s="926"/>
      <c r="FD245" s="926"/>
      <c r="FE245" s="926"/>
      <c r="FF245" s="926"/>
      <c r="FG245" s="926"/>
      <c r="FH245" s="926"/>
      <c r="FI245" s="926"/>
      <c r="FJ245" s="926"/>
      <c r="FK245" s="926"/>
      <c r="FL245" s="926"/>
      <c r="FM245" s="926"/>
      <c r="FN245" s="926"/>
      <c r="FO245" s="926"/>
      <c r="FP245" s="926"/>
      <c r="FQ245" s="926"/>
      <c r="FR245" s="926"/>
      <c r="FS245" s="926"/>
      <c r="FT245" s="926"/>
      <c r="FU245" s="926"/>
      <c r="FV245" s="926"/>
      <c r="FW245" s="926"/>
      <c r="FX245" s="926"/>
      <c r="FY245" s="926"/>
      <c r="FZ245" s="926"/>
      <c r="GA245" s="926"/>
      <c r="GB245" s="926"/>
      <c r="GC245" s="926"/>
      <c r="GD245" s="926"/>
      <c r="GE245" s="926"/>
      <c r="GF245" s="926"/>
      <c r="GG245" s="926"/>
      <c r="GH245" s="926"/>
      <c r="GI245" s="926"/>
      <c r="GJ245" s="926"/>
      <c r="GK245" s="926"/>
      <c r="GL245" s="926"/>
      <c r="GM245" s="926"/>
      <c r="GN245" s="926"/>
      <c r="GO245" s="926"/>
      <c r="GP245" s="926"/>
      <c r="GQ245" s="926"/>
      <c r="GR245" s="926"/>
      <c r="GS245" s="926"/>
      <c r="GT245" s="926"/>
      <c r="GU245" s="926"/>
      <c r="GV245" s="926"/>
      <c r="GW245" s="926"/>
      <c r="GX245" s="926"/>
      <c r="GY245" s="926"/>
      <c r="GZ245" s="926"/>
      <c r="HA245" s="926"/>
      <c r="HB245" s="926"/>
      <c r="HC245" s="926"/>
      <c r="HD245" s="926"/>
      <c r="HE245" s="926"/>
      <c r="HF245" s="926"/>
      <c r="HG245" s="926"/>
      <c r="HH245" s="926"/>
      <c r="HI245" s="926"/>
      <c r="HJ245" s="926"/>
      <c r="HK245" s="926"/>
      <c r="HL245" s="926"/>
      <c r="HM245" s="926"/>
      <c r="HN245" s="926"/>
      <c r="HO245" s="926"/>
      <c r="HP245" s="926"/>
      <c r="HQ245" s="926"/>
      <c r="HR245" s="926"/>
      <c r="HS245" s="926"/>
      <c r="HT245" s="926"/>
      <c r="HU245" s="926"/>
      <c r="HV245" s="926"/>
      <c r="HW245" s="926"/>
      <c r="HX245" s="926"/>
      <c r="HY245" s="926"/>
      <c r="HZ245" s="926"/>
      <c r="IA245" s="926"/>
      <c r="IB245" s="926"/>
      <c r="IC245" s="926"/>
      <c r="ID245" s="926"/>
      <c r="IE245" s="926"/>
      <c r="IF245" s="926"/>
      <c r="IG245" s="926"/>
      <c r="IH245" s="926"/>
      <c r="II245" s="926"/>
      <c r="IJ245" s="926"/>
      <c r="IK245" s="926"/>
      <c r="IL245" s="926"/>
      <c r="IM245" s="926"/>
    </row>
    <row r="246" spans="1:247" x14ac:dyDescent="0.45">
      <c r="A246" s="441">
        <v>8514</v>
      </c>
      <c r="B246" s="939" t="s">
        <v>2783</v>
      </c>
      <c r="C246" s="47" t="s">
        <v>113</v>
      </c>
      <c r="D246" s="449" t="s">
        <v>2540</v>
      </c>
      <c r="E246" s="946"/>
      <c r="F246" s="941">
        <f t="shared" si="56"/>
        <v>1.0209999999999999</v>
      </c>
      <c r="G246" s="947">
        <f>+$G$3</f>
        <v>1.0269999999999999</v>
      </c>
      <c r="H246" s="946"/>
      <c r="I246" s="948"/>
      <c r="J246" s="948"/>
      <c r="K246" s="948"/>
      <c r="L246" s="948"/>
      <c r="M246" s="948"/>
      <c r="N246" s="947"/>
      <c r="O246" s="949"/>
      <c r="P246" s="946">
        <f t="shared" si="61"/>
        <v>1.032</v>
      </c>
      <c r="Q246" s="947">
        <f t="shared" si="62"/>
        <v>1.0349999999999999</v>
      </c>
      <c r="R246" s="950">
        <f t="shared" si="57"/>
        <v>1.1199953840399997</v>
      </c>
      <c r="S246" s="926"/>
      <c r="T246" s="926"/>
      <c r="U246" s="926"/>
      <c r="V246" s="926"/>
      <c r="W246" s="926"/>
      <c r="X246" s="926"/>
      <c r="Y246" s="926"/>
      <c r="Z246" s="926"/>
      <c r="AA246" s="926"/>
      <c r="AB246" s="926"/>
      <c r="AC246" s="926"/>
      <c r="AD246" s="926"/>
      <c r="AE246" s="926"/>
      <c r="AF246" s="926"/>
      <c r="AG246" s="926"/>
      <c r="AH246" s="926"/>
      <c r="AI246" s="926"/>
      <c r="AJ246" s="926"/>
      <c r="AK246" s="926"/>
      <c r="AL246" s="926"/>
      <c r="AM246" s="926"/>
      <c r="AN246" s="926"/>
      <c r="AO246" s="926"/>
      <c r="AP246" s="926"/>
      <c r="AQ246" s="926"/>
      <c r="AR246" s="926"/>
      <c r="AS246" s="926"/>
      <c r="AT246" s="926"/>
      <c r="AU246" s="926"/>
      <c r="AV246" s="926"/>
      <c r="AW246" s="926"/>
      <c r="AX246" s="926"/>
      <c r="AY246" s="926"/>
      <c r="AZ246" s="926"/>
      <c r="BA246" s="926"/>
      <c r="BB246" s="926"/>
      <c r="BC246" s="926"/>
      <c r="BD246" s="926"/>
      <c r="BE246" s="926"/>
      <c r="BF246" s="926"/>
      <c r="BG246" s="926"/>
      <c r="BH246" s="926"/>
      <c r="BI246" s="926"/>
      <c r="BJ246" s="926"/>
      <c r="BK246" s="926"/>
      <c r="BL246" s="926"/>
      <c r="BM246" s="926"/>
      <c r="BN246" s="926"/>
      <c r="BO246" s="926"/>
      <c r="BP246" s="926"/>
      <c r="BQ246" s="926"/>
      <c r="BR246" s="926"/>
      <c r="BS246" s="926"/>
      <c r="BT246" s="926"/>
      <c r="BU246" s="926"/>
      <c r="BV246" s="926"/>
      <c r="BW246" s="926"/>
      <c r="BX246" s="926"/>
      <c r="BY246" s="926"/>
      <c r="BZ246" s="926"/>
      <c r="CA246" s="926"/>
      <c r="CB246" s="926"/>
      <c r="CC246" s="926"/>
      <c r="CD246" s="926"/>
      <c r="CE246" s="926"/>
      <c r="CF246" s="926"/>
      <c r="CG246" s="926"/>
      <c r="CH246" s="926"/>
      <c r="CI246" s="926"/>
      <c r="CJ246" s="926"/>
      <c r="CK246" s="926"/>
      <c r="CL246" s="926"/>
      <c r="CM246" s="926"/>
      <c r="CN246" s="926"/>
      <c r="CO246" s="926"/>
      <c r="CP246" s="926"/>
      <c r="CQ246" s="926"/>
      <c r="CR246" s="926"/>
      <c r="CS246" s="926"/>
      <c r="CT246" s="926"/>
      <c r="CU246" s="926"/>
      <c r="CV246" s="926"/>
      <c r="CW246" s="926"/>
      <c r="CX246" s="926"/>
      <c r="CY246" s="926"/>
      <c r="CZ246" s="926"/>
      <c r="DA246" s="926"/>
      <c r="DB246" s="926"/>
      <c r="DC246" s="926"/>
      <c r="DD246" s="926"/>
      <c r="DE246" s="926"/>
      <c r="DF246" s="926"/>
      <c r="DG246" s="926"/>
      <c r="DH246" s="926"/>
      <c r="DI246" s="926"/>
      <c r="DJ246" s="926"/>
      <c r="DK246" s="926"/>
      <c r="DL246" s="926"/>
      <c r="DM246" s="926"/>
      <c r="DN246" s="926"/>
      <c r="DO246" s="926"/>
      <c r="DP246" s="926"/>
      <c r="DQ246" s="926"/>
      <c r="DR246" s="926"/>
      <c r="DS246" s="926"/>
      <c r="DT246" s="926"/>
      <c r="DU246" s="926"/>
      <c r="DV246" s="926"/>
      <c r="DW246" s="926"/>
      <c r="DX246" s="926"/>
      <c r="DY246" s="926"/>
      <c r="DZ246" s="926"/>
      <c r="EA246" s="926"/>
      <c r="EB246" s="926"/>
      <c r="EC246" s="926"/>
      <c r="ED246" s="926"/>
      <c r="EE246" s="926"/>
      <c r="EF246" s="926"/>
      <c r="EG246" s="926"/>
      <c r="EH246" s="926"/>
      <c r="EI246" s="926"/>
      <c r="EJ246" s="926"/>
      <c r="EK246" s="926"/>
      <c r="EL246" s="926"/>
      <c r="EM246" s="926"/>
      <c r="EN246" s="926"/>
      <c r="EO246" s="926"/>
      <c r="EP246" s="926"/>
      <c r="EQ246" s="926"/>
      <c r="ER246" s="926"/>
      <c r="ES246" s="926"/>
      <c r="ET246" s="926"/>
      <c r="EU246" s="926"/>
      <c r="EV246" s="926"/>
      <c r="EW246" s="926"/>
      <c r="EX246" s="926"/>
      <c r="EY246" s="926"/>
      <c r="EZ246" s="926"/>
      <c r="FA246" s="926"/>
      <c r="FB246" s="926"/>
      <c r="FC246" s="926"/>
      <c r="FD246" s="926"/>
      <c r="FE246" s="926"/>
      <c r="FF246" s="926"/>
      <c r="FG246" s="926"/>
      <c r="FH246" s="926"/>
      <c r="FI246" s="926"/>
      <c r="FJ246" s="926"/>
      <c r="FK246" s="926"/>
      <c r="FL246" s="926"/>
      <c r="FM246" s="926"/>
      <c r="FN246" s="926"/>
      <c r="FO246" s="926"/>
      <c r="FP246" s="926"/>
      <c r="FQ246" s="926"/>
      <c r="FR246" s="926"/>
      <c r="FS246" s="926"/>
      <c r="FT246" s="926"/>
      <c r="FU246" s="926"/>
      <c r="FV246" s="926"/>
      <c r="FW246" s="926"/>
      <c r="FX246" s="926"/>
      <c r="FY246" s="926"/>
      <c r="FZ246" s="926"/>
      <c r="GA246" s="926"/>
      <c r="GB246" s="926"/>
      <c r="GC246" s="926"/>
      <c r="GD246" s="926"/>
      <c r="GE246" s="926"/>
      <c r="GF246" s="926"/>
      <c r="GG246" s="926"/>
      <c r="GH246" s="926"/>
      <c r="GI246" s="926"/>
      <c r="GJ246" s="926"/>
      <c r="GK246" s="926"/>
      <c r="GL246" s="926"/>
      <c r="GM246" s="926"/>
      <c r="GN246" s="926"/>
      <c r="GO246" s="926"/>
      <c r="GP246" s="926"/>
      <c r="GQ246" s="926"/>
      <c r="GR246" s="926"/>
      <c r="GS246" s="926"/>
      <c r="GT246" s="926"/>
      <c r="GU246" s="926"/>
      <c r="GV246" s="926"/>
      <c r="GW246" s="926"/>
      <c r="GX246" s="926"/>
      <c r="GY246" s="926"/>
      <c r="GZ246" s="926"/>
      <c r="HA246" s="926"/>
      <c r="HB246" s="926"/>
      <c r="HC246" s="926"/>
      <c r="HD246" s="926"/>
      <c r="HE246" s="926"/>
      <c r="HF246" s="926"/>
      <c r="HG246" s="926"/>
      <c r="HH246" s="926"/>
      <c r="HI246" s="926"/>
      <c r="HJ246" s="926"/>
      <c r="HK246" s="926"/>
      <c r="HL246" s="926"/>
      <c r="HM246" s="926"/>
      <c r="HN246" s="926"/>
      <c r="HO246" s="926"/>
      <c r="HP246" s="926"/>
      <c r="HQ246" s="926"/>
      <c r="HR246" s="926"/>
      <c r="HS246" s="926"/>
      <c r="HT246" s="926"/>
      <c r="HU246" s="926"/>
      <c r="HV246" s="926"/>
      <c r="HW246" s="926"/>
      <c r="HX246" s="926"/>
      <c r="HY246" s="926"/>
      <c r="HZ246" s="926"/>
      <c r="IA246" s="926"/>
      <c r="IB246" s="926"/>
      <c r="IC246" s="926"/>
      <c r="ID246" s="926"/>
      <c r="IE246" s="926"/>
      <c r="IF246" s="926"/>
      <c r="IG246" s="926"/>
      <c r="IH246" s="926"/>
      <c r="II246" s="926"/>
      <c r="IJ246" s="926"/>
      <c r="IK246" s="926"/>
      <c r="IL246" s="926"/>
      <c r="IM246" s="926"/>
    </row>
    <row r="247" spans="1:247" x14ac:dyDescent="0.45">
      <c r="A247" s="441">
        <v>8521</v>
      </c>
      <c r="B247" s="939" t="s">
        <v>2784</v>
      </c>
      <c r="C247" s="47" t="s">
        <v>8</v>
      </c>
      <c r="D247" s="449" t="s">
        <v>2540</v>
      </c>
      <c r="E247" s="946"/>
      <c r="F247" s="941">
        <f t="shared" si="56"/>
        <v>1.0209999999999999</v>
      </c>
      <c r="G247" s="947">
        <f>+$G$3</f>
        <v>1.0269999999999999</v>
      </c>
      <c r="H247" s="946"/>
      <c r="I247" s="948"/>
      <c r="J247" s="948"/>
      <c r="K247" s="948"/>
      <c r="L247" s="948"/>
      <c r="M247" s="948"/>
      <c r="N247" s="947"/>
      <c r="O247" s="949"/>
      <c r="P247" s="946">
        <f t="shared" si="61"/>
        <v>1.032</v>
      </c>
      <c r="Q247" s="947">
        <f t="shared" si="62"/>
        <v>1.0349999999999999</v>
      </c>
      <c r="R247" s="950">
        <f t="shared" si="57"/>
        <v>1.1199953840399997</v>
      </c>
      <c r="S247" s="926"/>
      <c r="T247" s="926"/>
      <c r="U247" s="926"/>
      <c r="V247" s="926"/>
      <c r="W247" s="926"/>
      <c r="X247" s="926"/>
      <c r="Y247" s="926"/>
      <c r="Z247" s="926"/>
      <c r="AA247" s="926"/>
      <c r="AB247" s="926"/>
      <c r="AC247" s="926"/>
      <c r="AD247" s="926"/>
      <c r="AE247" s="926"/>
      <c r="AF247" s="926"/>
      <c r="AG247" s="926"/>
      <c r="AH247" s="926"/>
      <c r="AI247" s="926"/>
      <c r="AJ247" s="926"/>
      <c r="AK247" s="926"/>
      <c r="AL247" s="926"/>
      <c r="AM247" s="926"/>
      <c r="AN247" s="926"/>
      <c r="AO247" s="926"/>
      <c r="AP247" s="926"/>
      <c r="AQ247" s="926"/>
      <c r="AR247" s="926"/>
      <c r="AS247" s="926"/>
      <c r="AT247" s="926"/>
      <c r="AU247" s="926"/>
      <c r="AV247" s="926"/>
      <c r="AW247" s="926"/>
      <c r="AX247" s="926"/>
      <c r="AY247" s="926"/>
      <c r="AZ247" s="926"/>
      <c r="BA247" s="926"/>
      <c r="BB247" s="926"/>
      <c r="BC247" s="926"/>
      <c r="BD247" s="926"/>
      <c r="BE247" s="926"/>
      <c r="BF247" s="926"/>
      <c r="BG247" s="926"/>
      <c r="BH247" s="926"/>
      <c r="BI247" s="926"/>
      <c r="BJ247" s="926"/>
      <c r="BK247" s="926"/>
      <c r="BL247" s="926"/>
      <c r="BM247" s="926"/>
      <c r="BN247" s="926"/>
      <c r="BO247" s="926"/>
      <c r="BP247" s="926"/>
      <c r="BQ247" s="926"/>
      <c r="BR247" s="926"/>
      <c r="BS247" s="926"/>
      <c r="BT247" s="926"/>
      <c r="BU247" s="926"/>
      <c r="BV247" s="926"/>
      <c r="BW247" s="926"/>
      <c r="BX247" s="926"/>
      <c r="BY247" s="926"/>
      <c r="BZ247" s="926"/>
      <c r="CA247" s="926"/>
      <c r="CB247" s="926"/>
      <c r="CC247" s="926"/>
      <c r="CD247" s="926"/>
      <c r="CE247" s="926"/>
      <c r="CF247" s="926"/>
      <c r="CG247" s="926"/>
      <c r="CH247" s="926"/>
      <c r="CI247" s="926"/>
      <c r="CJ247" s="926"/>
      <c r="CK247" s="926"/>
      <c r="CL247" s="926"/>
      <c r="CM247" s="926"/>
      <c r="CN247" s="926"/>
      <c r="CO247" s="926"/>
      <c r="CP247" s="926"/>
      <c r="CQ247" s="926"/>
      <c r="CR247" s="926"/>
      <c r="CS247" s="926"/>
      <c r="CT247" s="926"/>
      <c r="CU247" s="926"/>
      <c r="CV247" s="926"/>
      <c r="CW247" s="926"/>
      <c r="CX247" s="926"/>
      <c r="CY247" s="926"/>
      <c r="CZ247" s="926"/>
      <c r="DA247" s="926"/>
      <c r="DB247" s="926"/>
      <c r="DC247" s="926"/>
      <c r="DD247" s="926"/>
      <c r="DE247" s="926"/>
      <c r="DF247" s="926"/>
      <c r="DG247" s="926"/>
      <c r="DH247" s="926"/>
      <c r="DI247" s="926"/>
      <c r="DJ247" s="926"/>
      <c r="DK247" s="926"/>
      <c r="DL247" s="926"/>
      <c r="DM247" s="926"/>
      <c r="DN247" s="926"/>
      <c r="DO247" s="926"/>
      <c r="DP247" s="926"/>
      <c r="DQ247" s="926"/>
      <c r="DR247" s="926"/>
      <c r="DS247" s="926"/>
      <c r="DT247" s="926"/>
      <c r="DU247" s="926"/>
      <c r="DV247" s="926"/>
      <c r="DW247" s="926"/>
      <c r="DX247" s="926"/>
      <c r="DY247" s="926"/>
      <c r="DZ247" s="926"/>
      <c r="EA247" s="926"/>
      <c r="EB247" s="926"/>
      <c r="EC247" s="926"/>
      <c r="ED247" s="926"/>
      <c r="EE247" s="926"/>
      <c r="EF247" s="926"/>
      <c r="EG247" s="926"/>
      <c r="EH247" s="926"/>
      <c r="EI247" s="926"/>
      <c r="EJ247" s="926"/>
      <c r="EK247" s="926"/>
      <c r="EL247" s="926"/>
      <c r="EM247" s="926"/>
      <c r="EN247" s="926"/>
      <c r="EO247" s="926"/>
      <c r="EP247" s="926"/>
      <c r="EQ247" s="926"/>
      <c r="ER247" s="926"/>
      <c r="ES247" s="926"/>
      <c r="ET247" s="926"/>
      <c r="EU247" s="926"/>
      <c r="EV247" s="926"/>
      <c r="EW247" s="926"/>
      <c r="EX247" s="926"/>
      <c r="EY247" s="926"/>
      <c r="EZ247" s="926"/>
      <c r="FA247" s="926"/>
      <c r="FB247" s="926"/>
      <c r="FC247" s="926"/>
      <c r="FD247" s="926"/>
      <c r="FE247" s="926"/>
      <c r="FF247" s="926"/>
      <c r="FG247" s="926"/>
      <c r="FH247" s="926"/>
      <c r="FI247" s="926"/>
      <c r="FJ247" s="926"/>
      <c r="FK247" s="926"/>
      <c r="FL247" s="926"/>
      <c r="FM247" s="926"/>
      <c r="FN247" s="926"/>
      <c r="FO247" s="926"/>
      <c r="FP247" s="926"/>
      <c r="FQ247" s="926"/>
      <c r="FR247" s="926"/>
      <c r="FS247" s="926"/>
      <c r="FT247" s="926"/>
      <c r="FU247" s="926"/>
      <c r="FV247" s="926"/>
      <c r="FW247" s="926"/>
      <c r="FX247" s="926"/>
      <c r="FY247" s="926"/>
      <c r="FZ247" s="926"/>
      <c r="GA247" s="926"/>
      <c r="GB247" s="926"/>
      <c r="GC247" s="926"/>
      <c r="GD247" s="926"/>
      <c r="GE247" s="926"/>
      <c r="GF247" s="926"/>
      <c r="GG247" s="926"/>
      <c r="GH247" s="926"/>
      <c r="GI247" s="926"/>
      <c r="GJ247" s="926"/>
      <c r="GK247" s="926"/>
      <c r="GL247" s="926"/>
      <c r="GM247" s="926"/>
      <c r="GN247" s="926"/>
      <c r="GO247" s="926"/>
      <c r="GP247" s="926"/>
      <c r="GQ247" s="926"/>
      <c r="GR247" s="926"/>
      <c r="GS247" s="926"/>
      <c r="GT247" s="926"/>
      <c r="GU247" s="926"/>
      <c r="GV247" s="926"/>
      <c r="GW247" s="926"/>
      <c r="GX247" s="926"/>
      <c r="GY247" s="926"/>
      <c r="GZ247" s="926"/>
      <c r="HA247" s="926"/>
      <c r="HB247" s="926"/>
      <c r="HC247" s="926"/>
      <c r="HD247" s="926"/>
      <c r="HE247" s="926"/>
      <c r="HF247" s="926"/>
      <c r="HG247" s="926"/>
      <c r="HH247" s="926"/>
      <c r="HI247" s="926"/>
      <c r="HJ247" s="926"/>
      <c r="HK247" s="926"/>
      <c r="HL247" s="926"/>
      <c r="HM247" s="926"/>
      <c r="HN247" s="926"/>
      <c r="HO247" s="926"/>
      <c r="HP247" s="926"/>
      <c r="HQ247" s="926"/>
      <c r="HR247" s="926"/>
      <c r="HS247" s="926"/>
      <c r="HT247" s="926"/>
      <c r="HU247" s="926"/>
      <c r="HV247" s="926"/>
      <c r="HW247" s="926"/>
      <c r="HX247" s="926"/>
      <c r="HY247" s="926"/>
      <c r="HZ247" s="926"/>
      <c r="IA247" s="926"/>
      <c r="IB247" s="926"/>
      <c r="IC247" s="926"/>
      <c r="ID247" s="926"/>
      <c r="IE247" s="926"/>
      <c r="IF247" s="926"/>
      <c r="IG247" s="926"/>
      <c r="IH247" s="926"/>
      <c r="II247" s="926"/>
      <c r="IJ247" s="926"/>
      <c r="IK247" s="926"/>
      <c r="IL247" s="926"/>
      <c r="IM247" s="926"/>
    </row>
    <row r="248" spans="1:247" x14ac:dyDescent="0.45">
      <c r="A248" s="441">
        <v>8522</v>
      </c>
      <c r="B248" s="939" t="s">
        <v>2785</v>
      </c>
      <c r="C248" s="47" t="s">
        <v>8</v>
      </c>
      <c r="D248" s="449" t="s">
        <v>2540</v>
      </c>
      <c r="E248" s="946"/>
      <c r="F248" s="941">
        <f t="shared" si="56"/>
        <v>1.0209999999999999</v>
      </c>
      <c r="G248" s="947"/>
      <c r="H248" s="946"/>
      <c r="I248" s="948"/>
      <c r="J248" s="948"/>
      <c r="K248" s="948"/>
      <c r="L248" s="948"/>
      <c r="M248" s="948"/>
      <c r="N248" s="947"/>
      <c r="O248" s="949"/>
      <c r="P248" s="946"/>
      <c r="Q248" s="947"/>
      <c r="R248" s="950">
        <f t="shared" si="57"/>
        <v>1.0209999999999999</v>
      </c>
      <c r="S248" s="926"/>
      <c r="T248" s="926"/>
      <c r="U248" s="926"/>
      <c r="V248" s="926"/>
      <c r="W248" s="926"/>
      <c r="X248" s="926"/>
      <c r="Y248" s="926"/>
      <c r="Z248" s="926"/>
      <c r="AA248" s="926"/>
      <c r="AB248" s="926"/>
      <c r="AC248" s="926"/>
      <c r="AD248" s="926"/>
      <c r="AE248" s="926"/>
      <c r="AF248" s="926"/>
      <c r="AG248" s="926"/>
      <c r="AH248" s="926"/>
      <c r="AI248" s="926"/>
      <c r="AJ248" s="926"/>
      <c r="AK248" s="926"/>
      <c r="AL248" s="926"/>
      <c r="AM248" s="926"/>
      <c r="AN248" s="926"/>
      <c r="AO248" s="926"/>
      <c r="AP248" s="926"/>
      <c r="AQ248" s="926"/>
      <c r="AR248" s="926"/>
      <c r="AS248" s="926"/>
      <c r="AT248" s="926"/>
      <c r="AU248" s="926"/>
      <c r="AV248" s="926"/>
      <c r="AW248" s="926"/>
      <c r="AX248" s="926"/>
      <c r="AY248" s="926"/>
      <c r="AZ248" s="926"/>
      <c r="BA248" s="926"/>
      <c r="BB248" s="926"/>
      <c r="BC248" s="926"/>
      <c r="BD248" s="926"/>
      <c r="BE248" s="926"/>
      <c r="BF248" s="926"/>
      <c r="BG248" s="926"/>
      <c r="BH248" s="926"/>
      <c r="BI248" s="926"/>
      <c r="BJ248" s="926"/>
      <c r="BK248" s="926"/>
      <c r="BL248" s="926"/>
      <c r="BM248" s="926"/>
      <c r="BN248" s="926"/>
      <c r="BO248" s="926"/>
      <c r="BP248" s="926"/>
      <c r="BQ248" s="926"/>
      <c r="BR248" s="926"/>
      <c r="BS248" s="926"/>
      <c r="BT248" s="926"/>
      <c r="BU248" s="926"/>
      <c r="BV248" s="926"/>
      <c r="BW248" s="926"/>
      <c r="BX248" s="926"/>
      <c r="BY248" s="926"/>
      <c r="BZ248" s="926"/>
      <c r="CA248" s="926"/>
      <c r="CB248" s="926"/>
      <c r="CC248" s="926"/>
      <c r="CD248" s="926"/>
      <c r="CE248" s="926"/>
      <c r="CF248" s="926"/>
      <c r="CG248" s="926"/>
      <c r="CH248" s="926"/>
      <c r="CI248" s="926"/>
      <c r="CJ248" s="926"/>
      <c r="CK248" s="926"/>
      <c r="CL248" s="926"/>
      <c r="CM248" s="926"/>
      <c r="CN248" s="926"/>
      <c r="CO248" s="926"/>
      <c r="CP248" s="926"/>
      <c r="CQ248" s="926"/>
      <c r="CR248" s="926"/>
      <c r="CS248" s="926"/>
      <c r="CT248" s="926"/>
      <c r="CU248" s="926"/>
      <c r="CV248" s="926"/>
      <c r="CW248" s="926"/>
      <c r="CX248" s="926"/>
      <c r="CY248" s="926"/>
      <c r="CZ248" s="926"/>
      <c r="DA248" s="926"/>
      <c r="DB248" s="926"/>
      <c r="DC248" s="926"/>
      <c r="DD248" s="926"/>
      <c r="DE248" s="926"/>
      <c r="DF248" s="926"/>
      <c r="DG248" s="926"/>
      <c r="DH248" s="926"/>
      <c r="DI248" s="926"/>
      <c r="DJ248" s="926"/>
      <c r="DK248" s="926"/>
      <c r="DL248" s="926"/>
      <c r="DM248" s="926"/>
      <c r="DN248" s="926"/>
      <c r="DO248" s="926"/>
      <c r="DP248" s="926"/>
      <c r="DQ248" s="926"/>
      <c r="DR248" s="926"/>
      <c r="DS248" s="926"/>
      <c r="DT248" s="926"/>
      <c r="DU248" s="926"/>
      <c r="DV248" s="926"/>
      <c r="DW248" s="926"/>
      <c r="DX248" s="926"/>
      <c r="DY248" s="926"/>
      <c r="DZ248" s="926"/>
      <c r="EA248" s="926"/>
      <c r="EB248" s="926"/>
      <c r="EC248" s="926"/>
      <c r="ED248" s="926"/>
      <c r="EE248" s="926"/>
      <c r="EF248" s="926"/>
      <c r="EG248" s="926"/>
      <c r="EH248" s="926"/>
      <c r="EI248" s="926"/>
      <c r="EJ248" s="926"/>
      <c r="EK248" s="926"/>
      <c r="EL248" s="926"/>
      <c r="EM248" s="926"/>
      <c r="EN248" s="926"/>
      <c r="EO248" s="926"/>
      <c r="EP248" s="926"/>
      <c r="EQ248" s="926"/>
      <c r="ER248" s="926"/>
      <c r="ES248" s="926"/>
      <c r="ET248" s="926"/>
      <c r="EU248" s="926"/>
      <c r="EV248" s="926"/>
      <c r="EW248" s="926"/>
      <c r="EX248" s="926"/>
      <c r="EY248" s="926"/>
      <c r="EZ248" s="926"/>
      <c r="FA248" s="926"/>
      <c r="FB248" s="926"/>
      <c r="FC248" s="926"/>
      <c r="FD248" s="926"/>
      <c r="FE248" s="926"/>
      <c r="FF248" s="926"/>
      <c r="FG248" s="926"/>
      <c r="FH248" s="926"/>
      <c r="FI248" s="926"/>
      <c r="FJ248" s="926"/>
      <c r="FK248" s="926"/>
      <c r="FL248" s="926"/>
      <c r="FM248" s="926"/>
      <c r="FN248" s="926"/>
      <c r="FO248" s="926"/>
      <c r="FP248" s="926"/>
      <c r="FQ248" s="926"/>
      <c r="FR248" s="926"/>
      <c r="FS248" s="926"/>
      <c r="FT248" s="926"/>
      <c r="FU248" s="926"/>
      <c r="FV248" s="926"/>
      <c r="FW248" s="926"/>
      <c r="FX248" s="926"/>
      <c r="FY248" s="926"/>
      <c r="FZ248" s="926"/>
      <c r="GA248" s="926"/>
      <c r="GB248" s="926"/>
      <c r="GC248" s="926"/>
      <c r="GD248" s="926"/>
      <c r="GE248" s="926"/>
      <c r="GF248" s="926"/>
      <c r="GG248" s="926"/>
      <c r="GH248" s="926"/>
      <c r="GI248" s="926"/>
      <c r="GJ248" s="926"/>
      <c r="GK248" s="926"/>
      <c r="GL248" s="926"/>
      <c r="GM248" s="926"/>
      <c r="GN248" s="926"/>
      <c r="GO248" s="926"/>
      <c r="GP248" s="926"/>
      <c r="GQ248" s="926"/>
      <c r="GR248" s="926"/>
      <c r="GS248" s="926"/>
      <c r="GT248" s="926"/>
      <c r="GU248" s="926"/>
      <c r="GV248" s="926"/>
      <c r="GW248" s="926"/>
      <c r="GX248" s="926"/>
      <c r="GY248" s="926"/>
      <c r="GZ248" s="926"/>
      <c r="HA248" s="926"/>
      <c r="HB248" s="926"/>
      <c r="HC248" s="926"/>
      <c r="HD248" s="926"/>
      <c r="HE248" s="926"/>
      <c r="HF248" s="926"/>
      <c r="HG248" s="926"/>
      <c r="HH248" s="926"/>
      <c r="HI248" s="926"/>
      <c r="HJ248" s="926"/>
      <c r="HK248" s="926"/>
      <c r="HL248" s="926"/>
      <c r="HM248" s="926"/>
      <c r="HN248" s="926"/>
      <c r="HO248" s="926"/>
      <c r="HP248" s="926"/>
      <c r="HQ248" s="926"/>
      <c r="HR248" s="926"/>
      <c r="HS248" s="926"/>
      <c r="HT248" s="926"/>
      <c r="HU248" s="926"/>
      <c r="HV248" s="926"/>
      <c r="HW248" s="926"/>
      <c r="HX248" s="926"/>
      <c r="HY248" s="926"/>
      <c r="HZ248" s="926"/>
      <c r="IA248" s="926"/>
      <c r="IB248" s="926"/>
      <c r="IC248" s="926"/>
      <c r="ID248" s="926"/>
      <c r="IE248" s="926"/>
      <c r="IF248" s="926"/>
      <c r="IG248" s="926"/>
      <c r="IH248" s="926"/>
      <c r="II248" s="926"/>
      <c r="IJ248" s="926"/>
      <c r="IK248" s="926"/>
      <c r="IL248" s="926"/>
      <c r="IM248" s="926"/>
    </row>
    <row r="249" spans="1:247" x14ac:dyDescent="0.45">
      <c r="A249" s="441">
        <v>8523</v>
      </c>
      <c r="B249" s="939" t="s">
        <v>2786</v>
      </c>
      <c r="C249" s="47" t="s">
        <v>8</v>
      </c>
      <c r="D249" s="449" t="s">
        <v>2540</v>
      </c>
      <c r="E249" s="946"/>
      <c r="F249" s="941">
        <f t="shared" si="56"/>
        <v>1.0209999999999999</v>
      </c>
      <c r="G249" s="947">
        <f>+$G$3</f>
        <v>1.0269999999999999</v>
      </c>
      <c r="H249" s="946"/>
      <c r="I249" s="948"/>
      <c r="J249" s="948"/>
      <c r="K249" s="948"/>
      <c r="L249" s="948"/>
      <c r="M249" s="948"/>
      <c r="N249" s="947"/>
      <c r="O249" s="949"/>
      <c r="P249" s="946">
        <f>+$P$3</f>
        <v>1.032</v>
      </c>
      <c r="Q249" s="947">
        <f>+$Q$3</f>
        <v>1.0349999999999999</v>
      </c>
      <c r="R249" s="950">
        <f t="shared" si="57"/>
        <v>1.1199953840399997</v>
      </c>
      <c r="S249" s="926"/>
      <c r="T249" s="926"/>
      <c r="U249" s="926"/>
      <c r="V249" s="926"/>
      <c r="W249" s="926"/>
      <c r="X249" s="926"/>
      <c r="Y249" s="926"/>
      <c r="Z249" s="926"/>
      <c r="AA249" s="926"/>
      <c r="AB249" s="926"/>
      <c r="AC249" s="926"/>
      <c r="AD249" s="926"/>
      <c r="AE249" s="926"/>
      <c r="AF249" s="926"/>
      <c r="AG249" s="926"/>
      <c r="AH249" s="926"/>
      <c r="AI249" s="926"/>
      <c r="AJ249" s="926"/>
      <c r="AK249" s="926"/>
      <c r="AL249" s="926"/>
      <c r="AM249" s="926"/>
      <c r="AN249" s="926"/>
      <c r="AO249" s="926"/>
      <c r="AP249" s="926"/>
      <c r="AQ249" s="926"/>
      <c r="AR249" s="926"/>
      <c r="AS249" s="926"/>
      <c r="AT249" s="926"/>
      <c r="AU249" s="926"/>
      <c r="AV249" s="926"/>
      <c r="AW249" s="926"/>
      <c r="AX249" s="926"/>
      <c r="AY249" s="926"/>
      <c r="AZ249" s="926"/>
      <c r="BA249" s="926"/>
      <c r="BB249" s="926"/>
      <c r="BC249" s="926"/>
      <c r="BD249" s="926"/>
      <c r="BE249" s="926"/>
      <c r="BF249" s="926"/>
      <c r="BG249" s="926"/>
      <c r="BH249" s="926"/>
      <c r="BI249" s="926"/>
      <c r="BJ249" s="926"/>
      <c r="BK249" s="926"/>
      <c r="BL249" s="926"/>
      <c r="BM249" s="926"/>
      <c r="BN249" s="926"/>
      <c r="BO249" s="926"/>
      <c r="BP249" s="926"/>
      <c r="BQ249" s="926"/>
      <c r="BR249" s="926"/>
      <c r="BS249" s="926"/>
      <c r="BT249" s="926"/>
      <c r="BU249" s="926"/>
      <c r="BV249" s="926"/>
      <c r="BW249" s="926"/>
      <c r="BX249" s="926"/>
      <c r="BY249" s="926"/>
      <c r="BZ249" s="926"/>
      <c r="CA249" s="926"/>
      <c r="CB249" s="926"/>
      <c r="CC249" s="926"/>
      <c r="CD249" s="926"/>
      <c r="CE249" s="926"/>
      <c r="CF249" s="926"/>
      <c r="CG249" s="926"/>
      <c r="CH249" s="926"/>
      <c r="CI249" s="926"/>
      <c r="CJ249" s="926"/>
      <c r="CK249" s="926"/>
      <c r="CL249" s="926"/>
      <c r="CM249" s="926"/>
      <c r="CN249" s="926"/>
      <c r="CO249" s="926"/>
      <c r="CP249" s="926"/>
      <c r="CQ249" s="926"/>
      <c r="CR249" s="926"/>
      <c r="CS249" s="926"/>
      <c r="CT249" s="926"/>
      <c r="CU249" s="926"/>
      <c r="CV249" s="926"/>
      <c r="CW249" s="926"/>
      <c r="CX249" s="926"/>
      <c r="CY249" s="926"/>
      <c r="CZ249" s="926"/>
      <c r="DA249" s="926"/>
      <c r="DB249" s="926"/>
      <c r="DC249" s="926"/>
      <c r="DD249" s="926"/>
      <c r="DE249" s="926"/>
      <c r="DF249" s="926"/>
      <c r="DG249" s="926"/>
      <c r="DH249" s="926"/>
      <c r="DI249" s="926"/>
      <c r="DJ249" s="926"/>
      <c r="DK249" s="926"/>
      <c r="DL249" s="926"/>
      <c r="DM249" s="926"/>
      <c r="DN249" s="926"/>
      <c r="DO249" s="926"/>
      <c r="DP249" s="926"/>
      <c r="DQ249" s="926"/>
      <c r="DR249" s="926"/>
      <c r="DS249" s="926"/>
      <c r="DT249" s="926"/>
      <c r="DU249" s="926"/>
      <c r="DV249" s="926"/>
      <c r="DW249" s="926"/>
      <c r="DX249" s="926"/>
      <c r="DY249" s="926"/>
      <c r="DZ249" s="926"/>
      <c r="EA249" s="926"/>
      <c r="EB249" s="926"/>
      <c r="EC249" s="926"/>
      <c r="ED249" s="926"/>
      <c r="EE249" s="926"/>
      <c r="EF249" s="926"/>
      <c r="EG249" s="926"/>
      <c r="EH249" s="926"/>
      <c r="EI249" s="926"/>
      <c r="EJ249" s="926"/>
      <c r="EK249" s="926"/>
      <c r="EL249" s="926"/>
      <c r="EM249" s="926"/>
      <c r="EN249" s="926"/>
      <c r="EO249" s="926"/>
      <c r="EP249" s="926"/>
      <c r="EQ249" s="926"/>
      <c r="ER249" s="926"/>
      <c r="ES249" s="926"/>
      <c r="ET249" s="926"/>
      <c r="EU249" s="926"/>
      <c r="EV249" s="926"/>
      <c r="EW249" s="926"/>
      <c r="EX249" s="926"/>
      <c r="EY249" s="926"/>
      <c r="EZ249" s="926"/>
      <c r="FA249" s="926"/>
      <c r="FB249" s="926"/>
      <c r="FC249" s="926"/>
      <c r="FD249" s="926"/>
      <c r="FE249" s="926"/>
      <c r="FF249" s="926"/>
      <c r="FG249" s="926"/>
      <c r="FH249" s="926"/>
      <c r="FI249" s="926"/>
      <c r="FJ249" s="926"/>
      <c r="FK249" s="926"/>
      <c r="FL249" s="926"/>
      <c r="FM249" s="926"/>
      <c r="FN249" s="926"/>
      <c r="FO249" s="926"/>
      <c r="FP249" s="926"/>
      <c r="FQ249" s="926"/>
      <c r="FR249" s="926"/>
      <c r="FS249" s="926"/>
      <c r="FT249" s="926"/>
      <c r="FU249" s="926"/>
      <c r="FV249" s="926"/>
      <c r="FW249" s="926"/>
      <c r="FX249" s="926"/>
      <c r="FY249" s="926"/>
      <c r="FZ249" s="926"/>
      <c r="GA249" s="926"/>
      <c r="GB249" s="926"/>
      <c r="GC249" s="926"/>
      <c r="GD249" s="926"/>
      <c r="GE249" s="926"/>
      <c r="GF249" s="926"/>
      <c r="GG249" s="926"/>
      <c r="GH249" s="926"/>
      <c r="GI249" s="926"/>
      <c r="GJ249" s="926"/>
      <c r="GK249" s="926"/>
      <c r="GL249" s="926"/>
      <c r="GM249" s="926"/>
      <c r="GN249" s="926"/>
      <c r="GO249" s="926"/>
      <c r="GP249" s="926"/>
      <c r="GQ249" s="926"/>
      <c r="GR249" s="926"/>
      <c r="GS249" s="926"/>
      <c r="GT249" s="926"/>
      <c r="GU249" s="926"/>
      <c r="GV249" s="926"/>
      <c r="GW249" s="926"/>
      <c r="GX249" s="926"/>
      <c r="GY249" s="926"/>
      <c r="GZ249" s="926"/>
      <c r="HA249" s="926"/>
      <c r="HB249" s="926"/>
      <c r="HC249" s="926"/>
      <c r="HD249" s="926"/>
      <c r="HE249" s="926"/>
      <c r="HF249" s="926"/>
      <c r="HG249" s="926"/>
      <c r="HH249" s="926"/>
      <c r="HI249" s="926"/>
      <c r="HJ249" s="926"/>
      <c r="HK249" s="926"/>
      <c r="HL249" s="926"/>
      <c r="HM249" s="926"/>
      <c r="HN249" s="926"/>
      <c r="HO249" s="926"/>
      <c r="HP249" s="926"/>
      <c r="HQ249" s="926"/>
      <c r="HR249" s="926"/>
      <c r="HS249" s="926"/>
      <c r="HT249" s="926"/>
      <c r="HU249" s="926"/>
      <c r="HV249" s="926"/>
      <c r="HW249" s="926"/>
      <c r="HX249" s="926"/>
      <c r="HY249" s="926"/>
      <c r="HZ249" s="926"/>
      <c r="IA249" s="926"/>
      <c r="IB249" s="926"/>
      <c r="IC249" s="926"/>
      <c r="ID249" s="926"/>
      <c r="IE249" s="926"/>
      <c r="IF249" s="926"/>
      <c r="IG249" s="926"/>
      <c r="IH249" s="926"/>
      <c r="II249" s="926"/>
      <c r="IJ249" s="926"/>
      <c r="IK249" s="926"/>
      <c r="IL249" s="926"/>
      <c r="IM249" s="926"/>
    </row>
    <row r="250" spans="1:247" x14ac:dyDescent="0.45">
      <c r="A250" s="441">
        <v>8524</v>
      </c>
      <c r="B250" s="939" t="s">
        <v>2787</v>
      </c>
      <c r="C250" s="47" t="s">
        <v>8</v>
      </c>
      <c r="D250" s="449" t="s">
        <v>2537</v>
      </c>
      <c r="E250" s="946"/>
      <c r="F250" s="941">
        <f t="shared" si="56"/>
        <v>1.0209999999999999</v>
      </c>
      <c r="G250" s="947"/>
      <c r="H250" s="946"/>
      <c r="I250" s="948"/>
      <c r="J250" s="948"/>
      <c r="K250" s="948"/>
      <c r="L250" s="948"/>
      <c r="M250" s="948"/>
      <c r="N250" s="947"/>
      <c r="O250" s="949"/>
      <c r="P250" s="946"/>
      <c r="Q250" s="947"/>
      <c r="R250" s="950">
        <f t="shared" si="57"/>
        <v>1.0209999999999999</v>
      </c>
      <c r="S250" s="926"/>
      <c r="T250" s="926"/>
      <c r="U250" s="926"/>
      <c r="V250" s="926"/>
      <c r="W250" s="926"/>
      <c r="X250" s="926"/>
      <c r="Y250" s="926"/>
      <c r="Z250" s="926"/>
      <c r="AA250" s="926"/>
      <c r="AB250" s="926"/>
      <c r="AC250" s="926"/>
      <c r="AD250" s="926"/>
      <c r="AE250" s="926"/>
      <c r="AF250" s="926"/>
      <c r="AG250" s="926"/>
      <c r="AH250" s="926"/>
      <c r="AI250" s="926"/>
      <c r="AJ250" s="926"/>
      <c r="AK250" s="926"/>
      <c r="AL250" s="926"/>
      <c r="AM250" s="926"/>
      <c r="AN250" s="926"/>
      <c r="AO250" s="926"/>
      <c r="AP250" s="926"/>
      <c r="AQ250" s="926"/>
      <c r="AR250" s="926"/>
      <c r="AS250" s="926"/>
      <c r="AT250" s="926"/>
      <c r="AU250" s="926"/>
      <c r="AV250" s="926"/>
      <c r="AW250" s="926"/>
      <c r="AX250" s="926"/>
      <c r="AY250" s="926"/>
      <c r="AZ250" s="926"/>
      <c r="BA250" s="926"/>
      <c r="BB250" s="926"/>
      <c r="BC250" s="926"/>
      <c r="BD250" s="926"/>
      <c r="BE250" s="926"/>
      <c r="BF250" s="926"/>
      <c r="BG250" s="926"/>
      <c r="BH250" s="926"/>
      <c r="BI250" s="926"/>
      <c r="BJ250" s="926"/>
      <c r="BK250" s="926"/>
      <c r="BL250" s="926"/>
      <c r="BM250" s="926"/>
      <c r="BN250" s="926"/>
      <c r="BO250" s="926"/>
      <c r="BP250" s="926"/>
      <c r="BQ250" s="926"/>
      <c r="BR250" s="926"/>
      <c r="BS250" s="926"/>
      <c r="BT250" s="926"/>
      <c r="BU250" s="926"/>
      <c r="BV250" s="926"/>
      <c r="BW250" s="926"/>
      <c r="BX250" s="926"/>
      <c r="BY250" s="926"/>
      <c r="BZ250" s="926"/>
      <c r="CA250" s="926"/>
      <c r="CB250" s="926"/>
      <c r="CC250" s="926"/>
      <c r="CD250" s="926"/>
      <c r="CE250" s="926"/>
      <c r="CF250" s="926"/>
      <c r="CG250" s="926"/>
      <c r="CH250" s="926"/>
      <c r="CI250" s="926"/>
      <c r="CJ250" s="926"/>
      <c r="CK250" s="926"/>
      <c r="CL250" s="926"/>
      <c r="CM250" s="926"/>
      <c r="CN250" s="926"/>
      <c r="CO250" s="926"/>
      <c r="CP250" s="926"/>
      <c r="CQ250" s="926"/>
      <c r="CR250" s="926"/>
      <c r="CS250" s="926"/>
      <c r="CT250" s="926"/>
      <c r="CU250" s="926"/>
      <c r="CV250" s="926"/>
      <c r="CW250" s="926"/>
      <c r="CX250" s="926"/>
      <c r="CY250" s="926"/>
      <c r="CZ250" s="926"/>
      <c r="DA250" s="926"/>
      <c r="DB250" s="926"/>
      <c r="DC250" s="926"/>
      <c r="DD250" s="926"/>
      <c r="DE250" s="926"/>
      <c r="DF250" s="926"/>
      <c r="DG250" s="926"/>
      <c r="DH250" s="926"/>
      <c r="DI250" s="926"/>
      <c r="DJ250" s="926"/>
      <c r="DK250" s="926"/>
      <c r="DL250" s="926"/>
      <c r="DM250" s="926"/>
      <c r="DN250" s="926"/>
      <c r="DO250" s="926"/>
      <c r="DP250" s="926"/>
      <c r="DQ250" s="926"/>
      <c r="DR250" s="926"/>
      <c r="DS250" s="926"/>
      <c r="DT250" s="926"/>
      <c r="DU250" s="926"/>
      <c r="DV250" s="926"/>
      <c r="DW250" s="926"/>
      <c r="DX250" s="926"/>
      <c r="DY250" s="926"/>
      <c r="DZ250" s="926"/>
      <c r="EA250" s="926"/>
      <c r="EB250" s="926"/>
      <c r="EC250" s="926"/>
      <c r="ED250" s="926"/>
      <c r="EE250" s="926"/>
      <c r="EF250" s="926"/>
      <c r="EG250" s="926"/>
      <c r="EH250" s="926"/>
      <c r="EI250" s="926"/>
      <c r="EJ250" s="926"/>
      <c r="EK250" s="926"/>
      <c r="EL250" s="926"/>
      <c r="EM250" s="926"/>
      <c r="EN250" s="926"/>
      <c r="EO250" s="926"/>
      <c r="EP250" s="926"/>
      <c r="EQ250" s="926"/>
      <c r="ER250" s="926"/>
      <c r="ES250" s="926"/>
      <c r="ET250" s="926"/>
      <c r="EU250" s="926"/>
      <c r="EV250" s="926"/>
      <c r="EW250" s="926"/>
      <c r="EX250" s="926"/>
      <c r="EY250" s="926"/>
      <c r="EZ250" s="926"/>
      <c r="FA250" s="926"/>
      <c r="FB250" s="926"/>
      <c r="FC250" s="926"/>
      <c r="FD250" s="926"/>
      <c r="FE250" s="926"/>
      <c r="FF250" s="926"/>
      <c r="FG250" s="926"/>
      <c r="FH250" s="926"/>
      <c r="FI250" s="926"/>
      <c r="FJ250" s="926"/>
      <c r="FK250" s="926"/>
      <c r="FL250" s="926"/>
      <c r="FM250" s="926"/>
      <c r="FN250" s="926"/>
      <c r="FO250" s="926"/>
      <c r="FP250" s="926"/>
      <c r="FQ250" s="926"/>
      <c r="FR250" s="926"/>
      <c r="FS250" s="926"/>
      <c r="FT250" s="926"/>
      <c r="FU250" s="926"/>
      <c r="FV250" s="926"/>
      <c r="FW250" s="926"/>
      <c r="FX250" s="926"/>
      <c r="FY250" s="926"/>
      <c r="FZ250" s="926"/>
      <c r="GA250" s="926"/>
      <c r="GB250" s="926"/>
      <c r="GC250" s="926"/>
      <c r="GD250" s="926"/>
      <c r="GE250" s="926"/>
      <c r="GF250" s="926"/>
      <c r="GG250" s="926"/>
      <c r="GH250" s="926"/>
      <c r="GI250" s="926"/>
      <c r="GJ250" s="926"/>
      <c r="GK250" s="926"/>
      <c r="GL250" s="926"/>
      <c r="GM250" s="926"/>
      <c r="GN250" s="926"/>
      <c r="GO250" s="926"/>
      <c r="GP250" s="926"/>
      <c r="GQ250" s="926"/>
      <c r="GR250" s="926"/>
      <c r="GS250" s="926"/>
      <c r="GT250" s="926"/>
      <c r="GU250" s="926"/>
      <c r="GV250" s="926"/>
      <c r="GW250" s="926"/>
      <c r="GX250" s="926"/>
      <c r="GY250" s="926"/>
      <c r="GZ250" s="926"/>
      <c r="HA250" s="926"/>
      <c r="HB250" s="926"/>
      <c r="HC250" s="926"/>
      <c r="HD250" s="926"/>
      <c r="HE250" s="926"/>
      <c r="HF250" s="926"/>
      <c r="HG250" s="926"/>
      <c r="HH250" s="926"/>
      <c r="HI250" s="926"/>
      <c r="HJ250" s="926"/>
      <c r="HK250" s="926"/>
      <c r="HL250" s="926"/>
      <c r="HM250" s="926"/>
      <c r="HN250" s="926"/>
      <c r="HO250" s="926"/>
      <c r="HP250" s="926"/>
      <c r="HQ250" s="926"/>
      <c r="HR250" s="926"/>
      <c r="HS250" s="926"/>
      <c r="HT250" s="926"/>
      <c r="HU250" s="926"/>
      <c r="HV250" s="926"/>
      <c r="HW250" s="926"/>
      <c r="HX250" s="926"/>
      <c r="HY250" s="926"/>
      <c r="HZ250" s="926"/>
      <c r="IA250" s="926"/>
      <c r="IB250" s="926"/>
      <c r="IC250" s="926"/>
      <c r="ID250" s="926"/>
      <c r="IE250" s="926"/>
      <c r="IF250" s="926"/>
      <c r="IG250" s="926"/>
      <c r="IH250" s="926"/>
      <c r="II250" s="926"/>
      <c r="IJ250" s="926"/>
      <c r="IK250" s="926"/>
      <c r="IL250" s="926"/>
      <c r="IM250" s="926"/>
    </row>
    <row r="251" spans="1:247" x14ac:dyDescent="0.45">
      <c r="A251" s="441">
        <v>8525</v>
      </c>
      <c r="B251" s="939" t="s">
        <v>2788</v>
      </c>
      <c r="C251" s="47" t="s">
        <v>8</v>
      </c>
      <c r="D251" s="449" t="s">
        <v>2537</v>
      </c>
      <c r="E251" s="946"/>
      <c r="F251" s="941">
        <f t="shared" si="56"/>
        <v>1.0209999999999999</v>
      </c>
      <c r="G251" s="947"/>
      <c r="H251" s="946"/>
      <c r="I251" s="948"/>
      <c r="J251" s="948"/>
      <c r="K251" s="948"/>
      <c r="L251" s="948"/>
      <c r="M251" s="948"/>
      <c r="N251" s="947"/>
      <c r="O251" s="949"/>
      <c r="P251" s="946">
        <f t="shared" ref="P251:P257" si="63">+$P$3</f>
        <v>1.032</v>
      </c>
      <c r="Q251" s="947">
        <f t="shared" ref="Q251:Q257" si="64">+$Q$3</f>
        <v>1.0349999999999999</v>
      </c>
      <c r="R251" s="950">
        <f t="shared" si="57"/>
        <v>1.0905505199999999</v>
      </c>
      <c r="S251" s="926"/>
      <c r="T251" s="926"/>
      <c r="U251" s="926"/>
      <c r="V251" s="926"/>
      <c r="W251" s="926"/>
      <c r="X251" s="926"/>
      <c r="Y251" s="926"/>
      <c r="Z251" s="926"/>
      <c r="AA251" s="926"/>
      <c r="AB251" s="926"/>
      <c r="AC251" s="926"/>
      <c r="AD251" s="926"/>
      <c r="AE251" s="926"/>
      <c r="AF251" s="926"/>
      <c r="AG251" s="926"/>
      <c r="AH251" s="926"/>
      <c r="AI251" s="926"/>
      <c r="AJ251" s="926"/>
      <c r="AK251" s="926"/>
      <c r="AL251" s="926"/>
      <c r="AM251" s="926"/>
      <c r="AN251" s="926"/>
      <c r="AO251" s="926"/>
      <c r="AP251" s="926"/>
      <c r="AQ251" s="926"/>
      <c r="AR251" s="926"/>
      <c r="AS251" s="926"/>
      <c r="AT251" s="926"/>
      <c r="AU251" s="926"/>
      <c r="AV251" s="926"/>
      <c r="AW251" s="926"/>
      <c r="AX251" s="926"/>
      <c r="AY251" s="926"/>
      <c r="AZ251" s="926"/>
      <c r="BA251" s="926"/>
      <c r="BB251" s="926"/>
      <c r="BC251" s="926"/>
      <c r="BD251" s="926"/>
      <c r="BE251" s="926"/>
      <c r="BF251" s="926"/>
      <c r="BG251" s="926"/>
      <c r="BH251" s="926"/>
      <c r="BI251" s="926"/>
      <c r="BJ251" s="926"/>
      <c r="BK251" s="926"/>
      <c r="BL251" s="926"/>
      <c r="BM251" s="926"/>
      <c r="BN251" s="926"/>
      <c r="BO251" s="926"/>
      <c r="BP251" s="926"/>
      <c r="BQ251" s="926"/>
      <c r="BR251" s="926"/>
      <c r="BS251" s="926"/>
      <c r="BT251" s="926"/>
      <c r="BU251" s="926"/>
      <c r="BV251" s="926"/>
      <c r="BW251" s="926"/>
      <c r="BX251" s="926"/>
      <c r="BY251" s="926"/>
      <c r="BZ251" s="926"/>
      <c r="CA251" s="926"/>
      <c r="CB251" s="926"/>
      <c r="CC251" s="926"/>
      <c r="CD251" s="926"/>
      <c r="CE251" s="926"/>
      <c r="CF251" s="926"/>
      <c r="CG251" s="926"/>
      <c r="CH251" s="926"/>
      <c r="CI251" s="926"/>
      <c r="CJ251" s="926"/>
      <c r="CK251" s="926"/>
      <c r="CL251" s="926"/>
      <c r="CM251" s="926"/>
      <c r="CN251" s="926"/>
      <c r="CO251" s="926"/>
      <c r="CP251" s="926"/>
      <c r="CQ251" s="926"/>
      <c r="CR251" s="926"/>
      <c r="CS251" s="926"/>
      <c r="CT251" s="926"/>
      <c r="CU251" s="926"/>
      <c r="CV251" s="926"/>
      <c r="CW251" s="926"/>
      <c r="CX251" s="926"/>
      <c r="CY251" s="926"/>
      <c r="CZ251" s="926"/>
      <c r="DA251" s="926"/>
      <c r="DB251" s="926"/>
      <c r="DC251" s="926"/>
      <c r="DD251" s="926"/>
      <c r="DE251" s="926"/>
      <c r="DF251" s="926"/>
      <c r="DG251" s="926"/>
      <c r="DH251" s="926"/>
      <c r="DI251" s="926"/>
      <c r="DJ251" s="926"/>
      <c r="DK251" s="926"/>
      <c r="DL251" s="926"/>
      <c r="DM251" s="926"/>
      <c r="DN251" s="926"/>
      <c r="DO251" s="926"/>
      <c r="DP251" s="926"/>
      <c r="DQ251" s="926"/>
      <c r="DR251" s="926"/>
      <c r="DS251" s="926"/>
      <c r="DT251" s="926"/>
      <c r="DU251" s="926"/>
      <c r="DV251" s="926"/>
      <c r="DW251" s="926"/>
      <c r="DX251" s="926"/>
      <c r="DY251" s="926"/>
      <c r="DZ251" s="926"/>
      <c r="EA251" s="926"/>
      <c r="EB251" s="926"/>
      <c r="EC251" s="926"/>
      <c r="ED251" s="926"/>
      <c r="EE251" s="926"/>
      <c r="EF251" s="926"/>
      <c r="EG251" s="926"/>
      <c r="EH251" s="926"/>
      <c r="EI251" s="926"/>
      <c r="EJ251" s="926"/>
      <c r="EK251" s="926"/>
      <c r="EL251" s="926"/>
      <c r="EM251" s="926"/>
      <c r="EN251" s="926"/>
      <c r="EO251" s="926"/>
      <c r="EP251" s="926"/>
      <c r="EQ251" s="926"/>
      <c r="ER251" s="926"/>
      <c r="ES251" s="926"/>
      <c r="ET251" s="926"/>
      <c r="EU251" s="926"/>
      <c r="EV251" s="926"/>
      <c r="EW251" s="926"/>
      <c r="EX251" s="926"/>
      <c r="EY251" s="926"/>
      <c r="EZ251" s="926"/>
      <c r="FA251" s="926"/>
      <c r="FB251" s="926"/>
      <c r="FC251" s="926"/>
      <c r="FD251" s="926"/>
      <c r="FE251" s="926"/>
      <c r="FF251" s="926"/>
      <c r="FG251" s="926"/>
      <c r="FH251" s="926"/>
      <c r="FI251" s="926"/>
      <c r="FJ251" s="926"/>
      <c r="FK251" s="926"/>
      <c r="FL251" s="926"/>
      <c r="FM251" s="926"/>
      <c r="FN251" s="926"/>
      <c r="FO251" s="926"/>
      <c r="FP251" s="926"/>
      <c r="FQ251" s="926"/>
      <c r="FR251" s="926"/>
      <c r="FS251" s="926"/>
      <c r="FT251" s="926"/>
      <c r="FU251" s="926"/>
      <c r="FV251" s="926"/>
      <c r="FW251" s="926"/>
      <c r="FX251" s="926"/>
      <c r="FY251" s="926"/>
      <c r="FZ251" s="926"/>
      <c r="GA251" s="926"/>
      <c r="GB251" s="926"/>
      <c r="GC251" s="926"/>
      <c r="GD251" s="926"/>
      <c r="GE251" s="926"/>
      <c r="GF251" s="926"/>
      <c r="GG251" s="926"/>
      <c r="GH251" s="926"/>
      <c r="GI251" s="926"/>
      <c r="GJ251" s="926"/>
      <c r="GK251" s="926"/>
      <c r="GL251" s="926"/>
      <c r="GM251" s="926"/>
      <c r="GN251" s="926"/>
      <c r="GO251" s="926"/>
      <c r="GP251" s="926"/>
      <c r="GQ251" s="926"/>
      <c r="GR251" s="926"/>
      <c r="GS251" s="926"/>
      <c r="GT251" s="926"/>
      <c r="GU251" s="926"/>
      <c r="GV251" s="926"/>
      <c r="GW251" s="926"/>
      <c r="GX251" s="926"/>
      <c r="GY251" s="926"/>
      <c r="GZ251" s="926"/>
      <c r="HA251" s="926"/>
      <c r="HB251" s="926"/>
      <c r="HC251" s="926"/>
      <c r="HD251" s="926"/>
      <c r="HE251" s="926"/>
      <c r="HF251" s="926"/>
      <c r="HG251" s="926"/>
      <c r="HH251" s="926"/>
      <c r="HI251" s="926"/>
      <c r="HJ251" s="926"/>
      <c r="HK251" s="926"/>
      <c r="HL251" s="926"/>
      <c r="HM251" s="926"/>
      <c r="HN251" s="926"/>
      <c r="HO251" s="926"/>
      <c r="HP251" s="926"/>
      <c r="HQ251" s="926"/>
      <c r="HR251" s="926"/>
      <c r="HS251" s="926"/>
      <c r="HT251" s="926"/>
      <c r="HU251" s="926"/>
      <c r="HV251" s="926"/>
      <c r="HW251" s="926"/>
      <c r="HX251" s="926"/>
      <c r="HY251" s="926"/>
      <c r="HZ251" s="926"/>
      <c r="IA251" s="926"/>
      <c r="IB251" s="926"/>
      <c r="IC251" s="926"/>
      <c r="ID251" s="926"/>
      <c r="IE251" s="926"/>
      <c r="IF251" s="926"/>
      <c r="IG251" s="926"/>
      <c r="IH251" s="926"/>
      <c r="II251" s="926"/>
      <c r="IJ251" s="926"/>
      <c r="IK251" s="926"/>
      <c r="IL251" s="926"/>
      <c r="IM251" s="926"/>
    </row>
    <row r="252" spans="1:247" x14ac:dyDescent="0.45">
      <c r="A252" s="441">
        <v>8526</v>
      </c>
      <c r="B252" s="939" t="s">
        <v>2789</v>
      </c>
      <c r="C252" s="47" t="s">
        <v>8</v>
      </c>
      <c r="D252" s="449" t="s">
        <v>2540</v>
      </c>
      <c r="E252" s="946"/>
      <c r="F252" s="941">
        <f t="shared" si="56"/>
        <v>1.0209999999999999</v>
      </c>
      <c r="G252" s="947"/>
      <c r="H252" s="946"/>
      <c r="I252" s="948"/>
      <c r="J252" s="948"/>
      <c r="K252" s="948"/>
      <c r="L252" s="948"/>
      <c r="M252" s="948"/>
      <c r="N252" s="947"/>
      <c r="O252" s="949"/>
      <c r="P252" s="946">
        <f t="shared" si="63"/>
        <v>1.032</v>
      </c>
      <c r="Q252" s="947">
        <f t="shared" si="64"/>
        <v>1.0349999999999999</v>
      </c>
      <c r="R252" s="950">
        <f t="shared" si="57"/>
        <v>1.0905505199999999</v>
      </c>
      <c r="S252" s="926"/>
      <c r="T252" s="926"/>
      <c r="U252" s="926"/>
      <c r="V252" s="926"/>
      <c r="W252" s="926"/>
      <c r="X252" s="926"/>
      <c r="Y252" s="926"/>
      <c r="Z252" s="926"/>
      <c r="AA252" s="926"/>
      <c r="AB252" s="926"/>
      <c r="AC252" s="926"/>
      <c r="AD252" s="926"/>
      <c r="AE252" s="926"/>
      <c r="AF252" s="926"/>
      <c r="AG252" s="926"/>
      <c r="AH252" s="926"/>
      <c r="AI252" s="926"/>
      <c r="AJ252" s="926"/>
      <c r="AK252" s="926"/>
      <c r="AL252" s="926"/>
      <c r="AM252" s="926"/>
      <c r="AN252" s="926"/>
      <c r="AO252" s="926"/>
      <c r="AP252" s="926"/>
      <c r="AQ252" s="926"/>
      <c r="AR252" s="926"/>
      <c r="AS252" s="926"/>
      <c r="AT252" s="926"/>
      <c r="AU252" s="926"/>
      <c r="AV252" s="926"/>
      <c r="AW252" s="926"/>
      <c r="AX252" s="926"/>
      <c r="AY252" s="926"/>
      <c r="AZ252" s="926"/>
      <c r="BA252" s="926"/>
      <c r="BB252" s="926"/>
      <c r="BC252" s="926"/>
      <c r="BD252" s="926"/>
      <c r="BE252" s="926"/>
      <c r="BF252" s="926"/>
      <c r="BG252" s="926"/>
      <c r="BH252" s="926"/>
      <c r="BI252" s="926"/>
      <c r="BJ252" s="926"/>
      <c r="BK252" s="926"/>
      <c r="BL252" s="926"/>
      <c r="BM252" s="926"/>
      <c r="BN252" s="926"/>
      <c r="BO252" s="926"/>
      <c r="BP252" s="926"/>
      <c r="BQ252" s="926"/>
      <c r="BR252" s="926"/>
      <c r="BS252" s="926"/>
      <c r="BT252" s="926"/>
      <c r="BU252" s="926"/>
      <c r="BV252" s="926"/>
      <c r="BW252" s="926"/>
      <c r="BX252" s="926"/>
      <c r="BY252" s="926"/>
      <c r="BZ252" s="926"/>
      <c r="CA252" s="926"/>
      <c r="CB252" s="926"/>
      <c r="CC252" s="926"/>
      <c r="CD252" s="926"/>
      <c r="CE252" s="926"/>
      <c r="CF252" s="926"/>
      <c r="CG252" s="926"/>
      <c r="CH252" s="926"/>
      <c r="CI252" s="926"/>
      <c r="CJ252" s="926"/>
      <c r="CK252" s="926"/>
      <c r="CL252" s="926"/>
      <c r="CM252" s="926"/>
      <c r="CN252" s="926"/>
      <c r="CO252" s="926"/>
      <c r="CP252" s="926"/>
      <c r="CQ252" s="926"/>
      <c r="CR252" s="926"/>
      <c r="CS252" s="926"/>
      <c r="CT252" s="926"/>
      <c r="CU252" s="926"/>
      <c r="CV252" s="926"/>
      <c r="CW252" s="926"/>
      <c r="CX252" s="926"/>
      <c r="CY252" s="926"/>
      <c r="CZ252" s="926"/>
      <c r="DA252" s="926"/>
      <c r="DB252" s="926"/>
      <c r="DC252" s="926"/>
      <c r="DD252" s="926"/>
      <c r="DE252" s="926"/>
      <c r="DF252" s="926"/>
      <c r="DG252" s="926"/>
      <c r="DH252" s="926"/>
      <c r="DI252" s="926"/>
      <c r="DJ252" s="926"/>
      <c r="DK252" s="926"/>
      <c r="DL252" s="926"/>
      <c r="DM252" s="926"/>
      <c r="DN252" s="926"/>
      <c r="DO252" s="926"/>
      <c r="DP252" s="926"/>
      <c r="DQ252" s="926"/>
      <c r="DR252" s="926"/>
      <c r="DS252" s="926"/>
      <c r="DT252" s="926"/>
      <c r="DU252" s="926"/>
      <c r="DV252" s="926"/>
      <c r="DW252" s="926"/>
      <c r="DX252" s="926"/>
      <c r="DY252" s="926"/>
      <c r="DZ252" s="926"/>
      <c r="EA252" s="926"/>
      <c r="EB252" s="926"/>
      <c r="EC252" s="926"/>
      <c r="ED252" s="926"/>
      <c r="EE252" s="926"/>
      <c r="EF252" s="926"/>
      <c r="EG252" s="926"/>
      <c r="EH252" s="926"/>
      <c r="EI252" s="926"/>
      <c r="EJ252" s="926"/>
      <c r="EK252" s="926"/>
      <c r="EL252" s="926"/>
      <c r="EM252" s="926"/>
      <c r="EN252" s="926"/>
      <c r="EO252" s="926"/>
      <c r="EP252" s="926"/>
      <c r="EQ252" s="926"/>
      <c r="ER252" s="926"/>
      <c r="ES252" s="926"/>
      <c r="ET252" s="926"/>
      <c r="EU252" s="926"/>
      <c r="EV252" s="926"/>
      <c r="EW252" s="926"/>
      <c r="EX252" s="926"/>
      <c r="EY252" s="926"/>
      <c r="EZ252" s="926"/>
      <c r="FA252" s="926"/>
      <c r="FB252" s="926"/>
      <c r="FC252" s="926"/>
      <c r="FD252" s="926"/>
      <c r="FE252" s="926"/>
      <c r="FF252" s="926"/>
      <c r="FG252" s="926"/>
      <c r="FH252" s="926"/>
      <c r="FI252" s="926"/>
      <c r="FJ252" s="926"/>
      <c r="FK252" s="926"/>
      <c r="FL252" s="926"/>
      <c r="FM252" s="926"/>
      <c r="FN252" s="926"/>
      <c r="FO252" s="926"/>
      <c r="FP252" s="926"/>
      <c r="FQ252" s="926"/>
      <c r="FR252" s="926"/>
      <c r="FS252" s="926"/>
      <c r="FT252" s="926"/>
      <c r="FU252" s="926"/>
      <c r="FV252" s="926"/>
      <c r="FW252" s="926"/>
      <c r="FX252" s="926"/>
      <c r="FY252" s="926"/>
      <c r="FZ252" s="926"/>
      <c r="GA252" s="926"/>
      <c r="GB252" s="926"/>
      <c r="GC252" s="926"/>
      <c r="GD252" s="926"/>
      <c r="GE252" s="926"/>
      <c r="GF252" s="926"/>
      <c r="GG252" s="926"/>
      <c r="GH252" s="926"/>
      <c r="GI252" s="926"/>
      <c r="GJ252" s="926"/>
      <c r="GK252" s="926"/>
      <c r="GL252" s="926"/>
      <c r="GM252" s="926"/>
      <c r="GN252" s="926"/>
      <c r="GO252" s="926"/>
      <c r="GP252" s="926"/>
      <c r="GQ252" s="926"/>
      <c r="GR252" s="926"/>
      <c r="GS252" s="926"/>
      <c r="GT252" s="926"/>
      <c r="GU252" s="926"/>
      <c r="GV252" s="926"/>
      <c r="GW252" s="926"/>
      <c r="GX252" s="926"/>
      <c r="GY252" s="926"/>
      <c r="GZ252" s="926"/>
      <c r="HA252" s="926"/>
      <c r="HB252" s="926"/>
      <c r="HC252" s="926"/>
      <c r="HD252" s="926"/>
      <c r="HE252" s="926"/>
      <c r="HF252" s="926"/>
      <c r="HG252" s="926"/>
      <c r="HH252" s="926"/>
      <c r="HI252" s="926"/>
      <c r="HJ252" s="926"/>
      <c r="HK252" s="926"/>
      <c r="HL252" s="926"/>
      <c r="HM252" s="926"/>
      <c r="HN252" s="926"/>
      <c r="HO252" s="926"/>
      <c r="HP252" s="926"/>
      <c r="HQ252" s="926"/>
      <c r="HR252" s="926"/>
      <c r="HS252" s="926"/>
      <c r="HT252" s="926"/>
      <c r="HU252" s="926"/>
      <c r="HV252" s="926"/>
      <c r="HW252" s="926"/>
      <c r="HX252" s="926"/>
      <c r="HY252" s="926"/>
      <c r="HZ252" s="926"/>
      <c r="IA252" s="926"/>
      <c r="IB252" s="926"/>
      <c r="IC252" s="926"/>
      <c r="ID252" s="926"/>
      <c r="IE252" s="926"/>
      <c r="IF252" s="926"/>
      <c r="IG252" s="926"/>
      <c r="IH252" s="926"/>
      <c r="II252" s="926"/>
      <c r="IJ252" s="926"/>
      <c r="IK252" s="926"/>
      <c r="IL252" s="926"/>
      <c r="IM252" s="926"/>
    </row>
    <row r="253" spans="1:247" x14ac:dyDescent="0.45">
      <c r="A253" s="441">
        <v>8541</v>
      </c>
      <c r="B253" s="939" t="s">
        <v>2790</v>
      </c>
      <c r="C253" s="47" t="s">
        <v>88</v>
      </c>
      <c r="D253" s="449" t="s">
        <v>2537</v>
      </c>
      <c r="E253" s="946"/>
      <c r="F253" s="941">
        <f t="shared" si="56"/>
        <v>1.0209999999999999</v>
      </c>
      <c r="G253" s="947"/>
      <c r="H253" s="946"/>
      <c r="I253" s="948"/>
      <c r="J253" s="948"/>
      <c r="K253" s="948"/>
      <c r="L253" s="948"/>
      <c r="M253" s="948"/>
      <c r="N253" s="947"/>
      <c r="O253" s="949"/>
      <c r="P253" s="946">
        <f t="shared" si="63"/>
        <v>1.032</v>
      </c>
      <c r="Q253" s="947">
        <f t="shared" si="64"/>
        <v>1.0349999999999999</v>
      </c>
      <c r="R253" s="950">
        <f t="shared" si="57"/>
        <v>1.0905505199999999</v>
      </c>
      <c r="S253" s="926"/>
      <c r="T253" s="926"/>
      <c r="U253" s="926"/>
      <c r="V253" s="926"/>
      <c r="W253" s="926"/>
      <c r="X253" s="926"/>
      <c r="Y253" s="926"/>
      <c r="Z253" s="926"/>
      <c r="AA253" s="926"/>
      <c r="AB253" s="926"/>
      <c r="AC253" s="926"/>
      <c r="AD253" s="926"/>
      <c r="AE253" s="926"/>
      <c r="AF253" s="926"/>
      <c r="AG253" s="926"/>
      <c r="AH253" s="926"/>
      <c r="AI253" s="926"/>
      <c r="AJ253" s="926"/>
      <c r="AK253" s="926"/>
      <c r="AL253" s="926"/>
      <c r="AM253" s="926"/>
      <c r="AN253" s="926"/>
      <c r="AO253" s="926"/>
      <c r="AP253" s="926"/>
      <c r="AQ253" s="926"/>
      <c r="AR253" s="926"/>
      <c r="AS253" s="926"/>
      <c r="AT253" s="926"/>
      <c r="AU253" s="926"/>
      <c r="AV253" s="926"/>
      <c r="AW253" s="926"/>
      <c r="AX253" s="926"/>
      <c r="AY253" s="926"/>
      <c r="AZ253" s="926"/>
      <c r="BA253" s="926"/>
      <c r="BB253" s="926"/>
      <c r="BC253" s="926"/>
      <c r="BD253" s="926"/>
      <c r="BE253" s="926"/>
      <c r="BF253" s="926"/>
      <c r="BG253" s="926"/>
      <c r="BH253" s="926"/>
      <c r="BI253" s="926"/>
      <c r="BJ253" s="926"/>
      <c r="BK253" s="926"/>
      <c r="BL253" s="926"/>
      <c r="BM253" s="926"/>
      <c r="BN253" s="926"/>
      <c r="BO253" s="926"/>
      <c r="BP253" s="926"/>
      <c r="BQ253" s="926"/>
      <c r="BR253" s="926"/>
      <c r="BS253" s="926"/>
      <c r="BT253" s="926"/>
      <c r="BU253" s="926"/>
      <c r="BV253" s="926"/>
      <c r="BW253" s="926"/>
      <c r="BX253" s="926"/>
      <c r="BY253" s="926"/>
      <c r="BZ253" s="926"/>
      <c r="CA253" s="926"/>
      <c r="CB253" s="926"/>
      <c r="CC253" s="926"/>
      <c r="CD253" s="926"/>
      <c r="CE253" s="926"/>
      <c r="CF253" s="926"/>
      <c r="CG253" s="926"/>
      <c r="CH253" s="926"/>
      <c r="CI253" s="926"/>
      <c r="CJ253" s="926"/>
      <c r="CK253" s="926"/>
      <c r="CL253" s="926"/>
      <c r="CM253" s="926"/>
      <c r="CN253" s="926"/>
      <c r="CO253" s="926"/>
      <c r="CP253" s="926"/>
      <c r="CQ253" s="926"/>
      <c r="CR253" s="926"/>
      <c r="CS253" s="926"/>
      <c r="CT253" s="926"/>
      <c r="CU253" s="926"/>
      <c r="CV253" s="926"/>
      <c r="CW253" s="926"/>
      <c r="CX253" s="926"/>
      <c r="CY253" s="926"/>
      <c r="CZ253" s="926"/>
      <c r="DA253" s="926"/>
      <c r="DB253" s="926"/>
      <c r="DC253" s="926"/>
      <c r="DD253" s="926"/>
      <c r="DE253" s="926"/>
      <c r="DF253" s="926"/>
      <c r="DG253" s="926"/>
      <c r="DH253" s="926"/>
      <c r="DI253" s="926"/>
      <c r="DJ253" s="926"/>
      <c r="DK253" s="926"/>
      <c r="DL253" s="926"/>
      <c r="DM253" s="926"/>
      <c r="DN253" s="926"/>
      <c r="DO253" s="926"/>
      <c r="DP253" s="926"/>
      <c r="DQ253" s="926"/>
      <c r="DR253" s="926"/>
      <c r="DS253" s="926"/>
      <c r="DT253" s="926"/>
      <c r="DU253" s="926"/>
      <c r="DV253" s="926"/>
      <c r="DW253" s="926"/>
      <c r="DX253" s="926"/>
      <c r="DY253" s="926"/>
      <c r="DZ253" s="926"/>
      <c r="EA253" s="926"/>
      <c r="EB253" s="926"/>
      <c r="EC253" s="926"/>
      <c r="ED253" s="926"/>
      <c r="EE253" s="926"/>
      <c r="EF253" s="926"/>
      <c r="EG253" s="926"/>
      <c r="EH253" s="926"/>
      <c r="EI253" s="926"/>
      <c r="EJ253" s="926"/>
      <c r="EK253" s="926"/>
      <c r="EL253" s="926"/>
      <c r="EM253" s="926"/>
      <c r="EN253" s="926"/>
      <c r="EO253" s="926"/>
      <c r="EP253" s="926"/>
      <c r="EQ253" s="926"/>
      <c r="ER253" s="926"/>
      <c r="ES253" s="926"/>
      <c r="ET253" s="926"/>
      <c r="EU253" s="926"/>
      <c r="EV253" s="926"/>
      <c r="EW253" s="926"/>
      <c r="EX253" s="926"/>
      <c r="EY253" s="926"/>
      <c r="EZ253" s="926"/>
      <c r="FA253" s="926"/>
      <c r="FB253" s="926"/>
      <c r="FC253" s="926"/>
      <c r="FD253" s="926"/>
      <c r="FE253" s="926"/>
      <c r="FF253" s="926"/>
      <c r="FG253" s="926"/>
      <c r="FH253" s="926"/>
      <c r="FI253" s="926"/>
      <c r="FJ253" s="926"/>
      <c r="FK253" s="926"/>
      <c r="FL253" s="926"/>
      <c r="FM253" s="926"/>
      <c r="FN253" s="926"/>
      <c r="FO253" s="926"/>
      <c r="FP253" s="926"/>
      <c r="FQ253" s="926"/>
      <c r="FR253" s="926"/>
      <c r="FS253" s="926"/>
      <c r="FT253" s="926"/>
      <c r="FU253" s="926"/>
      <c r="FV253" s="926"/>
      <c r="FW253" s="926"/>
      <c r="FX253" s="926"/>
      <c r="FY253" s="926"/>
      <c r="FZ253" s="926"/>
      <c r="GA253" s="926"/>
      <c r="GB253" s="926"/>
      <c r="GC253" s="926"/>
      <c r="GD253" s="926"/>
      <c r="GE253" s="926"/>
      <c r="GF253" s="926"/>
      <c r="GG253" s="926"/>
      <c r="GH253" s="926"/>
      <c r="GI253" s="926"/>
      <c r="GJ253" s="926"/>
      <c r="GK253" s="926"/>
      <c r="GL253" s="926"/>
      <c r="GM253" s="926"/>
      <c r="GN253" s="926"/>
      <c r="GO253" s="926"/>
      <c r="GP253" s="926"/>
      <c r="GQ253" s="926"/>
      <c r="GR253" s="926"/>
      <c r="GS253" s="926"/>
      <c r="GT253" s="926"/>
      <c r="GU253" s="926"/>
      <c r="GV253" s="926"/>
      <c r="GW253" s="926"/>
      <c r="GX253" s="926"/>
      <c r="GY253" s="926"/>
      <c r="GZ253" s="926"/>
      <c r="HA253" s="926"/>
      <c r="HB253" s="926"/>
      <c r="HC253" s="926"/>
      <c r="HD253" s="926"/>
      <c r="HE253" s="926"/>
      <c r="HF253" s="926"/>
      <c r="HG253" s="926"/>
      <c r="HH253" s="926"/>
      <c r="HI253" s="926"/>
      <c r="HJ253" s="926"/>
      <c r="HK253" s="926"/>
      <c r="HL253" s="926"/>
      <c r="HM253" s="926"/>
      <c r="HN253" s="926"/>
      <c r="HO253" s="926"/>
      <c r="HP253" s="926"/>
      <c r="HQ253" s="926"/>
      <c r="HR253" s="926"/>
      <c r="HS253" s="926"/>
      <c r="HT253" s="926"/>
      <c r="HU253" s="926"/>
      <c r="HV253" s="926"/>
      <c r="HW253" s="926"/>
      <c r="HX253" s="926"/>
      <c r="HY253" s="926"/>
      <c r="HZ253" s="926"/>
      <c r="IA253" s="926"/>
      <c r="IB253" s="926"/>
      <c r="IC253" s="926"/>
      <c r="ID253" s="926"/>
      <c r="IE253" s="926"/>
      <c r="IF253" s="926"/>
      <c r="IG253" s="926"/>
      <c r="IH253" s="926"/>
      <c r="II253" s="926"/>
      <c r="IJ253" s="926"/>
      <c r="IK253" s="926"/>
      <c r="IL253" s="926"/>
      <c r="IM253" s="926"/>
    </row>
    <row r="254" spans="1:247" x14ac:dyDescent="0.45">
      <c r="A254" s="441">
        <v>8601</v>
      </c>
      <c r="B254" s="939" t="s">
        <v>2791</v>
      </c>
      <c r="C254" s="47" t="s">
        <v>302</v>
      </c>
      <c r="D254" s="449" t="s">
        <v>2540</v>
      </c>
      <c r="E254" s="946"/>
      <c r="F254" s="941">
        <f t="shared" si="56"/>
        <v>1.0209999999999999</v>
      </c>
      <c r="G254" s="947">
        <f>+$G$3</f>
        <v>1.0269999999999999</v>
      </c>
      <c r="H254" s="946"/>
      <c r="I254" s="948"/>
      <c r="J254" s="948"/>
      <c r="K254" s="948"/>
      <c r="L254" s="948"/>
      <c r="M254" s="948"/>
      <c r="N254" s="947"/>
      <c r="O254" s="949"/>
      <c r="P254" s="946">
        <f t="shared" si="63"/>
        <v>1.032</v>
      </c>
      <c r="Q254" s="947">
        <f t="shared" si="64"/>
        <v>1.0349999999999999</v>
      </c>
      <c r="R254" s="950">
        <f t="shared" si="57"/>
        <v>1.1199953840399997</v>
      </c>
      <c r="S254" s="926"/>
      <c r="T254" s="926"/>
      <c r="U254" s="926"/>
      <c r="V254" s="926"/>
      <c r="W254" s="926"/>
      <c r="X254" s="926"/>
      <c r="Y254" s="926"/>
      <c r="Z254" s="926"/>
      <c r="AA254" s="926"/>
      <c r="AB254" s="926"/>
      <c r="AC254" s="926"/>
      <c r="AD254" s="926"/>
      <c r="AE254" s="926"/>
      <c r="AF254" s="926"/>
      <c r="AG254" s="926"/>
      <c r="AH254" s="926"/>
      <c r="AI254" s="926"/>
      <c r="AJ254" s="926"/>
      <c r="AK254" s="926"/>
      <c r="AL254" s="926"/>
      <c r="AM254" s="926"/>
      <c r="AN254" s="926"/>
      <c r="AO254" s="926"/>
      <c r="AP254" s="926"/>
      <c r="AQ254" s="926"/>
      <c r="AR254" s="926"/>
      <c r="AS254" s="926"/>
      <c r="AT254" s="926"/>
      <c r="AU254" s="926"/>
      <c r="AV254" s="926"/>
      <c r="AW254" s="926"/>
      <c r="AX254" s="926"/>
      <c r="AY254" s="926"/>
      <c r="AZ254" s="926"/>
      <c r="BA254" s="926"/>
      <c r="BB254" s="926"/>
      <c r="BC254" s="926"/>
      <c r="BD254" s="926"/>
      <c r="BE254" s="926"/>
      <c r="BF254" s="926"/>
      <c r="BG254" s="926"/>
      <c r="BH254" s="926"/>
      <c r="BI254" s="926"/>
      <c r="BJ254" s="926"/>
      <c r="BK254" s="926"/>
      <c r="BL254" s="926"/>
      <c r="BM254" s="926"/>
      <c r="BN254" s="926"/>
      <c r="BO254" s="926"/>
      <c r="BP254" s="926"/>
      <c r="BQ254" s="926"/>
      <c r="BR254" s="926"/>
      <c r="BS254" s="926"/>
      <c r="BT254" s="926"/>
      <c r="BU254" s="926"/>
      <c r="BV254" s="926"/>
      <c r="BW254" s="926"/>
      <c r="BX254" s="926"/>
      <c r="BY254" s="926"/>
      <c r="BZ254" s="926"/>
      <c r="CA254" s="926"/>
      <c r="CB254" s="926"/>
      <c r="CC254" s="926"/>
      <c r="CD254" s="926"/>
      <c r="CE254" s="926"/>
      <c r="CF254" s="926"/>
      <c r="CG254" s="926"/>
      <c r="CH254" s="926"/>
      <c r="CI254" s="926"/>
      <c r="CJ254" s="926"/>
      <c r="CK254" s="926"/>
      <c r="CL254" s="926"/>
      <c r="CM254" s="926"/>
      <c r="CN254" s="926"/>
      <c r="CO254" s="926"/>
      <c r="CP254" s="926"/>
      <c r="CQ254" s="926"/>
      <c r="CR254" s="926"/>
      <c r="CS254" s="926"/>
      <c r="CT254" s="926"/>
      <c r="CU254" s="926"/>
      <c r="CV254" s="926"/>
      <c r="CW254" s="926"/>
      <c r="CX254" s="926"/>
      <c r="CY254" s="926"/>
      <c r="CZ254" s="926"/>
      <c r="DA254" s="926"/>
      <c r="DB254" s="926"/>
      <c r="DC254" s="926"/>
      <c r="DD254" s="926"/>
      <c r="DE254" s="926"/>
      <c r="DF254" s="926"/>
      <c r="DG254" s="926"/>
      <c r="DH254" s="926"/>
      <c r="DI254" s="926"/>
      <c r="DJ254" s="926"/>
      <c r="DK254" s="926"/>
      <c r="DL254" s="926"/>
      <c r="DM254" s="926"/>
      <c r="DN254" s="926"/>
      <c r="DO254" s="926"/>
      <c r="DP254" s="926"/>
      <c r="DQ254" s="926"/>
      <c r="DR254" s="926"/>
      <c r="DS254" s="926"/>
      <c r="DT254" s="926"/>
      <c r="DU254" s="926"/>
      <c r="DV254" s="926"/>
      <c r="DW254" s="926"/>
      <c r="DX254" s="926"/>
      <c r="DY254" s="926"/>
      <c r="DZ254" s="926"/>
      <c r="EA254" s="926"/>
      <c r="EB254" s="926"/>
      <c r="EC254" s="926"/>
      <c r="ED254" s="926"/>
      <c r="EE254" s="926"/>
      <c r="EF254" s="926"/>
      <c r="EG254" s="926"/>
      <c r="EH254" s="926"/>
      <c r="EI254" s="926"/>
      <c r="EJ254" s="926"/>
      <c r="EK254" s="926"/>
      <c r="EL254" s="926"/>
      <c r="EM254" s="926"/>
      <c r="EN254" s="926"/>
      <c r="EO254" s="926"/>
      <c r="EP254" s="926"/>
      <c r="EQ254" s="926"/>
      <c r="ER254" s="926"/>
      <c r="ES254" s="926"/>
      <c r="ET254" s="926"/>
      <c r="EU254" s="926"/>
      <c r="EV254" s="926"/>
      <c r="EW254" s="926"/>
      <c r="EX254" s="926"/>
      <c r="EY254" s="926"/>
      <c r="EZ254" s="926"/>
      <c r="FA254" s="926"/>
      <c r="FB254" s="926"/>
      <c r="FC254" s="926"/>
      <c r="FD254" s="926"/>
      <c r="FE254" s="926"/>
      <c r="FF254" s="926"/>
      <c r="FG254" s="926"/>
      <c r="FH254" s="926"/>
      <c r="FI254" s="926"/>
      <c r="FJ254" s="926"/>
      <c r="FK254" s="926"/>
      <c r="FL254" s="926"/>
      <c r="FM254" s="926"/>
      <c r="FN254" s="926"/>
      <c r="FO254" s="926"/>
      <c r="FP254" s="926"/>
      <c r="FQ254" s="926"/>
      <c r="FR254" s="926"/>
      <c r="FS254" s="926"/>
      <c r="FT254" s="926"/>
      <c r="FU254" s="926"/>
      <c r="FV254" s="926"/>
      <c r="FW254" s="926"/>
      <c r="FX254" s="926"/>
      <c r="FY254" s="926"/>
      <c r="FZ254" s="926"/>
      <c r="GA254" s="926"/>
      <c r="GB254" s="926"/>
      <c r="GC254" s="926"/>
      <c r="GD254" s="926"/>
      <c r="GE254" s="926"/>
      <c r="GF254" s="926"/>
      <c r="GG254" s="926"/>
      <c r="GH254" s="926"/>
      <c r="GI254" s="926"/>
      <c r="GJ254" s="926"/>
      <c r="GK254" s="926"/>
      <c r="GL254" s="926"/>
      <c r="GM254" s="926"/>
      <c r="GN254" s="926"/>
      <c r="GO254" s="926"/>
      <c r="GP254" s="926"/>
      <c r="GQ254" s="926"/>
      <c r="GR254" s="926"/>
      <c r="GS254" s="926"/>
      <c r="GT254" s="926"/>
      <c r="GU254" s="926"/>
      <c r="GV254" s="926"/>
      <c r="GW254" s="926"/>
      <c r="GX254" s="926"/>
      <c r="GY254" s="926"/>
      <c r="GZ254" s="926"/>
      <c r="HA254" s="926"/>
      <c r="HB254" s="926"/>
      <c r="HC254" s="926"/>
      <c r="HD254" s="926"/>
      <c r="HE254" s="926"/>
      <c r="HF254" s="926"/>
      <c r="HG254" s="926"/>
      <c r="HH254" s="926"/>
      <c r="HI254" s="926"/>
      <c r="HJ254" s="926"/>
      <c r="HK254" s="926"/>
      <c r="HL254" s="926"/>
      <c r="HM254" s="926"/>
      <c r="HN254" s="926"/>
      <c r="HO254" s="926"/>
      <c r="HP254" s="926"/>
      <c r="HQ254" s="926"/>
      <c r="HR254" s="926"/>
      <c r="HS254" s="926"/>
      <c r="HT254" s="926"/>
      <c r="HU254" s="926"/>
      <c r="HV254" s="926"/>
      <c r="HW254" s="926"/>
      <c r="HX254" s="926"/>
      <c r="HY254" s="926"/>
      <c r="HZ254" s="926"/>
      <c r="IA254" s="926"/>
      <c r="IB254" s="926"/>
      <c r="IC254" s="926"/>
      <c r="ID254" s="926"/>
      <c r="IE254" s="926"/>
      <c r="IF254" s="926"/>
      <c r="IG254" s="926"/>
      <c r="IH254" s="926"/>
      <c r="II254" s="926"/>
      <c r="IJ254" s="926"/>
      <c r="IK254" s="926"/>
      <c r="IL254" s="926"/>
      <c r="IM254" s="926"/>
    </row>
    <row r="255" spans="1:247" x14ac:dyDescent="0.45">
      <c r="A255" s="441">
        <v>8611</v>
      </c>
      <c r="B255" s="939" t="s">
        <v>2792</v>
      </c>
      <c r="C255" s="47" t="s">
        <v>113</v>
      </c>
      <c r="D255" s="449" t="s">
        <v>2537</v>
      </c>
      <c r="E255" s="946"/>
      <c r="F255" s="941">
        <f t="shared" si="56"/>
        <v>1.0209999999999999</v>
      </c>
      <c r="G255" s="947">
        <f>+$G$3</f>
        <v>1.0269999999999999</v>
      </c>
      <c r="H255" s="946"/>
      <c r="I255" s="948"/>
      <c r="J255" s="948"/>
      <c r="K255" s="948"/>
      <c r="L255" s="948"/>
      <c r="M255" s="948"/>
      <c r="N255" s="947"/>
      <c r="O255" s="949"/>
      <c r="P255" s="946">
        <f t="shared" si="63"/>
        <v>1.032</v>
      </c>
      <c r="Q255" s="947">
        <f t="shared" si="64"/>
        <v>1.0349999999999999</v>
      </c>
      <c r="R255" s="950">
        <f t="shared" si="57"/>
        <v>1.1199953840399997</v>
      </c>
      <c r="S255" s="926"/>
      <c r="T255" s="926"/>
      <c r="U255" s="926"/>
      <c r="V255" s="926"/>
      <c r="W255" s="926"/>
      <c r="X255" s="926"/>
      <c r="Y255" s="926"/>
      <c r="Z255" s="926"/>
      <c r="AA255" s="926"/>
      <c r="AB255" s="926"/>
      <c r="AC255" s="926"/>
      <c r="AD255" s="926"/>
      <c r="AE255" s="926"/>
      <c r="AF255" s="926"/>
      <c r="AG255" s="926"/>
      <c r="AH255" s="926"/>
      <c r="AI255" s="926"/>
      <c r="AJ255" s="926"/>
      <c r="AK255" s="926"/>
      <c r="AL255" s="926"/>
      <c r="AM255" s="926"/>
      <c r="AN255" s="926"/>
      <c r="AO255" s="926"/>
      <c r="AP255" s="926"/>
      <c r="AQ255" s="926"/>
      <c r="AR255" s="926"/>
      <c r="AS255" s="926"/>
      <c r="AT255" s="926"/>
      <c r="AU255" s="926"/>
      <c r="AV255" s="926"/>
      <c r="AW255" s="926"/>
      <c r="AX255" s="926"/>
      <c r="AY255" s="926"/>
      <c r="AZ255" s="926"/>
      <c r="BA255" s="926"/>
      <c r="BB255" s="926"/>
      <c r="BC255" s="926"/>
      <c r="BD255" s="926"/>
      <c r="BE255" s="926"/>
      <c r="BF255" s="926"/>
      <c r="BG255" s="926"/>
      <c r="BH255" s="926"/>
      <c r="BI255" s="926"/>
      <c r="BJ255" s="926"/>
      <c r="BK255" s="926"/>
      <c r="BL255" s="926"/>
      <c r="BM255" s="926"/>
      <c r="BN255" s="926"/>
      <c r="BO255" s="926"/>
      <c r="BP255" s="926"/>
      <c r="BQ255" s="926"/>
      <c r="BR255" s="926"/>
      <c r="BS255" s="926"/>
      <c r="BT255" s="926"/>
      <c r="BU255" s="926"/>
      <c r="BV255" s="926"/>
      <c r="BW255" s="926"/>
      <c r="BX255" s="926"/>
      <c r="BY255" s="926"/>
      <c r="BZ255" s="926"/>
      <c r="CA255" s="926"/>
      <c r="CB255" s="926"/>
      <c r="CC255" s="926"/>
      <c r="CD255" s="926"/>
      <c r="CE255" s="926"/>
      <c r="CF255" s="926"/>
      <c r="CG255" s="926"/>
      <c r="CH255" s="926"/>
      <c r="CI255" s="926"/>
      <c r="CJ255" s="926"/>
      <c r="CK255" s="926"/>
      <c r="CL255" s="926"/>
      <c r="CM255" s="926"/>
      <c r="CN255" s="926"/>
      <c r="CO255" s="926"/>
      <c r="CP255" s="926"/>
      <c r="CQ255" s="926"/>
      <c r="CR255" s="926"/>
      <c r="CS255" s="926"/>
      <c r="CT255" s="926"/>
      <c r="CU255" s="926"/>
      <c r="CV255" s="926"/>
      <c r="CW255" s="926"/>
      <c r="CX255" s="926"/>
      <c r="CY255" s="926"/>
      <c r="CZ255" s="926"/>
      <c r="DA255" s="926"/>
      <c r="DB255" s="926"/>
      <c r="DC255" s="926"/>
      <c r="DD255" s="926"/>
      <c r="DE255" s="926"/>
      <c r="DF255" s="926"/>
      <c r="DG255" s="926"/>
      <c r="DH255" s="926"/>
      <c r="DI255" s="926"/>
      <c r="DJ255" s="926"/>
      <c r="DK255" s="926"/>
      <c r="DL255" s="926"/>
      <c r="DM255" s="926"/>
      <c r="DN255" s="926"/>
      <c r="DO255" s="926"/>
      <c r="DP255" s="926"/>
      <c r="DQ255" s="926"/>
      <c r="DR255" s="926"/>
      <c r="DS255" s="926"/>
      <c r="DT255" s="926"/>
      <c r="DU255" s="926"/>
      <c r="DV255" s="926"/>
      <c r="DW255" s="926"/>
      <c r="DX255" s="926"/>
      <c r="DY255" s="926"/>
      <c r="DZ255" s="926"/>
      <c r="EA255" s="926"/>
      <c r="EB255" s="926"/>
      <c r="EC255" s="926"/>
      <c r="ED255" s="926"/>
      <c r="EE255" s="926"/>
      <c r="EF255" s="926"/>
      <c r="EG255" s="926"/>
      <c r="EH255" s="926"/>
      <c r="EI255" s="926"/>
      <c r="EJ255" s="926"/>
      <c r="EK255" s="926"/>
      <c r="EL255" s="926"/>
      <c r="EM255" s="926"/>
      <c r="EN255" s="926"/>
      <c r="EO255" s="926"/>
      <c r="EP255" s="926"/>
      <c r="EQ255" s="926"/>
      <c r="ER255" s="926"/>
      <c r="ES255" s="926"/>
      <c r="ET255" s="926"/>
      <c r="EU255" s="926"/>
      <c r="EV255" s="926"/>
      <c r="EW255" s="926"/>
      <c r="EX255" s="926"/>
      <c r="EY255" s="926"/>
      <c r="EZ255" s="926"/>
      <c r="FA255" s="926"/>
      <c r="FB255" s="926"/>
      <c r="FC255" s="926"/>
      <c r="FD255" s="926"/>
      <c r="FE255" s="926"/>
      <c r="FF255" s="926"/>
      <c r="FG255" s="926"/>
      <c r="FH255" s="926"/>
      <c r="FI255" s="926"/>
      <c r="FJ255" s="926"/>
      <c r="FK255" s="926"/>
      <c r="FL255" s="926"/>
      <c r="FM255" s="926"/>
      <c r="FN255" s="926"/>
      <c r="FO255" s="926"/>
      <c r="FP255" s="926"/>
      <c r="FQ255" s="926"/>
      <c r="FR255" s="926"/>
      <c r="FS255" s="926"/>
      <c r="FT255" s="926"/>
      <c r="FU255" s="926"/>
      <c r="FV255" s="926"/>
      <c r="FW255" s="926"/>
      <c r="FX255" s="926"/>
      <c r="FY255" s="926"/>
      <c r="FZ255" s="926"/>
      <c r="GA255" s="926"/>
      <c r="GB255" s="926"/>
      <c r="GC255" s="926"/>
      <c r="GD255" s="926"/>
      <c r="GE255" s="926"/>
      <c r="GF255" s="926"/>
      <c r="GG255" s="926"/>
      <c r="GH255" s="926"/>
      <c r="GI255" s="926"/>
      <c r="GJ255" s="926"/>
      <c r="GK255" s="926"/>
      <c r="GL255" s="926"/>
      <c r="GM255" s="926"/>
      <c r="GN255" s="926"/>
      <c r="GO255" s="926"/>
      <c r="GP255" s="926"/>
      <c r="GQ255" s="926"/>
      <c r="GR255" s="926"/>
      <c r="GS255" s="926"/>
      <c r="GT255" s="926"/>
      <c r="GU255" s="926"/>
      <c r="GV255" s="926"/>
      <c r="GW255" s="926"/>
      <c r="GX255" s="926"/>
      <c r="GY255" s="926"/>
      <c r="GZ255" s="926"/>
      <c r="HA255" s="926"/>
      <c r="HB255" s="926"/>
      <c r="HC255" s="926"/>
      <c r="HD255" s="926"/>
      <c r="HE255" s="926"/>
      <c r="HF255" s="926"/>
      <c r="HG255" s="926"/>
      <c r="HH255" s="926"/>
      <c r="HI255" s="926"/>
      <c r="HJ255" s="926"/>
      <c r="HK255" s="926"/>
      <c r="HL255" s="926"/>
      <c r="HM255" s="926"/>
      <c r="HN255" s="926"/>
      <c r="HO255" s="926"/>
      <c r="HP255" s="926"/>
      <c r="HQ255" s="926"/>
      <c r="HR255" s="926"/>
      <c r="HS255" s="926"/>
      <c r="HT255" s="926"/>
      <c r="HU255" s="926"/>
      <c r="HV255" s="926"/>
      <c r="HW255" s="926"/>
      <c r="HX255" s="926"/>
      <c r="HY255" s="926"/>
      <c r="HZ255" s="926"/>
      <c r="IA255" s="926"/>
      <c r="IB255" s="926"/>
      <c r="IC255" s="926"/>
      <c r="ID255" s="926"/>
      <c r="IE255" s="926"/>
      <c r="IF255" s="926"/>
      <c r="IG255" s="926"/>
      <c r="IH255" s="926"/>
      <c r="II255" s="926"/>
      <c r="IJ255" s="926"/>
      <c r="IK255" s="926"/>
      <c r="IL255" s="926"/>
      <c r="IM255" s="926"/>
    </row>
    <row r="256" spans="1:247" x14ac:dyDescent="0.45">
      <c r="A256" s="441">
        <v>8612</v>
      </c>
      <c r="B256" s="939" t="s">
        <v>2793</v>
      </c>
      <c r="C256" s="47" t="s">
        <v>88</v>
      </c>
      <c r="D256" s="449" t="s">
        <v>2537</v>
      </c>
      <c r="E256" s="946"/>
      <c r="F256" s="941">
        <f t="shared" si="56"/>
        <v>1.0209999999999999</v>
      </c>
      <c r="G256" s="947"/>
      <c r="H256" s="946"/>
      <c r="I256" s="948"/>
      <c r="J256" s="948"/>
      <c r="K256" s="948"/>
      <c r="L256" s="948"/>
      <c r="M256" s="948"/>
      <c r="N256" s="947"/>
      <c r="O256" s="949"/>
      <c r="P256" s="946">
        <f t="shared" si="63"/>
        <v>1.032</v>
      </c>
      <c r="Q256" s="947">
        <f t="shared" si="64"/>
        <v>1.0349999999999999</v>
      </c>
      <c r="R256" s="950">
        <f t="shared" si="57"/>
        <v>1.0905505199999999</v>
      </c>
      <c r="S256" s="926"/>
      <c r="T256" s="926"/>
      <c r="U256" s="926"/>
      <c r="V256" s="926"/>
      <c r="W256" s="926"/>
      <c r="X256" s="926"/>
      <c r="Y256" s="926"/>
      <c r="Z256" s="926"/>
      <c r="AA256" s="926"/>
      <c r="AB256" s="926"/>
      <c r="AC256" s="926"/>
      <c r="AD256" s="926"/>
      <c r="AE256" s="926"/>
      <c r="AF256" s="926"/>
      <c r="AG256" s="926"/>
      <c r="AH256" s="926"/>
      <c r="AI256" s="926"/>
      <c r="AJ256" s="926"/>
      <c r="AK256" s="926"/>
      <c r="AL256" s="926"/>
      <c r="AM256" s="926"/>
      <c r="AN256" s="926"/>
      <c r="AO256" s="926"/>
      <c r="AP256" s="926"/>
      <c r="AQ256" s="926"/>
      <c r="AR256" s="926"/>
      <c r="AS256" s="926"/>
      <c r="AT256" s="926"/>
      <c r="AU256" s="926"/>
      <c r="AV256" s="926"/>
      <c r="AW256" s="926"/>
      <c r="AX256" s="926"/>
      <c r="AY256" s="926"/>
      <c r="AZ256" s="926"/>
      <c r="BA256" s="926"/>
      <c r="BB256" s="926"/>
      <c r="BC256" s="926"/>
      <c r="BD256" s="926"/>
      <c r="BE256" s="926"/>
      <c r="BF256" s="926"/>
      <c r="BG256" s="926"/>
      <c r="BH256" s="926"/>
      <c r="BI256" s="926"/>
      <c r="BJ256" s="926"/>
      <c r="BK256" s="926"/>
      <c r="BL256" s="926"/>
      <c r="BM256" s="926"/>
      <c r="BN256" s="926"/>
      <c r="BO256" s="926"/>
      <c r="BP256" s="926"/>
      <c r="BQ256" s="926"/>
      <c r="BR256" s="926"/>
      <c r="BS256" s="926"/>
      <c r="BT256" s="926"/>
      <c r="BU256" s="926"/>
      <c r="BV256" s="926"/>
      <c r="BW256" s="926"/>
      <c r="BX256" s="926"/>
      <c r="BY256" s="926"/>
      <c r="BZ256" s="926"/>
      <c r="CA256" s="926"/>
      <c r="CB256" s="926"/>
      <c r="CC256" s="926"/>
      <c r="CD256" s="926"/>
      <c r="CE256" s="926"/>
      <c r="CF256" s="926"/>
      <c r="CG256" s="926"/>
      <c r="CH256" s="926"/>
      <c r="CI256" s="926"/>
      <c r="CJ256" s="926"/>
      <c r="CK256" s="926"/>
      <c r="CL256" s="926"/>
      <c r="CM256" s="926"/>
      <c r="CN256" s="926"/>
      <c r="CO256" s="926"/>
      <c r="CP256" s="926"/>
      <c r="CQ256" s="926"/>
      <c r="CR256" s="926"/>
      <c r="CS256" s="926"/>
      <c r="CT256" s="926"/>
      <c r="CU256" s="926"/>
      <c r="CV256" s="926"/>
      <c r="CW256" s="926"/>
      <c r="CX256" s="926"/>
      <c r="CY256" s="926"/>
      <c r="CZ256" s="926"/>
      <c r="DA256" s="926"/>
      <c r="DB256" s="926"/>
      <c r="DC256" s="926"/>
      <c r="DD256" s="926"/>
      <c r="DE256" s="926"/>
      <c r="DF256" s="926"/>
      <c r="DG256" s="926"/>
      <c r="DH256" s="926"/>
      <c r="DI256" s="926"/>
      <c r="DJ256" s="926"/>
      <c r="DK256" s="926"/>
      <c r="DL256" s="926"/>
      <c r="DM256" s="926"/>
      <c r="DN256" s="926"/>
      <c r="DO256" s="926"/>
      <c r="DP256" s="926"/>
      <c r="DQ256" s="926"/>
      <c r="DR256" s="926"/>
      <c r="DS256" s="926"/>
      <c r="DT256" s="926"/>
      <c r="DU256" s="926"/>
      <c r="DV256" s="926"/>
      <c r="DW256" s="926"/>
      <c r="DX256" s="926"/>
      <c r="DY256" s="926"/>
      <c r="DZ256" s="926"/>
      <c r="EA256" s="926"/>
      <c r="EB256" s="926"/>
      <c r="EC256" s="926"/>
      <c r="ED256" s="926"/>
      <c r="EE256" s="926"/>
      <c r="EF256" s="926"/>
      <c r="EG256" s="926"/>
      <c r="EH256" s="926"/>
      <c r="EI256" s="926"/>
      <c r="EJ256" s="926"/>
      <c r="EK256" s="926"/>
      <c r="EL256" s="926"/>
      <c r="EM256" s="926"/>
      <c r="EN256" s="926"/>
      <c r="EO256" s="926"/>
      <c r="EP256" s="926"/>
      <c r="EQ256" s="926"/>
      <c r="ER256" s="926"/>
      <c r="ES256" s="926"/>
      <c r="ET256" s="926"/>
      <c r="EU256" s="926"/>
      <c r="EV256" s="926"/>
      <c r="EW256" s="926"/>
      <c r="EX256" s="926"/>
      <c r="EY256" s="926"/>
      <c r="EZ256" s="926"/>
      <c r="FA256" s="926"/>
      <c r="FB256" s="926"/>
      <c r="FC256" s="926"/>
      <c r="FD256" s="926"/>
      <c r="FE256" s="926"/>
      <c r="FF256" s="926"/>
      <c r="FG256" s="926"/>
      <c r="FH256" s="926"/>
      <c r="FI256" s="926"/>
      <c r="FJ256" s="926"/>
      <c r="FK256" s="926"/>
      <c r="FL256" s="926"/>
      <c r="FM256" s="926"/>
      <c r="FN256" s="926"/>
      <c r="FO256" s="926"/>
      <c r="FP256" s="926"/>
      <c r="FQ256" s="926"/>
      <c r="FR256" s="926"/>
      <c r="FS256" s="926"/>
      <c r="FT256" s="926"/>
      <c r="FU256" s="926"/>
      <c r="FV256" s="926"/>
      <c r="FW256" s="926"/>
      <c r="FX256" s="926"/>
      <c r="FY256" s="926"/>
      <c r="FZ256" s="926"/>
      <c r="GA256" s="926"/>
      <c r="GB256" s="926"/>
      <c r="GC256" s="926"/>
      <c r="GD256" s="926"/>
      <c r="GE256" s="926"/>
      <c r="GF256" s="926"/>
      <c r="GG256" s="926"/>
      <c r="GH256" s="926"/>
      <c r="GI256" s="926"/>
      <c r="GJ256" s="926"/>
      <c r="GK256" s="926"/>
      <c r="GL256" s="926"/>
      <c r="GM256" s="926"/>
      <c r="GN256" s="926"/>
      <c r="GO256" s="926"/>
      <c r="GP256" s="926"/>
      <c r="GQ256" s="926"/>
      <c r="GR256" s="926"/>
      <c r="GS256" s="926"/>
      <c r="GT256" s="926"/>
      <c r="GU256" s="926"/>
      <c r="GV256" s="926"/>
      <c r="GW256" s="926"/>
      <c r="GX256" s="926"/>
      <c r="GY256" s="926"/>
      <c r="GZ256" s="926"/>
      <c r="HA256" s="926"/>
      <c r="HB256" s="926"/>
      <c r="HC256" s="926"/>
      <c r="HD256" s="926"/>
      <c r="HE256" s="926"/>
      <c r="HF256" s="926"/>
      <c r="HG256" s="926"/>
      <c r="HH256" s="926"/>
      <c r="HI256" s="926"/>
      <c r="HJ256" s="926"/>
      <c r="HK256" s="926"/>
      <c r="HL256" s="926"/>
      <c r="HM256" s="926"/>
      <c r="HN256" s="926"/>
      <c r="HO256" s="926"/>
      <c r="HP256" s="926"/>
      <c r="HQ256" s="926"/>
      <c r="HR256" s="926"/>
      <c r="HS256" s="926"/>
      <c r="HT256" s="926"/>
      <c r="HU256" s="926"/>
      <c r="HV256" s="926"/>
      <c r="HW256" s="926"/>
      <c r="HX256" s="926"/>
      <c r="HY256" s="926"/>
      <c r="HZ256" s="926"/>
      <c r="IA256" s="926"/>
      <c r="IB256" s="926"/>
      <c r="IC256" s="926"/>
      <c r="ID256" s="926"/>
      <c r="IE256" s="926"/>
      <c r="IF256" s="926"/>
      <c r="IG256" s="926"/>
      <c r="IH256" s="926"/>
      <c r="II256" s="926"/>
      <c r="IJ256" s="926"/>
      <c r="IK256" s="926"/>
      <c r="IL256" s="926"/>
      <c r="IM256" s="926"/>
    </row>
    <row r="257" spans="1:247" x14ac:dyDescent="0.45">
      <c r="A257" s="441">
        <v>8711</v>
      </c>
      <c r="B257" s="939" t="s">
        <v>2794</v>
      </c>
      <c r="C257" s="47" t="s">
        <v>113</v>
      </c>
      <c r="D257" s="449" t="s">
        <v>2540</v>
      </c>
      <c r="E257" s="946"/>
      <c r="F257" s="941">
        <f t="shared" si="56"/>
        <v>1.0209999999999999</v>
      </c>
      <c r="G257" s="947"/>
      <c r="H257" s="946"/>
      <c r="I257" s="948"/>
      <c r="J257" s="948"/>
      <c r="K257" s="948"/>
      <c r="L257" s="948"/>
      <c r="M257" s="948"/>
      <c r="N257" s="947"/>
      <c r="O257" s="949"/>
      <c r="P257" s="946">
        <f t="shared" si="63"/>
        <v>1.032</v>
      </c>
      <c r="Q257" s="947">
        <f t="shared" si="64"/>
        <v>1.0349999999999999</v>
      </c>
      <c r="R257" s="950">
        <f t="shared" si="57"/>
        <v>1.0905505199999999</v>
      </c>
      <c r="S257" s="926"/>
      <c r="T257" s="926"/>
      <c r="U257" s="926"/>
      <c r="V257" s="926"/>
      <c r="W257" s="926"/>
      <c r="X257" s="926"/>
      <c r="Y257" s="926"/>
      <c r="Z257" s="926"/>
      <c r="AA257" s="926"/>
      <c r="AB257" s="926"/>
      <c r="AC257" s="926"/>
      <c r="AD257" s="926"/>
      <c r="AE257" s="926"/>
      <c r="AF257" s="926"/>
      <c r="AG257" s="926"/>
      <c r="AH257" s="926"/>
      <c r="AI257" s="926"/>
      <c r="AJ257" s="926"/>
      <c r="AK257" s="926"/>
      <c r="AL257" s="926"/>
      <c r="AM257" s="926"/>
      <c r="AN257" s="926"/>
      <c r="AO257" s="926"/>
      <c r="AP257" s="926"/>
      <c r="AQ257" s="926"/>
      <c r="AR257" s="926"/>
      <c r="AS257" s="926"/>
      <c r="AT257" s="926"/>
      <c r="AU257" s="926"/>
      <c r="AV257" s="926"/>
      <c r="AW257" s="926"/>
      <c r="AX257" s="926"/>
      <c r="AY257" s="926"/>
      <c r="AZ257" s="926"/>
      <c r="BA257" s="926"/>
      <c r="BB257" s="926"/>
      <c r="BC257" s="926"/>
      <c r="BD257" s="926"/>
      <c r="BE257" s="926"/>
      <c r="BF257" s="926"/>
      <c r="BG257" s="926"/>
      <c r="BH257" s="926"/>
      <c r="BI257" s="926"/>
      <c r="BJ257" s="926"/>
      <c r="BK257" s="926"/>
      <c r="BL257" s="926"/>
      <c r="BM257" s="926"/>
      <c r="BN257" s="926"/>
      <c r="BO257" s="926"/>
      <c r="BP257" s="926"/>
      <c r="BQ257" s="926"/>
      <c r="BR257" s="926"/>
      <c r="BS257" s="926"/>
      <c r="BT257" s="926"/>
      <c r="BU257" s="926"/>
      <c r="BV257" s="926"/>
      <c r="BW257" s="926"/>
      <c r="BX257" s="926"/>
      <c r="BY257" s="926"/>
      <c r="BZ257" s="926"/>
      <c r="CA257" s="926"/>
      <c r="CB257" s="926"/>
      <c r="CC257" s="926"/>
      <c r="CD257" s="926"/>
      <c r="CE257" s="926"/>
      <c r="CF257" s="926"/>
      <c r="CG257" s="926"/>
      <c r="CH257" s="926"/>
      <c r="CI257" s="926"/>
      <c r="CJ257" s="926"/>
      <c r="CK257" s="926"/>
      <c r="CL257" s="926"/>
      <c r="CM257" s="926"/>
      <c r="CN257" s="926"/>
      <c r="CO257" s="926"/>
      <c r="CP257" s="926"/>
      <c r="CQ257" s="926"/>
      <c r="CR257" s="926"/>
      <c r="CS257" s="926"/>
      <c r="CT257" s="926"/>
      <c r="CU257" s="926"/>
      <c r="CV257" s="926"/>
      <c r="CW257" s="926"/>
      <c r="CX257" s="926"/>
      <c r="CY257" s="926"/>
      <c r="CZ257" s="926"/>
      <c r="DA257" s="926"/>
      <c r="DB257" s="926"/>
      <c r="DC257" s="926"/>
      <c r="DD257" s="926"/>
      <c r="DE257" s="926"/>
      <c r="DF257" s="926"/>
      <c r="DG257" s="926"/>
      <c r="DH257" s="926"/>
      <c r="DI257" s="926"/>
      <c r="DJ257" s="926"/>
      <c r="DK257" s="926"/>
      <c r="DL257" s="926"/>
      <c r="DM257" s="926"/>
      <c r="DN257" s="926"/>
      <c r="DO257" s="926"/>
      <c r="DP257" s="926"/>
      <c r="DQ257" s="926"/>
      <c r="DR257" s="926"/>
      <c r="DS257" s="926"/>
      <c r="DT257" s="926"/>
      <c r="DU257" s="926"/>
      <c r="DV257" s="926"/>
      <c r="DW257" s="926"/>
      <c r="DX257" s="926"/>
      <c r="DY257" s="926"/>
      <c r="DZ257" s="926"/>
      <c r="EA257" s="926"/>
      <c r="EB257" s="926"/>
      <c r="EC257" s="926"/>
      <c r="ED257" s="926"/>
      <c r="EE257" s="926"/>
      <c r="EF257" s="926"/>
      <c r="EG257" s="926"/>
      <c r="EH257" s="926"/>
      <c r="EI257" s="926"/>
      <c r="EJ257" s="926"/>
      <c r="EK257" s="926"/>
      <c r="EL257" s="926"/>
      <c r="EM257" s="926"/>
      <c r="EN257" s="926"/>
      <c r="EO257" s="926"/>
      <c r="EP257" s="926"/>
      <c r="EQ257" s="926"/>
      <c r="ER257" s="926"/>
      <c r="ES257" s="926"/>
      <c r="ET257" s="926"/>
      <c r="EU257" s="926"/>
      <c r="EV257" s="926"/>
      <c r="EW257" s="926"/>
      <c r="EX257" s="926"/>
      <c r="EY257" s="926"/>
      <c r="EZ257" s="926"/>
      <c r="FA257" s="926"/>
      <c r="FB257" s="926"/>
      <c r="FC257" s="926"/>
      <c r="FD257" s="926"/>
      <c r="FE257" s="926"/>
      <c r="FF257" s="926"/>
      <c r="FG257" s="926"/>
      <c r="FH257" s="926"/>
      <c r="FI257" s="926"/>
      <c r="FJ257" s="926"/>
      <c r="FK257" s="926"/>
      <c r="FL257" s="926"/>
      <c r="FM257" s="926"/>
      <c r="FN257" s="926"/>
      <c r="FO257" s="926"/>
      <c r="FP257" s="926"/>
      <c r="FQ257" s="926"/>
      <c r="FR257" s="926"/>
      <c r="FS257" s="926"/>
      <c r="FT257" s="926"/>
      <c r="FU257" s="926"/>
      <c r="FV257" s="926"/>
      <c r="FW257" s="926"/>
      <c r="FX257" s="926"/>
      <c r="FY257" s="926"/>
      <c r="FZ257" s="926"/>
      <c r="GA257" s="926"/>
      <c r="GB257" s="926"/>
      <c r="GC257" s="926"/>
      <c r="GD257" s="926"/>
      <c r="GE257" s="926"/>
      <c r="GF257" s="926"/>
      <c r="GG257" s="926"/>
      <c r="GH257" s="926"/>
      <c r="GI257" s="926"/>
      <c r="GJ257" s="926"/>
      <c r="GK257" s="926"/>
      <c r="GL257" s="926"/>
      <c r="GM257" s="926"/>
      <c r="GN257" s="926"/>
      <c r="GO257" s="926"/>
      <c r="GP257" s="926"/>
      <c r="GQ257" s="926"/>
      <c r="GR257" s="926"/>
      <c r="GS257" s="926"/>
      <c r="GT257" s="926"/>
      <c r="GU257" s="926"/>
      <c r="GV257" s="926"/>
      <c r="GW257" s="926"/>
      <c r="GX257" s="926"/>
      <c r="GY257" s="926"/>
      <c r="GZ257" s="926"/>
      <c r="HA257" s="926"/>
      <c r="HB257" s="926"/>
      <c r="HC257" s="926"/>
      <c r="HD257" s="926"/>
      <c r="HE257" s="926"/>
      <c r="HF257" s="926"/>
      <c r="HG257" s="926"/>
      <c r="HH257" s="926"/>
      <c r="HI257" s="926"/>
      <c r="HJ257" s="926"/>
      <c r="HK257" s="926"/>
      <c r="HL257" s="926"/>
      <c r="HM257" s="926"/>
      <c r="HN257" s="926"/>
      <c r="HO257" s="926"/>
      <c r="HP257" s="926"/>
      <c r="HQ257" s="926"/>
      <c r="HR257" s="926"/>
      <c r="HS257" s="926"/>
      <c r="HT257" s="926"/>
      <c r="HU257" s="926"/>
      <c r="HV257" s="926"/>
      <c r="HW257" s="926"/>
      <c r="HX257" s="926"/>
      <c r="HY257" s="926"/>
      <c r="HZ257" s="926"/>
      <c r="IA257" s="926"/>
      <c r="IB257" s="926"/>
      <c r="IC257" s="926"/>
      <c r="ID257" s="926"/>
      <c r="IE257" s="926"/>
      <c r="IF257" s="926"/>
      <c r="IG257" s="926"/>
      <c r="IH257" s="926"/>
      <c r="II257" s="926"/>
      <c r="IJ257" s="926"/>
      <c r="IK257" s="926"/>
      <c r="IL257" s="926"/>
      <c r="IM257" s="926"/>
    </row>
    <row r="258" spans="1:247" x14ac:dyDescent="0.45">
      <c r="A258" s="441">
        <v>8712</v>
      </c>
      <c r="B258" s="939" t="s">
        <v>2795</v>
      </c>
      <c r="C258" s="47" t="s">
        <v>113</v>
      </c>
      <c r="D258" s="449" t="s">
        <v>2537</v>
      </c>
      <c r="E258" s="946"/>
      <c r="F258" s="941">
        <f t="shared" si="56"/>
        <v>1.0209999999999999</v>
      </c>
      <c r="G258" s="947"/>
      <c r="H258" s="946"/>
      <c r="I258" s="948"/>
      <c r="J258" s="948"/>
      <c r="K258" s="948"/>
      <c r="L258" s="948"/>
      <c r="M258" s="948"/>
      <c r="N258" s="947"/>
      <c r="O258" s="949"/>
      <c r="P258" s="946"/>
      <c r="Q258" s="947"/>
      <c r="R258" s="950">
        <f t="shared" si="57"/>
        <v>1.0209999999999999</v>
      </c>
      <c r="S258" s="926"/>
      <c r="T258" s="926"/>
      <c r="U258" s="926"/>
      <c r="V258" s="926"/>
      <c r="W258" s="926"/>
      <c r="X258" s="926"/>
      <c r="Y258" s="926"/>
      <c r="Z258" s="926"/>
      <c r="AA258" s="926"/>
      <c r="AB258" s="926"/>
      <c r="AC258" s="926"/>
      <c r="AD258" s="926"/>
      <c r="AE258" s="926"/>
      <c r="AF258" s="926"/>
      <c r="AG258" s="926"/>
      <c r="AH258" s="926"/>
      <c r="AI258" s="926"/>
      <c r="AJ258" s="926"/>
      <c r="AK258" s="926"/>
      <c r="AL258" s="926"/>
      <c r="AM258" s="926"/>
      <c r="AN258" s="926"/>
      <c r="AO258" s="926"/>
      <c r="AP258" s="926"/>
      <c r="AQ258" s="926"/>
      <c r="AR258" s="926"/>
      <c r="AS258" s="926"/>
      <c r="AT258" s="926"/>
      <c r="AU258" s="926"/>
      <c r="AV258" s="926"/>
      <c r="AW258" s="926"/>
      <c r="AX258" s="926"/>
      <c r="AY258" s="926"/>
      <c r="AZ258" s="926"/>
      <c r="BA258" s="926"/>
      <c r="BB258" s="926"/>
      <c r="BC258" s="926"/>
      <c r="BD258" s="926"/>
      <c r="BE258" s="926"/>
      <c r="BF258" s="926"/>
      <c r="BG258" s="926"/>
      <c r="BH258" s="926"/>
      <c r="BI258" s="926"/>
      <c r="BJ258" s="926"/>
      <c r="BK258" s="926"/>
      <c r="BL258" s="926"/>
      <c r="BM258" s="926"/>
      <c r="BN258" s="926"/>
      <c r="BO258" s="926"/>
      <c r="BP258" s="926"/>
      <c r="BQ258" s="926"/>
      <c r="BR258" s="926"/>
      <c r="BS258" s="926"/>
      <c r="BT258" s="926"/>
      <c r="BU258" s="926"/>
      <c r="BV258" s="926"/>
      <c r="BW258" s="926"/>
      <c r="BX258" s="926"/>
      <c r="BY258" s="926"/>
      <c r="BZ258" s="926"/>
      <c r="CA258" s="926"/>
      <c r="CB258" s="926"/>
      <c r="CC258" s="926"/>
      <c r="CD258" s="926"/>
      <c r="CE258" s="926"/>
      <c r="CF258" s="926"/>
      <c r="CG258" s="926"/>
      <c r="CH258" s="926"/>
      <c r="CI258" s="926"/>
      <c r="CJ258" s="926"/>
      <c r="CK258" s="926"/>
      <c r="CL258" s="926"/>
      <c r="CM258" s="926"/>
      <c r="CN258" s="926"/>
      <c r="CO258" s="926"/>
      <c r="CP258" s="926"/>
      <c r="CQ258" s="926"/>
      <c r="CR258" s="926"/>
      <c r="CS258" s="926"/>
      <c r="CT258" s="926"/>
      <c r="CU258" s="926"/>
      <c r="CV258" s="926"/>
      <c r="CW258" s="926"/>
      <c r="CX258" s="926"/>
      <c r="CY258" s="926"/>
      <c r="CZ258" s="926"/>
      <c r="DA258" s="926"/>
      <c r="DB258" s="926"/>
      <c r="DC258" s="926"/>
      <c r="DD258" s="926"/>
      <c r="DE258" s="926"/>
      <c r="DF258" s="926"/>
      <c r="DG258" s="926"/>
      <c r="DH258" s="926"/>
      <c r="DI258" s="926"/>
      <c r="DJ258" s="926"/>
      <c r="DK258" s="926"/>
      <c r="DL258" s="926"/>
      <c r="DM258" s="926"/>
      <c r="DN258" s="926"/>
      <c r="DO258" s="926"/>
      <c r="DP258" s="926"/>
      <c r="DQ258" s="926"/>
      <c r="DR258" s="926"/>
      <c r="DS258" s="926"/>
      <c r="DT258" s="926"/>
      <c r="DU258" s="926"/>
      <c r="DV258" s="926"/>
      <c r="DW258" s="926"/>
      <c r="DX258" s="926"/>
      <c r="DY258" s="926"/>
      <c r="DZ258" s="926"/>
      <c r="EA258" s="926"/>
      <c r="EB258" s="926"/>
      <c r="EC258" s="926"/>
      <c r="ED258" s="926"/>
      <c r="EE258" s="926"/>
      <c r="EF258" s="926"/>
      <c r="EG258" s="926"/>
      <c r="EH258" s="926"/>
      <c r="EI258" s="926"/>
      <c r="EJ258" s="926"/>
      <c r="EK258" s="926"/>
      <c r="EL258" s="926"/>
      <c r="EM258" s="926"/>
      <c r="EN258" s="926"/>
      <c r="EO258" s="926"/>
      <c r="EP258" s="926"/>
      <c r="EQ258" s="926"/>
      <c r="ER258" s="926"/>
      <c r="ES258" s="926"/>
      <c r="ET258" s="926"/>
      <c r="EU258" s="926"/>
      <c r="EV258" s="926"/>
      <c r="EW258" s="926"/>
      <c r="EX258" s="926"/>
      <c r="EY258" s="926"/>
      <c r="EZ258" s="926"/>
      <c r="FA258" s="926"/>
      <c r="FB258" s="926"/>
      <c r="FC258" s="926"/>
      <c r="FD258" s="926"/>
      <c r="FE258" s="926"/>
      <c r="FF258" s="926"/>
      <c r="FG258" s="926"/>
      <c r="FH258" s="926"/>
      <c r="FI258" s="926"/>
      <c r="FJ258" s="926"/>
      <c r="FK258" s="926"/>
      <c r="FL258" s="926"/>
      <c r="FM258" s="926"/>
      <c r="FN258" s="926"/>
      <c r="FO258" s="926"/>
      <c r="FP258" s="926"/>
      <c r="FQ258" s="926"/>
      <c r="FR258" s="926"/>
      <c r="FS258" s="926"/>
      <c r="FT258" s="926"/>
      <c r="FU258" s="926"/>
      <c r="FV258" s="926"/>
      <c r="FW258" s="926"/>
      <c r="FX258" s="926"/>
      <c r="FY258" s="926"/>
      <c r="FZ258" s="926"/>
      <c r="GA258" s="926"/>
      <c r="GB258" s="926"/>
      <c r="GC258" s="926"/>
      <c r="GD258" s="926"/>
      <c r="GE258" s="926"/>
      <c r="GF258" s="926"/>
      <c r="GG258" s="926"/>
      <c r="GH258" s="926"/>
      <c r="GI258" s="926"/>
      <c r="GJ258" s="926"/>
      <c r="GK258" s="926"/>
      <c r="GL258" s="926"/>
      <c r="GM258" s="926"/>
      <c r="GN258" s="926"/>
      <c r="GO258" s="926"/>
      <c r="GP258" s="926"/>
      <c r="GQ258" s="926"/>
      <c r="GR258" s="926"/>
      <c r="GS258" s="926"/>
      <c r="GT258" s="926"/>
      <c r="GU258" s="926"/>
      <c r="GV258" s="926"/>
      <c r="GW258" s="926"/>
      <c r="GX258" s="926"/>
      <c r="GY258" s="926"/>
      <c r="GZ258" s="926"/>
      <c r="HA258" s="926"/>
      <c r="HB258" s="926"/>
      <c r="HC258" s="926"/>
      <c r="HD258" s="926"/>
      <c r="HE258" s="926"/>
      <c r="HF258" s="926"/>
      <c r="HG258" s="926"/>
      <c r="HH258" s="926"/>
      <c r="HI258" s="926"/>
      <c r="HJ258" s="926"/>
      <c r="HK258" s="926"/>
      <c r="HL258" s="926"/>
      <c r="HM258" s="926"/>
      <c r="HN258" s="926"/>
      <c r="HO258" s="926"/>
      <c r="HP258" s="926"/>
      <c r="HQ258" s="926"/>
      <c r="HR258" s="926"/>
      <c r="HS258" s="926"/>
      <c r="HT258" s="926"/>
      <c r="HU258" s="926"/>
      <c r="HV258" s="926"/>
      <c r="HW258" s="926"/>
      <c r="HX258" s="926"/>
      <c r="HY258" s="926"/>
      <c r="HZ258" s="926"/>
      <c r="IA258" s="926"/>
      <c r="IB258" s="926"/>
      <c r="IC258" s="926"/>
      <c r="ID258" s="926"/>
      <c r="IE258" s="926"/>
      <c r="IF258" s="926"/>
      <c r="IG258" s="926"/>
      <c r="IH258" s="926"/>
      <c r="II258" s="926"/>
      <c r="IJ258" s="926"/>
      <c r="IK258" s="926"/>
      <c r="IL258" s="926"/>
      <c r="IM258" s="926"/>
    </row>
    <row r="259" spans="1:247" x14ac:dyDescent="0.45">
      <c r="A259" s="441">
        <v>8714</v>
      </c>
      <c r="B259" s="939" t="s">
        <v>2796</v>
      </c>
      <c r="C259" s="47" t="s">
        <v>113</v>
      </c>
      <c r="D259" s="449" t="s">
        <v>2537</v>
      </c>
      <c r="E259" s="946"/>
      <c r="F259" s="941">
        <f t="shared" si="56"/>
        <v>1.0209999999999999</v>
      </c>
      <c r="G259" s="947"/>
      <c r="H259" s="946"/>
      <c r="I259" s="948"/>
      <c r="J259" s="948"/>
      <c r="K259" s="948"/>
      <c r="L259" s="948"/>
      <c r="M259" s="948"/>
      <c r="N259" s="947"/>
      <c r="O259" s="949"/>
      <c r="P259" s="946"/>
      <c r="Q259" s="947"/>
      <c r="R259" s="950">
        <f>PRODUCT(E259:Q259)</f>
        <v>1.0209999999999999</v>
      </c>
      <c r="S259" s="926"/>
      <c r="T259" s="926"/>
      <c r="U259" s="926"/>
      <c r="V259" s="926"/>
      <c r="W259" s="926"/>
      <c r="X259" s="926"/>
      <c r="Y259" s="926"/>
      <c r="Z259" s="926"/>
      <c r="AA259" s="926"/>
      <c r="AB259" s="926"/>
      <c r="AC259" s="926"/>
      <c r="AD259" s="926"/>
      <c r="AE259" s="926"/>
      <c r="AF259" s="926"/>
      <c r="AG259" s="926"/>
      <c r="AH259" s="926"/>
      <c r="AI259" s="926"/>
      <c r="AJ259" s="926"/>
      <c r="AK259" s="926"/>
      <c r="AL259" s="926"/>
      <c r="AM259" s="926"/>
      <c r="AN259" s="926"/>
      <c r="AO259" s="926"/>
      <c r="AP259" s="926"/>
      <c r="AQ259" s="926"/>
      <c r="AR259" s="926"/>
      <c r="AS259" s="926"/>
      <c r="AT259" s="926"/>
      <c r="AU259" s="926"/>
      <c r="AV259" s="926"/>
      <c r="AW259" s="926"/>
      <c r="AX259" s="926"/>
      <c r="AY259" s="926"/>
      <c r="AZ259" s="926"/>
      <c r="BA259" s="926"/>
      <c r="BB259" s="926"/>
      <c r="BC259" s="926"/>
      <c r="BD259" s="926"/>
      <c r="BE259" s="926"/>
      <c r="BF259" s="926"/>
      <c r="BG259" s="926"/>
      <c r="BH259" s="926"/>
      <c r="BI259" s="926"/>
      <c r="BJ259" s="926"/>
      <c r="BK259" s="926"/>
      <c r="BL259" s="926"/>
      <c r="BM259" s="926"/>
      <c r="BN259" s="926"/>
      <c r="BO259" s="926"/>
      <c r="BP259" s="926"/>
      <c r="BQ259" s="926"/>
      <c r="BR259" s="926"/>
      <c r="BS259" s="926"/>
      <c r="BT259" s="926"/>
      <c r="BU259" s="926"/>
      <c r="BV259" s="926"/>
      <c r="BW259" s="926"/>
      <c r="BX259" s="926"/>
      <c r="BY259" s="926"/>
      <c r="BZ259" s="926"/>
      <c r="CA259" s="926"/>
      <c r="CB259" s="926"/>
      <c r="CC259" s="926"/>
      <c r="CD259" s="926"/>
      <c r="CE259" s="926"/>
      <c r="CF259" s="926"/>
      <c r="CG259" s="926"/>
      <c r="CH259" s="926"/>
      <c r="CI259" s="926"/>
      <c r="CJ259" s="926"/>
      <c r="CK259" s="926"/>
      <c r="CL259" s="926"/>
      <c r="CM259" s="926"/>
      <c r="CN259" s="926"/>
      <c r="CO259" s="926"/>
      <c r="CP259" s="926"/>
      <c r="CQ259" s="926"/>
      <c r="CR259" s="926"/>
      <c r="CS259" s="926"/>
      <c r="CT259" s="926"/>
      <c r="CU259" s="926"/>
      <c r="CV259" s="926"/>
      <c r="CW259" s="926"/>
      <c r="CX259" s="926"/>
      <c r="CY259" s="926"/>
      <c r="CZ259" s="926"/>
      <c r="DA259" s="926"/>
      <c r="DB259" s="926"/>
      <c r="DC259" s="926"/>
      <c r="DD259" s="926"/>
      <c r="DE259" s="926"/>
      <c r="DF259" s="926"/>
      <c r="DG259" s="926"/>
      <c r="DH259" s="926"/>
      <c r="DI259" s="926"/>
      <c r="DJ259" s="926"/>
      <c r="DK259" s="926"/>
      <c r="DL259" s="926"/>
      <c r="DM259" s="926"/>
      <c r="DN259" s="926"/>
      <c r="DO259" s="926"/>
      <c r="DP259" s="926"/>
      <c r="DQ259" s="926"/>
      <c r="DR259" s="926"/>
      <c r="DS259" s="926"/>
      <c r="DT259" s="926"/>
      <c r="DU259" s="926"/>
      <c r="DV259" s="926"/>
      <c r="DW259" s="926"/>
      <c r="DX259" s="926"/>
      <c r="DY259" s="926"/>
      <c r="DZ259" s="926"/>
      <c r="EA259" s="926"/>
      <c r="EB259" s="926"/>
      <c r="EC259" s="926"/>
      <c r="ED259" s="926"/>
      <c r="EE259" s="926"/>
      <c r="EF259" s="926"/>
      <c r="EG259" s="926"/>
      <c r="EH259" s="926"/>
      <c r="EI259" s="926"/>
      <c r="EJ259" s="926"/>
      <c r="EK259" s="926"/>
      <c r="EL259" s="926"/>
      <c r="EM259" s="926"/>
      <c r="EN259" s="926"/>
      <c r="EO259" s="926"/>
      <c r="EP259" s="926"/>
      <c r="EQ259" s="926"/>
      <c r="ER259" s="926"/>
      <c r="ES259" s="926"/>
      <c r="ET259" s="926"/>
      <c r="EU259" s="926"/>
      <c r="EV259" s="926"/>
      <c r="EW259" s="926"/>
      <c r="EX259" s="926"/>
      <c r="EY259" s="926"/>
      <c r="EZ259" s="926"/>
      <c r="FA259" s="926"/>
      <c r="FB259" s="926"/>
      <c r="FC259" s="926"/>
      <c r="FD259" s="926"/>
      <c r="FE259" s="926"/>
      <c r="FF259" s="926"/>
      <c r="FG259" s="926"/>
      <c r="FH259" s="926"/>
      <c r="FI259" s="926"/>
      <c r="FJ259" s="926"/>
      <c r="FK259" s="926"/>
      <c r="FL259" s="926"/>
      <c r="FM259" s="926"/>
      <c r="FN259" s="926"/>
      <c r="FO259" s="926"/>
      <c r="FP259" s="926"/>
      <c r="FQ259" s="926"/>
      <c r="FR259" s="926"/>
      <c r="FS259" s="926"/>
      <c r="FT259" s="926"/>
      <c r="FU259" s="926"/>
      <c r="FV259" s="926"/>
      <c r="FW259" s="926"/>
      <c r="FX259" s="926"/>
      <c r="FY259" s="926"/>
      <c r="FZ259" s="926"/>
      <c r="GA259" s="926"/>
      <c r="GB259" s="926"/>
      <c r="GC259" s="926"/>
      <c r="GD259" s="926"/>
      <c r="GE259" s="926"/>
      <c r="GF259" s="926"/>
      <c r="GG259" s="926"/>
      <c r="GH259" s="926"/>
      <c r="GI259" s="926"/>
      <c r="GJ259" s="926"/>
      <c r="GK259" s="926"/>
      <c r="GL259" s="926"/>
      <c r="GM259" s="926"/>
      <c r="GN259" s="926"/>
      <c r="GO259" s="926"/>
      <c r="GP259" s="926"/>
      <c r="GQ259" s="926"/>
      <c r="GR259" s="926"/>
      <c r="GS259" s="926"/>
      <c r="GT259" s="926"/>
      <c r="GU259" s="926"/>
      <c r="GV259" s="926"/>
      <c r="GW259" s="926"/>
      <c r="GX259" s="926"/>
      <c r="GY259" s="926"/>
      <c r="GZ259" s="926"/>
      <c r="HA259" s="926"/>
      <c r="HB259" s="926"/>
      <c r="HC259" s="926"/>
      <c r="HD259" s="926"/>
      <c r="HE259" s="926"/>
      <c r="HF259" s="926"/>
      <c r="HG259" s="926"/>
      <c r="HH259" s="926"/>
      <c r="HI259" s="926"/>
      <c r="HJ259" s="926"/>
      <c r="HK259" s="926"/>
      <c r="HL259" s="926"/>
      <c r="HM259" s="926"/>
      <c r="HN259" s="926"/>
      <c r="HO259" s="926"/>
      <c r="HP259" s="926"/>
      <c r="HQ259" s="926"/>
      <c r="HR259" s="926"/>
      <c r="HS259" s="926"/>
      <c r="HT259" s="926"/>
      <c r="HU259" s="926"/>
      <c r="HV259" s="926"/>
      <c r="HW259" s="926"/>
      <c r="HX259" s="926"/>
      <c r="HY259" s="926"/>
      <c r="HZ259" s="926"/>
      <c r="IA259" s="926"/>
      <c r="IB259" s="926"/>
      <c r="IC259" s="926"/>
      <c r="ID259" s="926"/>
      <c r="IE259" s="926"/>
      <c r="IF259" s="926"/>
      <c r="IG259" s="926"/>
      <c r="IH259" s="926"/>
      <c r="II259" s="926"/>
      <c r="IJ259" s="926"/>
      <c r="IK259" s="926"/>
      <c r="IL259" s="926"/>
      <c r="IM259" s="926"/>
    </row>
    <row r="260" spans="1:247" x14ac:dyDescent="0.45">
      <c r="A260" s="441">
        <v>8716</v>
      </c>
      <c r="B260" s="939" t="s">
        <v>2797</v>
      </c>
      <c r="C260" s="47" t="s">
        <v>8</v>
      </c>
      <c r="D260" s="449" t="s">
        <v>2537</v>
      </c>
      <c r="E260" s="946"/>
      <c r="F260" s="941">
        <f t="shared" si="56"/>
        <v>1.0209999999999999</v>
      </c>
      <c r="G260" s="947">
        <f>+$G$3</f>
        <v>1.0269999999999999</v>
      </c>
      <c r="H260" s="946"/>
      <c r="I260" s="948"/>
      <c r="J260" s="948"/>
      <c r="K260" s="948"/>
      <c r="L260" s="948"/>
      <c r="M260" s="948"/>
      <c r="N260" s="947"/>
      <c r="O260" s="949"/>
      <c r="P260" s="946"/>
      <c r="Q260" s="947"/>
      <c r="R260" s="950">
        <f>PRODUCT(E260:Q260)</f>
        <v>1.0485669999999998</v>
      </c>
      <c r="S260" s="926"/>
      <c r="T260" s="926"/>
      <c r="U260" s="926"/>
      <c r="V260" s="926"/>
      <c r="W260" s="926"/>
      <c r="X260" s="926"/>
      <c r="Y260" s="926"/>
      <c r="Z260" s="926"/>
      <c r="AA260" s="926"/>
      <c r="AB260" s="926"/>
      <c r="AC260" s="926"/>
      <c r="AD260" s="926"/>
      <c r="AE260" s="926"/>
      <c r="AF260" s="926"/>
      <c r="AG260" s="926"/>
      <c r="AH260" s="926"/>
      <c r="AI260" s="926"/>
      <c r="AJ260" s="926"/>
      <c r="AK260" s="926"/>
      <c r="AL260" s="926"/>
      <c r="AM260" s="926"/>
      <c r="AN260" s="926"/>
      <c r="AO260" s="926"/>
      <c r="AP260" s="926"/>
      <c r="AQ260" s="926"/>
      <c r="AR260" s="926"/>
      <c r="AS260" s="926"/>
      <c r="AT260" s="926"/>
      <c r="AU260" s="926"/>
      <c r="AV260" s="926"/>
      <c r="AW260" s="926"/>
      <c r="AX260" s="926"/>
      <c r="AY260" s="926"/>
      <c r="AZ260" s="926"/>
      <c r="BA260" s="926"/>
      <c r="BB260" s="926"/>
      <c r="BC260" s="926"/>
      <c r="BD260" s="926"/>
      <c r="BE260" s="926"/>
      <c r="BF260" s="926"/>
      <c r="BG260" s="926"/>
      <c r="BH260" s="926"/>
      <c r="BI260" s="926"/>
      <c r="BJ260" s="926"/>
      <c r="BK260" s="926"/>
      <c r="BL260" s="926"/>
      <c r="BM260" s="926"/>
      <c r="BN260" s="926"/>
      <c r="BO260" s="926"/>
      <c r="BP260" s="926"/>
      <c r="BQ260" s="926"/>
      <c r="BR260" s="926"/>
      <c r="BS260" s="926"/>
      <c r="BT260" s="926"/>
      <c r="BU260" s="926"/>
      <c r="BV260" s="926"/>
      <c r="BW260" s="926"/>
      <c r="BX260" s="926"/>
      <c r="BY260" s="926"/>
      <c r="BZ260" s="926"/>
      <c r="CA260" s="926"/>
      <c r="CB260" s="926"/>
      <c r="CC260" s="926"/>
      <c r="CD260" s="926"/>
      <c r="CE260" s="926"/>
      <c r="CF260" s="926"/>
      <c r="CG260" s="926"/>
      <c r="CH260" s="926"/>
      <c r="CI260" s="926"/>
      <c r="CJ260" s="926"/>
      <c r="CK260" s="926"/>
      <c r="CL260" s="926"/>
      <c r="CM260" s="926"/>
      <c r="CN260" s="926"/>
      <c r="CO260" s="926"/>
      <c r="CP260" s="926"/>
      <c r="CQ260" s="926"/>
      <c r="CR260" s="926"/>
      <c r="CS260" s="926"/>
      <c r="CT260" s="926"/>
      <c r="CU260" s="926"/>
      <c r="CV260" s="926"/>
      <c r="CW260" s="926"/>
      <c r="CX260" s="926"/>
      <c r="CY260" s="926"/>
      <c r="CZ260" s="926"/>
      <c r="DA260" s="926"/>
      <c r="DB260" s="926"/>
      <c r="DC260" s="926"/>
      <c r="DD260" s="926"/>
      <c r="DE260" s="926"/>
      <c r="DF260" s="926"/>
      <c r="DG260" s="926"/>
      <c r="DH260" s="926"/>
      <c r="DI260" s="926"/>
      <c r="DJ260" s="926"/>
      <c r="DK260" s="926"/>
      <c r="DL260" s="926"/>
      <c r="DM260" s="926"/>
      <c r="DN260" s="926"/>
      <c r="DO260" s="926"/>
      <c r="DP260" s="926"/>
      <c r="DQ260" s="926"/>
      <c r="DR260" s="926"/>
      <c r="DS260" s="926"/>
      <c r="DT260" s="926"/>
      <c r="DU260" s="926"/>
      <c r="DV260" s="926"/>
      <c r="DW260" s="926"/>
      <c r="DX260" s="926"/>
      <c r="DY260" s="926"/>
      <c r="DZ260" s="926"/>
      <c r="EA260" s="926"/>
      <c r="EB260" s="926"/>
      <c r="EC260" s="926"/>
      <c r="ED260" s="926"/>
      <c r="EE260" s="926"/>
      <c r="EF260" s="926"/>
      <c r="EG260" s="926"/>
      <c r="EH260" s="926"/>
      <c r="EI260" s="926"/>
      <c r="EJ260" s="926"/>
      <c r="EK260" s="926"/>
      <c r="EL260" s="926"/>
      <c r="EM260" s="926"/>
      <c r="EN260" s="926"/>
      <c r="EO260" s="926"/>
      <c r="EP260" s="926"/>
      <c r="EQ260" s="926"/>
      <c r="ER260" s="926"/>
      <c r="ES260" s="926"/>
      <c r="ET260" s="926"/>
      <c r="EU260" s="926"/>
      <c r="EV260" s="926"/>
      <c r="EW260" s="926"/>
      <c r="EX260" s="926"/>
      <c r="EY260" s="926"/>
      <c r="EZ260" s="926"/>
      <c r="FA260" s="926"/>
      <c r="FB260" s="926"/>
      <c r="FC260" s="926"/>
      <c r="FD260" s="926"/>
      <c r="FE260" s="926"/>
      <c r="FF260" s="926"/>
      <c r="FG260" s="926"/>
      <c r="FH260" s="926"/>
      <c r="FI260" s="926"/>
      <c r="FJ260" s="926"/>
      <c r="FK260" s="926"/>
      <c r="FL260" s="926"/>
      <c r="FM260" s="926"/>
      <c r="FN260" s="926"/>
      <c r="FO260" s="926"/>
      <c r="FP260" s="926"/>
      <c r="FQ260" s="926"/>
      <c r="FR260" s="926"/>
      <c r="FS260" s="926"/>
      <c r="FT260" s="926"/>
      <c r="FU260" s="926"/>
      <c r="FV260" s="926"/>
      <c r="FW260" s="926"/>
      <c r="FX260" s="926"/>
      <c r="FY260" s="926"/>
      <c r="FZ260" s="926"/>
      <c r="GA260" s="926"/>
      <c r="GB260" s="926"/>
      <c r="GC260" s="926"/>
      <c r="GD260" s="926"/>
      <c r="GE260" s="926"/>
      <c r="GF260" s="926"/>
      <c r="GG260" s="926"/>
      <c r="GH260" s="926"/>
      <c r="GI260" s="926"/>
      <c r="GJ260" s="926"/>
      <c r="GK260" s="926"/>
      <c r="GL260" s="926"/>
      <c r="GM260" s="926"/>
      <c r="GN260" s="926"/>
      <c r="GO260" s="926"/>
      <c r="GP260" s="926"/>
      <c r="GQ260" s="926"/>
      <c r="GR260" s="926"/>
      <c r="GS260" s="926"/>
      <c r="GT260" s="926"/>
      <c r="GU260" s="926"/>
      <c r="GV260" s="926"/>
      <c r="GW260" s="926"/>
      <c r="GX260" s="926"/>
      <c r="GY260" s="926"/>
      <c r="GZ260" s="926"/>
      <c r="HA260" s="926"/>
      <c r="HB260" s="926"/>
      <c r="HC260" s="926"/>
      <c r="HD260" s="926"/>
      <c r="HE260" s="926"/>
      <c r="HF260" s="926"/>
      <c r="HG260" s="926"/>
      <c r="HH260" s="926"/>
      <c r="HI260" s="926"/>
      <c r="HJ260" s="926"/>
      <c r="HK260" s="926"/>
      <c r="HL260" s="926"/>
      <c r="HM260" s="926"/>
      <c r="HN260" s="926"/>
      <c r="HO260" s="926"/>
      <c r="HP260" s="926"/>
      <c r="HQ260" s="926"/>
      <c r="HR260" s="926"/>
      <c r="HS260" s="926"/>
      <c r="HT260" s="926"/>
      <c r="HU260" s="926"/>
      <c r="HV260" s="926"/>
      <c r="HW260" s="926"/>
      <c r="HX260" s="926"/>
      <c r="HY260" s="926"/>
      <c r="HZ260" s="926"/>
      <c r="IA260" s="926"/>
      <c r="IB260" s="926"/>
      <c r="IC260" s="926"/>
      <c r="ID260" s="926"/>
      <c r="IE260" s="926"/>
      <c r="IF260" s="926"/>
      <c r="IG260" s="926"/>
      <c r="IH260" s="926"/>
      <c r="II260" s="926"/>
      <c r="IJ260" s="926"/>
      <c r="IK260" s="926"/>
      <c r="IL260" s="926"/>
      <c r="IM260" s="926"/>
    </row>
    <row r="261" spans="1:247" x14ac:dyDescent="0.45">
      <c r="A261" s="441">
        <v>8717</v>
      </c>
      <c r="B261" s="939" t="s">
        <v>2798</v>
      </c>
      <c r="C261" s="47" t="s">
        <v>252</v>
      </c>
      <c r="D261" s="449" t="s">
        <v>2537</v>
      </c>
      <c r="E261" s="946"/>
      <c r="F261" s="941">
        <f t="shared" si="56"/>
        <v>1.0209999999999999</v>
      </c>
      <c r="G261" s="947">
        <f>+$G$3</f>
        <v>1.0269999999999999</v>
      </c>
      <c r="H261" s="946"/>
      <c r="I261" s="948"/>
      <c r="J261" s="948"/>
      <c r="K261" s="948"/>
      <c r="L261" s="948"/>
      <c r="M261" s="948"/>
      <c r="N261" s="947"/>
      <c r="O261" s="949"/>
      <c r="P261" s="946"/>
      <c r="Q261" s="947"/>
      <c r="R261" s="950">
        <f>PRODUCT(E261:Q261)</f>
        <v>1.0485669999999998</v>
      </c>
      <c r="S261" s="926"/>
      <c r="T261" s="926"/>
      <c r="U261" s="926"/>
      <c r="V261" s="926"/>
      <c r="W261" s="926"/>
      <c r="X261" s="926"/>
      <c r="Y261" s="926"/>
      <c r="Z261" s="926"/>
      <c r="AA261" s="926"/>
      <c r="AB261" s="926"/>
      <c r="AC261" s="926"/>
      <c r="AD261" s="926"/>
      <c r="AE261" s="926"/>
      <c r="AF261" s="926"/>
      <c r="AG261" s="926"/>
      <c r="AH261" s="926"/>
      <c r="AI261" s="926"/>
      <c r="AJ261" s="926"/>
      <c r="AK261" s="926"/>
      <c r="AL261" s="926"/>
      <c r="AM261" s="926"/>
      <c r="AN261" s="926"/>
      <c r="AO261" s="926"/>
      <c r="AP261" s="926"/>
      <c r="AQ261" s="926"/>
      <c r="AR261" s="926"/>
      <c r="AS261" s="926"/>
      <c r="AT261" s="926"/>
      <c r="AU261" s="926"/>
      <c r="AV261" s="926"/>
      <c r="AW261" s="926"/>
      <c r="AX261" s="926"/>
      <c r="AY261" s="926"/>
      <c r="AZ261" s="926"/>
      <c r="BA261" s="926"/>
      <c r="BB261" s="926"/>
      <c r="BC261" s="926"/>
      <c r="BD261" s="926"/>
      <c r="BE261" s="926"/>
      <c r="BF261" s="926"/>
      <c r="BG261" s="926"/>
      <c r="BH261" s="926"/>
      <c r="BI261" s="926"/>
      <c r="BJ261" s="926"/>
      <c r="BK261" s="926"/>
      <c r="BL261" s="926"/>
      <c r="BM261" s="926"/>
      <c r="BN261" s="926"/>
      <c r="BO261" s="926"/>
      <c r="BP261" s="926"/>
      <c r="BQ261" s="926"/>
      <c r="BR261" s="926"/>
      <c r="BS261" s="926"/>
      <c r="BT261" s="926"/>
      <c r="BU261" s="926"/>
      <c r="BV261" s="926"/>
      <c r="BW261" s="926"/>
      <c r="BX261" s="926"/>
      <c r="BY261" s="926"/>
      <c r="BZ261" s="926"/>
      <c r="CA261" s="926"/>
      <c r="CB261" s="926"/>
      <c r="CC261" s="926"/>
      <c r="CD261" s="926"/>
      <c r="CE261" s="926"/>
      <c r="CF261" s="926"/>
      <c r="CG261" s="926"/>
      <c r="CH261" s="926"/>
      <c r="CI261" s="926"/>
      <c r="CJ261" s="926"/>
      <c r="CK261" s="926"/>
      <c r="CL261" s="926"/>
      <c r="CM261" s="926"/>
      <c r="CN261" s="926"/>
      <c r="CO261" s="926"/>
      <c r="CP261" s="926"/>
      <c r="CQ261" s="926"/>
      <c r="CR261" s="926"/>
      <c r="CS261" s="926"/>
      <c r="CT261" s="926"/>
      <c r="CU261" s="926"/>
      <c r="CV261" s="926"/>
      <c r="CW261" s="926"/>
      <c r="CX261" s="926"/>
      <c r="CY261" s="926"/>
      <c r="CZ261" s="926"/>
      <c r="DA261" s="926"/>
      <c r="DB261" s="926"/>
      <c r="DC261" s="926"/>
      <c r="DD261" s="926"/>
      <c r="DE261" s="926"/>
      <c r="DF261" s="926"/>
      <c r="DG261" s="926"/>
      <c r="DH261" s="926"/>
      <c r="DI261" s="926"/>
      <c r="DJ261" s="926"/>
      <c r="DK261" s="926"/>
      <c r="DL261" s="926"/>
      <c r="DM261" s="926"/>
      <c r="DN261" s="926"/>
      <c r="DO261" s="926"/>
      <c r="DP261" s="926"/>
      <c r="DQ261" s="926"/>
      <c r="DR261" s="926"/>
      <c r="DS261" s="926"/>
      <c r="DT261" s="926"/>
      <c r="DU261" s="926"/>
      <c r="DV261" s="926"/>
      <c r="DW261" s="926"/>
      <c r="DX261" s="926"/>
      <c r="DY261" s="926"/>
      <c r="DZ261" s="926"/>
      <c r="EA261" s="926"/>
      <c r="EB261" s="926"/>
      <c r="EC261" s="926"/>
      <c r="ED261" s="926"/>
      <c r="EE261" s="926"/>
      <c r="EF261" s="926"/>
      <c r="EG261" s="926"/>
      <c r="EH261" s="926"/>
      <c r="EI261" s="926"/>
      <c r="EJ261" s="926"/>
      <c r="EK261" s="926"/>
      <c r="EL261" s="926"/>
      <c r="EM261" s="926"/>
      <c r="EN261" s="926"/>
      <c r="EO261" s="926"/>
      <c r="EP261" s="926"/>
      <c r="EQ261" s="926"/>
      <c r="ER261" s="926"/>
      <c r="ES261" s="926"/>
      <c r="ET261" s="926"/>
      <c r="EU261" s="926"/>
      <c r="EV261" s="926"/>
      <c r="EW261" s="926"/>
      <c r="EX261" s="926"/>
      <c r="EY261" s="926"/>
      <c r="EZ261" s="926"/>
      <c r="FA261" s="926"/>
      <c r="FB261" s="926"/>
      <c r="FC261" s="926"/>
      <c r="FD261" s="926"/>
      <c r="FE261" s="926"/>
      <c r="FF261" s="926"/>
      <c r="FG261" s="926"/>
      <c r="FH261" s="926"/>
      <c r="FI261" s="926"/>
      <c r="FJ261" s="926"/>
      <c r="FK261" s="926"/>
      <c r="FL261" s="926"/>
      <c r="FM261" s="926"/>
      <c r="FN261" s="926"/>
      <c r="FO261" s="926"/>
      <c r="FP261" s="926"/>
      <c r="FQ261" s="926"/>
      <c r="FR261" s="926"/>
      <c r="FS261" s="926"/>
      <c r="FT261" s="926"/>
      <c r="FU261" s="926"/>
      <c r="FV261" s="926"/>
      <c r="FW261" s="926"/>
      <c r="FX261" s="926"/>
      <c r="FY261" s="926"/>
      <c r="FZ261" s="926"/>
      <c r="GA261" s="926"/>
      <c r="GB261" s="926"/>
      <c r="GC261" s="926"/>
      <c r="GD261" s="926"/>
      <c r="GE261" s="926"/>
      <c r="GF261" s="926"/>
      <c r="GG261" s="926"/>
      <c r="GH261" s="926"/>
      <c r="GI261" s="926"/>
      <c r="GJ261" s="926"/>
      <c r="GK261" s="926"/>
      <c r="GL261" s="926"/>
      <c r="GM261" s="926"/>
      <c r="GN261" s="926"/>
      <c r="GO261" s="926"/>
      <c r="GP261" s="926"/>
      <c r="GQ261" s="926"/>
      <c r="GR261" s="926"/>
      <c r="GS261" s="926"/>
      <c r="GT261" s="926"/>
      <c r="GU261" s="926"/>
      <c r="GV261" s="926"/>
      <c r="GW261" s="926"/>
      <c r="GX261" s="926"/>
      <c r="GY261" s="926"/>
      <c r="GZ261" s="926"/>
      <c r="HA261" s="926"/>
      <c r="HB261" s="926"/>
      <c r="HC261" s="926"/>
      <c r="HD261" s="926"/>
      <c r="HE261" s="926"/>
      <c r="HF261" s="926"/>
      <c r="HG261" s="926"/>
      <c r="HH261" s="926"/>
      <c r="HI261" s="926"/>
      <c r="HJ261" s="926"/>
      <c r="HK261" s="926"/>
      <c r="HL261" s="926"/>
      <c r="HM261" s="926"/>
      <c r="HN261" s="926"/>
      <c r="HO261" s="926"/>
      <c r="HP261" s="926"/>
      <c r="HQ261" s="926"/>
      <c r="HR261" s="926"/>
      <c r="HS261" s="926"/>
      <c r="HT261" s="926"/>
      <c r="HU261" s="926"/>
      <c r="HV261" s="926"/>
      <c r="HW261" s="926"/>
      <c r="HX261" s="926"/>
      <c r="HY261" s="926"/>
      <c r="HZ261" s="926"/>
      <c r="IA261" s="926"/>
      <c r="IB261" s="926"/>
      <c r="IC261" s="926"/>
      <c r="ID261" s="926"/>
      <c r="IE261" s="926"/>
      <c r="IF261" s="926"/>
      <c r="IG261" s="926"/>
      <c r="IH261" s="926"/>
      <c r="II261" s="926"/>
      <c r="IJ261" s="926"/>
      <c r="IK261" s="926"/>
      <c r="IL261" s="926"/>
      <c r="IM261" s="926"/>
    </row>
    <row r="262" spans="1:247" x14ac:dyDescent="0.45">
      <c r="A262" s="441">
        <v>8721</v>
      </c>
      <c r="B262" s="939" t="s">
        <v>2799</v>
      </c>
      <c r="C262" s="47" t="s">
        <v>113</v>
      </c>
      <c r="D262" s="449" t="s">
        <v>2540</v>
      </c>
      <c r="E262" s="946"/>
      <c r="F262" s="941">
        <f t="shared" si="56"/>
        <v>1.0209999999999999</v>
      </c>
      <c r="G262" s="947"/>
      <c r="H262" s="946"/>
      <c r="I262" s="948"/>
      <c r="J262" s="948"/>
      <c r="K262" s="948"/>
      <c r="L262" s="948"/>
      <c r="M262" s="948"/>
      <c r="N262" s="947"/>
      <c r="O262" s="949"/>
      <c r="P262" s="946">
        <f>+$P$3</f>
        <v>1.032</v>
      </c>
      <c r="Q262" s="947">
        <f>+$Q$3</f>
        <v>1.0349999999999999</v>
      </c>
      <c r="R262" s="950">
        <f t="shared" si="57"/>
        <v>1.0905505199999999</v>
      </c>
      <c r="S262" s="926"/>
      <c r="T262" s="926"/>
      <c r="U262" s="926"/>
      <c r="V262" s="926"/>
      <c r="W262" s="926"/>
      <c r="X262" s="926"/>
      <c r="Y262" s="926"/>
      <c r="Z262" s="926"/>
      <c r="AA262" s="926"/>
      <c r="AB262" s="926"/>
      <c r="AC262" s="926"/>
      <c r="AD262" s="926"/>
      <c r="AE262" s="926"/>
      <c r="AF262" s="926"/>
      <c r="AG262" s="926"/>
      <c r="AH262" s="926"/>
      <c r="AI262" s="926"/>
      <c r="AJ262" s="926"/>
      <c r="AK262" s="926"/>
      <c r="AL262" s="926"/>
      <c r="AM262" s="926"/>
      <c r="AN262" s="926"/>
      <c r="AO262" s="926"/>
      <c r="AP262" s="926"/>
      <c r="AQ262" s="926"/>
      <c r="AR262" s="926"/>
      <c r="AS262" s="926"/>
      <c r="AT262" s="926"/>
      <c r="AU262" s="926"/>
      <c r="AV262" s="926"/>
      <c r="AW262" s="926"/>
      <c r="AX262" s="926"/>
      <c r="AY262" s="926"/>
      <c r="AZ262" s="926"/>
      <c r="BA262" s="926"/>
      <c r="BB262" s="926"/>
      <c r="BC262" s="926"/>
      <c r="BD262" s="926"/>
      <c r="BE262" s="926"/>
      <c r="BF262" s="926"/>
      <c r="BG262" s="926"/>
      <c r="BH262" s="926"/>
      <c r="BI262" s="926"/>
      <c r="BJ262" s="926"/>
      <c r="BK262" s="926"/>
      <c r="BL262" s="926"/>
      <c r="BM262" s="926"/>
      <c r="BN262" s="926"/>
      <c r="BO262" s="926"/>
      <c r="BP262" s="926"/>
      <c r="BQ262" s="926"/>
      <c r="BR262" s="926"/>
      <c r="BS262" s="926"/>
      <c r="BT262" s="926"/>
      <c r="BU262" s="926"/>
      <c r="BV262" s="926"/>
      <c r="BW262" s="926"/>
      <c r="BX262" s="926"/>
      <c r="BY262" s="926"/>
      <c r="BZ262" s="926"/>
      <c r="CA262" s="926"/>
      <c r="CB262" s="926"/>
      <c r="CC262" s="926"/>
      <c r="CD262" s="926"/>
      <c r="CE262" s="926"/>
      <c r="CF262" s="926"/>
      <c r="CG262" s="926"/>
      <c r="CH262" s="926"/>
      <c r="CI262" s="926"/>
      <c r="CJ262" s="926"/>
      <c r="CK262" s="926"/>
      <c r="CL262" s="926"/>
      <c r="CM262" s="926"/>
      <c r="CN262" s="926"/>
      <c r="CO262" s="926"/>
      <c r="CP262" s="926"/>
      <c r="CQ262" s="926"/>
      <c r="CR262" s="926"/>
      <c r="CS262" s="926"/>
      <c r="CT262" s="926"/>
      <c r="CU262" s="926"/>
      <c r="CV262" s="926"/>
      <c r="CW262" s="926"/>
      <c r="CX262" s="926"/>
      <c r="CY262" s="926"/>
      <c r="CZ262" s="926"/>
      <c r="DA262" s="926"/>
      <c r="DB262" s="926"/>
      <c r="DC262" s="926"/>
      <c r="DD262" s="926"/>
      <c r="DE262" s="926"/>
      <c r="DF262" s="926"/>
      <c r="DG262" s="926"/>
      <c r="DH262" s="926"/>
      <c r="DI262" s="926"/>
      <c r="DJ262" s="926"/>
      <c r="DK262" s="926"/>
      <c r="DL262" s="926"/>
      <c r="DM262" s="926"/>
      <c r="DN262" s="926"/>
      <c r="DO262" s="926"/>
      <c r="DP262" s="926"/>
      <c r="DQ262" s="926"/>
      <c r="DR262" s="926"/>
      <c r="DS262" s="926"/>
      <c r="DT262" s="926"/>
      <c r="DU262" s="926"/>
      <c r="DV262" s="926"/>
      <c r="DW262" s="926"/>
      <c r="DX262" s="926"/>
      <c r="DY262" s="926"/>
      <c r="DZ262" s="926"/>
      <c r="EA262" s="926"/>
      <c r="EB262" s="926"/>
      <c r="EC262" s="926"/>
      <c r="ED262" s="926"/>
      <c r="EE262" s="926"/>
      <c r="EF262" s="926"/>
      <c r="EG262" s="926"/>
      <c r="EH262" s="926"/>
      <c r="EI262" s="926"/>
      <c r="EJ262" s="926"/>
      <c r="EK262" s="926"/>
      <c r="EL262" s="926"/>
      <c r="EM262" s="926"/>
      <c r="EN262" s="926"/>
      <c r="EO262" s="926"/>
      <c r="EP262" s="926"/>
      <c r="EQ262" s="926"/>
      <c r="ER262" s="926"/>
      <c r="ES262" s="926"/>
      <c r="ET262" s="926"/>
      <c r="EU262" s="926"/>
      <c r="EV262" s="926"/>
      <c r="EW262" s="926"/>
      <c r="EX262" s="926"/>
      <c r="EY262" s="926"/>
      <c r="EZ262" s="926"/>
      <c r="FA262" s="926"/>
      <c r="FB262" s="926"/>
      <c r="FC262" s="926"/>
      <c r="FD262" s="926"/>
      <c r="FE262" s="926"/>
      <c r="FF262" s="926"/>
      <c r="FG262" s="926"/>
      <c r="FH262" s="926"/>
      <c r="FI262" s="926"/>
      <c r="FJ262" s="926"/>
      <c r="FK262" s="926"/>
      <c r="FL262" s="926"/>
      <c r="FM262" s="926"/>
      <c r="FN262" s="926"/>
      <c r="FO262" s="926"/>
      <c r="FP262" s="926"/>
      <c r="FQ262" s="926"/>
      <c r="FR262" s="926"/>
      <c r="FS262" s="926"/>
      <c r="FT262" s="926"/>
      <c r="FU262" s="926"/>
      <c r="FV262" s="926"/>
      <c r="FW262" s="926"/>
      <c r="FX262" s="926"/>
      <c r="FY262" s="926"/>
      <c r="FZ262" s="926"/>
      <c r="GA262" s="926"/>
      <c r="GB262" s="926"/>
      <c r="GC262" s="926"/>
      <c r="GD262" s="926"/>
      <c r="GE262" s="926"/>
      <c r="GF262" s="926"/>
      <c r="GG262" s="926"/>
      <c r="GH262" s="926"/>
      <c r="GI262" s="926"/>
      <c r="GJ262" s="926"/>
      <c r="GK262" s="926"/>
      <c r="GL262" s="926"/>
      <c r="GM262" s="926"/>
      <c r="GN262" s="926"/>
      <c r="GO262" s="926"/>
      <c r="GP262" s="926"/>
      <c r="GQ262" s="926"/>
      <c r="GR262" s="926"/>
      <c r="GS262" s="926"/>
      <c r="GT262" s="926"/>
      <c r="GU262" s="926"/>
      <c r="GV262" s="926"/>
      <c r="GW262" s="926"/>
      <c r="GX262" s="926"/>
      <c r="GY262" s="926"/>
      <c r="GZ262" s="926"/>
      <c r="HA262" s="926"/>
      <c r="HB262" s="926"/>
      <c r="HC262" s="926"/>
      <c r="HD262" s="926"/>
      <c r="HE262" s="926"/>
      <c r="HF262" s="926"/>
      <c r="HG262" s="926"/>
      <c r="HH262" s="926"/>
      <c r="HI262" s="926"/>
      <c r="HJ262" s="926"/>
      <c r="HK262" s="926"/>
      <c r="HL262" s="926"/>
      <c r="HM262" s="926"/>
      <c r="HN262" s="926"/>
      <c r="HO262" s="926"/>
      <c r="HP262" s="926"/>
      <c r="HQ262" s="926"/>
      <c r="HR262" s="926"/>
      <c r="HS262" s="926"/>
      <c r="HT262" s="926"/>
      <c r="HU262" s="926"/>
      <c r="HV262" s="926"/>
      <c r="HW262" s="926"/>
      <c r="HX262" s="926"/>
      <c r="HY262" s="926"/>
      <c r="HZ262" s="926"/>
      <c r="IA262" s="926"/>
      <c r="IB262" s="926"/>
      <c r="IC262" s="926"/>
      <c r="ID262" s="926"/>
      <c r="IE262" s="926"/>
      <c r="IF262" s="926"/>
      <c r="IG262" s="926"/>
      <c r="IH262" s="926"/>
      <c r="II262" s="926"/>
      <c r="IJ262" s="926"/>
      <c r="IK262" s="926"/>
      <c r="IL262" s="926"/>
      <c r="IM262" s="926"/>
    </row>
    <row r="263" spans="1:247" x14ac:dyDescent="0.45">
      <c r="A263" s="441">
        <v>8722</v>
      </c>
      <c r="B263" s="939" t="s">
        <v>2800</v>
      </c>
      <c r="C263" s="47" t="s">
        <v>113</v>
      </c>
      <c r="D263" s="449" t="s">
        <v>2540</v>
      </c>
      <c r="E263" s="946"/>
      <c r="F263" s="941">
        <f t="shared" si="56"/>
        <v>1.0209999999999999</v>
      </c>
      <c r="G263" s="947"/>
      <c r="H263" s="946"/>
      <c r="I263" s="948"/>
      <c r="J263" s="948"/>
      <c r="K263" s="948"/>
      <c r="L263" s="948"/>
      <c r="M263" s="948"/>
      <c r="N263" s="947"/>
      <c r="O263" s="949"/>
      <c r="P263" s="946">
        <f>+$P$3</f>
        <v>1.032</v>
      </c>
      <c r="Q263" s="947">
        <f>+$Q$3</f>
        <v>1.0349999999999999</v>
      </c>
      <c r="R263" s="950">
        <f t="shared" si="57"/>
        <v>1.0905505199999999</v>
      </c>
      <c r="S263" s="926"/>
      <c r="T263" s="926"/>
      <c r="U263" s="926"/>
      <c r="V263" s="926"/>
      <c r="W263" s="926"/>
      <c r="X263" s="926"/>
      <c r="Y263" s="926"/>
      <c r="Z263" s="926"/>
      <c r="AA263" s="926"/>
      <c r="AB263" s="926"/>
      <c r="AC263" s="926"/>
      <c r="AD263" s="926"/>
      <c r="AE263" s="926"/>
      <c r="AF263" s="926"/>
      <c r="AG263" s="926"/>
      <c r="AH263" s="926"/>
      <c r="AI263" s="926"/>
      <c r="AJ263" s="926"/>
      <c r="AK263" s="926"/>
      <c r="AL263" s="926"/>
      <c r="AM263" s="926"/>
      <c r="AN263" s="926"/>
      <c r="AO263" s="926"/>
      <c r="AP263" s="926"/>
      <c r="AQ263" s="926"/>
      <c r="AR263" s="926"/>
      <c r="AS263" s="926"/>
      <c r="AT263" s="926"/>
      <c r="AU263" s="926"/>
      <c r="AV263" s="926"/>
      <c r="AW263" s="926"/>
      <c r="AX263" s="926"/>
      <c r="AY263" s="926"/>
      <c r="AZ263" s="926"/>
      <c r="BA263" s="926"/>
      <c r="BB263" s="926"/>
      <c r="BC263" s="926"/>
      <c r="BD263" s="926"/>
      <c r="BE263" s="926"/>
      <c r="BF263" s="926"/>
      <c r="BG263" s="926"/>
      <c r="BH263" s="926"/>
      <c r="BI263" s="926"/>
      <c r="BJ263" s="926"/>
      <c r="BK263" s="926"/>
      <c r="BL263" s="926"/>
      <c r="BM263" s="926"/>
      <c r="BN263" s="926"/>
      <c r="BO263" s="926"/>
      <c r="BP263" s="926"/>
      <c r="BQ263" s="926"/>
      <c r="BR263" s="926"/>
      <c r="BS263" s="926"/>
      <c r="BT263" s="926"/>
      <c r="BU263" s="926"/>
      <c r="BV263" s="926"/>
      <c r="BW263" s="926"/>
      <c r="BX263" s="926"/>
      <c r="BY263" s="926"/>
      <c r="BZ263" s="926"/>
      <c r="CA263" s="926"/>
      <c r="CB263" s="926"/>
      <c r="CC263" s="926"/>
      <c r="CD263" s="926"/>
      <c r="CE263" s="926"/>
      <c r="CF263" s="926"/>
      <c r="CG263" s="926"/>
      <c r="CH263" s="926"/>
      <c r="CI263" s="926"/>
      <c r="CJ263" s="926"/>
      <c r="CK263" s="926"/>
      <c r="CL263" s="926"/>
      <c r="CM263" s="926"/>
      <c r="CN263" s="926"/>
      <c r="CO263" s="926"/>
      <c r="CP263" s="926"/>
      <c r="CQ263" s="926"/>
      <c r="CR263" s="926"/>
      <c r="CS263" s="926"/>
      <c r="CT263" s="926"/>
      <c r="CU263" s="926"/>
      <c r="CV263" s="926"/>
      <c r="CW263" s="926"/>
      <c r="CX263" s="926"/>
      <c r="CY263" s="926"/>
      <c r="CZ263" s="926"/>
      <c r="DA263" s="926"/>
      <c r="DB263" s="926"/>
      <c r="DC263" s="926"/>
      <c r="DD263" s="926"/>
      <c r="DE263" s="926"/>
      <c r="DF263" s="926"/>
      <c r="DG263" s="926"/>
      <c r="DH263" s="926"/>
      <c r="DI263" s="926"/>
      <c r="DJ263" s="926"/>
      <c r="DK263" s="926"/>
      <c r="DL263" s="926"/>
      <c r="DM263" s="926"/>
      <c r="DN263" s="926"/>
      <c r="DO263" s="926"/>
      <c r="DP263" s="926"/>
      <c r="DQ263" s="926"/>
      <c r="DR263" s="926"/>
      <c r="DS263" s="926"/>
      <c r="DT263" s="926"/>
      <c r="DU263" s="926"/>
      <c r="DV263" s="926"/>
      <c r="DW263" s="926"/>
      <c r="DX263" s="926"/>
      <c r="DY263" s="926"/>
      <c r="DZ263" s="926"/>
      <c r="EA263" s="926"/>
      <c r="EB263" s="926"/>
      <c r="EC263" s="926"/>
      <c r="ED263" s="926"/>
      <c r="EE263" s="926"/>
      <c r="EF263" s="926"/>
      <c r="EG263" s="926"/>
      <c r="EH263" s="926"/>
      <c r="EI263" s="926"/>
      <c r="EJ263" s="926"/>
      <c r="EK263" s="926"/>
      <c r="EL263" s="926"/>
      <c r="EM263" s="926"/>
      <c r="EN263" s="926"/>
      <c r="EO263" s="926"/>
      <c r="EP263" s="926"/>
      <c r="EQ263" s="926"/>
      <c r="ER263" s="926"/>
      <c r="ES263" s="926"/>
      <c r="ET263" s="926"/>
      <c r="EU263" s="926"/>
      <c r="EV263" s="926"/>
      <c r="EW263" s="926"/>
      <c r="EX263" s="926"/>
      <c r="EY263" s="926"/>
      <c r="EZ263" s="926"/>
      <c r="FA263" s="926"/>
      <c r="FB263" s="926"/>
      <c r="FC263" s="926"/>
      <c r="FD263" s="926"/>
      <c r="FE263" s="926"/>
      <c r="FF263" s="926"/>
      <c r="FG263" s="926"/>
      <c r="FH263" s="926"/>
      <c r="FI263" s="926"/>
      <c r="FJ263" s="926"/>
      <c r="FK263" s="926"/>
      <c r="FL263" s="926"/>
      <c r="FM263" s="926"/>
      <c r="FN263" s="926"/>
      <c r="FO263" s="926"/>
      <c r="FP263" s="926"/>
      <c r="FQ263" s="926"/>
      <c r="FR263" s="926"/>
      <c r="FS263" s="926"/>
      <c r="FT263" s="926"/>
      <c r="FU263" s="926"/>
      <c r="FV263" s="926"/>
      <c r="FW263" s="926"/>
      <c r="FX263" s="926"/>
      <c r="FY263" s="926"/>
      <c r="FZ263" s="926"/>
      <c r="GA263" s="926"/>
      <c r="GB263" s="926"/>
      <c r="GC263" s="926"/>
      <c r="GD263" s="926"/>
      <c r="GE263" s="926"/>
      <c r="GF263" s="926"/>
      <c r="GG263" s="926"/>
      <c r="GH263" s="926"/>
      <c r="GI263" s="926"/>
      <c r="GJ263" s="926"/>
      <c r="GK263" s="926"/>
      <c r="GL263" s="926"/>
      <c r="GM263" s="926"/>
      <c r="GN263" s="926"/>
      <c r="GO263" s="926"/>
      <c r="GP263" s="926"/>
      <c r="GQ263" s="926"/>
      <c r="GR263" s="926"/>
      <c r="GS263" s="926"/>
      <c r="GT263" s="926"/>
      <c r="GU263" s="926"/>
      <c r="GV263" s="926"/>
      <c r="GW263" s="926"/>
      <c r="GX263" s="926"/>
      <c r="GY263" s="926"/>
      <c r="GZ263" s="926"/>
      <c r="HA263" s="926"/>
      <c r="HB263" s="926"/>
      <c r="HC263" s="926"/>
      <c r="HD263" s="926"/>
      <c r="HE263" s="926"/>
      <c r="HF263" s="926"/>
      <c r="HG263" s="926"/>
      <c r="HH263" s="926"/>
      <c r="HI263" s="926"/>
      <c r="HJ263" s="926"/>
      <c r="HK263" s="926"/>
      <c r="HL263" s="926"/>
      <c r="HM263" s="926"/>
      <c r="HN263" s="926"/>
      <c r="HO263" s="926"/>
      <c r="HP263" s="926"/>
      <c r="HQ263" s="926"/>
      <c r="HR263" s="926"/>
      <c r="HS263" s="926"/>
      <c r="HT263" s="926"/>
      <c r="HU263" s="926"/>
      <c r="HV263" s="926"/>
      <c r="HW263" s="926"/>
      <c r="HX263" s="926"/>
      <c r="HY263" s="926"/>
      <c r="HZ263" s="926"/>
      <c r="IA263" s="926"/>
      <c r="IB263" s="926"/>
      <c r="IC263" s="926"/>
      <c r="ID263" s="926"/>
      <c r="IE263" s="926"/>
      <c r="IF263" s="926"/>
      <c r="IG263" s="926"/>
      <c r="IH263" s="926"/>
      <c r="II263" s="926"/>
      <c r="IJ263" s="926"/>
      <c r="IK263" s="926"/>
      <c r="IL263" s="926"/>
      <c r="IM263" s="926"/>
    </row>
    <row r="264" spans="1:247" x14ac:dyDescent="0.45">
      <c r="A264" s="441">
        <v>8813</v>
      </c>
      <c r="B264" s="939" t="s">
        <v>2801</v>
      </c>
      <c r="C264" s="47" t="s">
        <v>113</v>
      </c>
      <c r="D264" s="449" t="s">
        <v>2540</v>
      </c>
      <c r="E264" s="946"/>
      <c r="F264" s="941">
        <f t="shared" si="56"/>
        <v>1.0209999999999999</v>
      </c>
      <c r="G264" s="947"/>
      <c r="H264" s="946"/>
      <c r="I264" s="948"/>
      <c r="J264" s="948"/>
      <c r="K264" s="948"/>
      <c r="L264" s="948"/>
      <c r="M264" s="948"/>
      <c r="N264" s="947"/>
      <c r="O264" s="949"/>
      <c r="P264" s="946">
        <f>+$P$3</f>
        <v>1.032</v>
      </c>
      <c r="Q264" s="947">
        <f>+$Q$3</f>
        <v>1.0349999999999999</v>
      </c>
      <c r="R264" s="950">
        <f>PRODUCT(E264:Q264)</f>
        <v>1.0905505199999999</v>
      </c>
      <c r="S264" s="926"/>
      <c r="T264" s="926"/>
      <c r="U264" s="926"/>
      <c r="V264" s="926"/>
      <c r="W264" s="926"/>
      <c r="X264" s="926"/>
      <c r="Y264" s="926"/>
      <c r="Z264" s="926"/>
      <c r="AA264" s="926"/>
      <c r="AB264" s="926"/>
      <c r="AC264" s="926"/>
      <c r="AD264" s="926"/>
      <c r="AE264" s="926"/>
      <c r="AF264" s="926"/>
      <c r="AG264" s="926"/>
      <c r="AH264" s="926"/>
      <c r="AI264" s="926"/>
      <c r="AJ264" s="926"/>
      <c r="AK264" s="926"/>
      <c r="AL264" s="926"/>
      <c r="AM264" s="926"/>
      <c r="AN264" s="926"/>
      <c r="AO264" s="926"/>
      <c r="AP264" s="926"/>
      <c r="AQ264" s="926"/>
      <c r="AR264" s="926"/>
      <c r="AS264" s="926"/>
      <c r="AT264" s="926"/>
      <c r="AU264" s="926"/>
      <c r="AV264" s="926"/>
      <c r="AW264" s="926"/>
      <c r="AX264" s="926"/>
      <c r="AY264" s="926"/>
      <c r="AZ264" s="926"/>
      <c r="BA264" s="926"/>
      <c r="BB264" s="926"/>
      <c r="BC264" s="926"/>
      <c r="BD264" s="926"/>
      <c r="BE264" s="926"/>
      <c r="BF264" s="926"/>
      <c r="BG264" s="926"/>
      <c r="BH264" s="926"/>
      <c r="BI264" s="926"/>
      <c r="BJ264" s="926"/>
      <c r="BK264" s="926"/>
      <c r="BL264" s="926"/>
      <c r="BM264" s="926"/>
      <c r="BN264" s="926"/>
      <c r="BO264" s="926"/>
      <c r="BP264" s="926"/>
      <c r="BQ264" s="926"/>
      <c r="BR264" s="926"/>
      <c r="BS264" s="926"/>
      <c r="BT264" s="926"/>
      <c r="BU264" s="926"/>
      <c r="BV264" s="926"/>
      <c r="BW264" s="926"/>
      <c r="BX264" s="926"/>
      <c r="BY264" s="926"/>
      <c r="BZ264" s="926"/>
      <c r="CA264" s="926"/>
      <c r="CB264" s="926"/>
      <c r="CC264" s="926"/>
      <c r="CD264" s="926"/>
      <c r="CE264" s="926"/>
      <c r="CF264" s="926"/>
      <c r="CG264" s="926"/>
      <c r="CH264" s="926"/>
      <c r="CI264" s="926"/>
      <c r="CJ264" s="926"/>
      <c r="CK264" s="926"/>
      <c r="CL264" s="926"/>
      <c r="CM264" s="926"/>
      <c r="CN264" s="926"/>
      <c r="CO264" s="926"/>
      <c r="CP264" s="926"/>
      <c r="CQ264" s="926"/>
      <c r="CR264" s="926"/>
      <c r="CS264" s="926"/>
      <c r="CT264" s="926"/>
      <c r="CU264" s="926"/>
      <c r="CV264" s="926"/>
      <c r="CW264" s="926"/>
      <c r="CX264" s="926"/>
      <c r="CY264" s="926"/>
      <c r="CZ264" s="926"/>
      <c r="DA264" s="926"/>
      <c r="DB264" s="926"/>
      <c r="DC264" s="926"/>
      <c r="DD264" s="926"/>
      <c r="DE264" s="926"/>
      <c r="DF264" s="926"/>
      <c r="DG264" s="926"/>
      <c r="DH264" s="926"/>
      <c r="DI264" s="926"/>
      <c r="DJ264" s="926"/>
      <c r="DK264" s="926"/>
      <c r="DL264" s="926"/>
      <c r="DM264" s="926"/>
      <c r="DN264" s="926"/>
      <c r="DO264" s="926"/>
      <c r="DP264" s="926"/>
      <c r="DQ264" s="926"/>
      <c r="DR264" s="926"/>
      <c r="DS264" s="926"/>
      <c r="DT264" s="926"/>
      <c r="DU264" s="926"/>
      <c r="DV264" s="926"/>
      <c r="DW264" s="926"/>
      <c r="DX264" s="926"/>
      <c r="DY264" s="926"/>
      <c r="DZ264" s="926"/>
      <c r="EA264" s="926"/>
      <c r="EB264" s="926"/>
      <c r="EC264" s="926"/>
      <c r="ED264" s="926"/>
      <c r="EE264" s="926"/>
      <c r="EF264" s="926"/>
      <c r="EG264" s="926"/>
      <c r="EH264" s="926"/>
      <c r="EI264" s="926"/>
      <c r="EJ264" s="926"/>
      <c r="EK264" s="926"/>
      <c r="EL264" s="926"/>
      <c r="EM264" s="926"/>
      <c r="EN264" s="926"/>
      <c r="EO264" s="926"/>
      <c r="EP264" s="926"/>
      <c r="EQ264" s="926"/>
      <c r="ER264" s="926"/>
      <c r="ES264" s="926"/>
      <c r="ET264" s="926"/>
      <c r="EU264" s="926"/>
      <c r="EV264" s="926"/>
      <c r="EW264" s="926"/>
      <c r="EX264" s="926"/>
      <c r="EY264" s="926"/>
      <c r="EZ264" s="926"/>
      <c r="FA264" s="926"/>
      <c r="FB264" s="926"/>
      <c r="FC264" s="926"/>
      <c r="FD264" s="926"/>
      <c r="FE264" s="926"/>
      <c r="FF264" s="926"/>
      <c r="FG264" s="926"/>
      <c r="FH264" s="926"/>
      <c r="FI264" s="926"/>
      <c r="FJ264" s="926"/>
      <c r="FK264" s="926"/>
      <c r="FL264" s="926"/>
      <c r="FM264" s="926"/>
      <c r="FN264" s="926"/>
      <c r="FO264" s="926"/>
      <c r="FP264" s="926"/>
      <c r="FQ264" s="926"/>
      <c r="FR264" s="926"/>
      <c r="FS264" s="926"/>
      <c r="FT264" s="926"/>
      <c r="FU264" s="926"/>
      <c r="FV264" s="926"/>
      <c r="FW264" s="926"/>
      <c r="FX264" s="926"/>
      <c r="FY264" s="926"/>
      <c r="FZ264" s="926"/>
      <c r="GA264" s="926"/>
      <c r="GB264" s="926"/>
      <c r="GC264" s="926"/>
      <c r="GD264" s="926"/>
      <c r="GE264" s="926"/>
      <c r="GF264" s="926"/>
      <c r="GG264" s="926"/>
      <c r="GH264" s="926"/>
      <c r="GI264" s="926"/>
      <c r="GJ264" s="926"/>
      <c r="GK264" s="926"/>
      <c r="GL264" s="926"/>
      <c r="GM264" s="926"/>
      <c r="GN264" s="926"/>
      <c r="GO264" s="926"/>
      <c r="GP264" s="926"/>
      <c r="GQ264" s="926"/>
      <c r="GR264" s="926"/>
      <c r="GS264" s="926"/>
      <c r="GT264" s="926"/>
      <c r="GU264" s="926"/>
      <c r="GV264" s="926"/>
      <c r="GW264" s="926"/>
      <c r="GX264" s="926"/>
      <c r="GY264" s="926"/>
      <c r="GZ264" s="926"/>
      <c r="HA264" s="926"/>
      <c r="HB264" s="926"/>
      <c r="HC264" s="926"/>
      <c r="HD264" s="926"/>
      <c r="HE264" s="926"/>
      <c r="HF264" s="926"/>
      <c r="HG264" s="926"/>
      <c r="HH264" s="926"/>
      <c r="HI264" s="926"/>
      <c r="HJ264" s="926"/>
      <c r="HK264" s="926"/>
      <c r="HL264" s="926"/>
      <c r="HM264" s="926"/>
      <c r="HN264" s="926"/>
      <c r="HO264" s="926"/>
      <c r="HP264" s="926"/>
      <c r="HQ264" s="926"/>
      <c r="HR264" s="926"/>
      <c r="HS264" s="926"/>
      <c r="HT264" s="926"/>
      <c r="HU264" s="926"/>
      <c r="HV264" s="926"/>
      <c r="HW264" s="926"/>
      <c r="HX264" s="926"/>
      <c r="HY264" s="926"/>
      <c r="HZ264" s="926"/>
      <c r="IA264" s="926"/>
      <c r="IB264" s="926"/>
      <c r="IC264" s="926"/>
      <c r="ID264" s="926"/>
      <c r="IE264" s="926"/>
      <c r="IF264" s="926"/>
      <c r="IG264" s="926"/>
      <c r="IH264" s="926"/>
      <c r="II264" s="926"/>
      <c r="IJ264" s="926"/>
      <c r="IK264" s="926"/>
      <c r="IL264" s="926"/>
      <c r="IM264" s="926"/>
    </row>
    <row r="265" spans="1:247" x14ac:dyDescent="0.45">
      <c r="A265" s="441">
        <v>8840</v>
      </c>
      <c r="B265" s="939" t="s">
        <v>2802</v>
      </c>
      <c r="C265" s="47" t="s">
        <v>88</v>
      </c>
      <c r="D265" s="449" t="s">
        <v>2537</v>
      </c>
      <c r="E265" s="946"/>
      <c r="F265" s="941">
        <v>1.0209999999999999</v>
      </c>
      <c r="G265" s="947"/>
      <c r="H265" s="946"/>
      <c r="I265" s="948"/>
      <c r="J265" s="948"/>
      <c r="K265" s="948"/>
      <c r="L265" s="948"/>
      <c r="M265" s="948"/>
      <c r="N265" s="947"/>
      <c r="O265" s="949"/>
      <c r="P265" s="946"/>
      <c r="Q265" s="947"/>
      <c r="R265" s="950">
        <f>PRODUCT(E265:Q265)</f>
        <v>1.0209999999999999</v>
      </c>
      <c r="S265" s="926"/>
      <c r="T265" s="926"/>
      <c r="U265" s="926"/>
      <c r="V265" s="926"/>
      <c r="W265" s="926"/>
      <c r="X265" s="926"/>
      <c r="Y265" s="926"/>
      <c r="Z265" s="926"/>
      <c r="AA265" s="926"/>
      <c r="AB265" s="926"/>
      <c r="AC265" s="926"/>
      <c r="AD265" s="926"/>
      <c r="AE265" s="926"/>
      <c r="AF265" s="926"/>
      <c r="AG265" s="926"/>
      <c r="AH265" s="926"/>
      <c r="AI265" s="926"/>
      <c r="AJ265" s="926"/>
      <c r="AK265" s="926"/>
      <c r="AL265" s="926"/>
      <c r="AM265" s="926"/>
      <c r="AN265" s="926"/>
      <c r="AO265" s="926"/>
      <c r="AP265" s="926"/>
      <c r="AQ265" s="926"/>
      <c r="AR265" s="926"/>
      <c r="AS265" s="926"/>
      <c r="AT265" s="926"/>
      <c r="AU265" s="926"/>
      <c r="AV265" s="926"/>
      <c r="AW265" s="926"/>
      <c r="AX265" s="926"/>
      <c r="AY265" s="926"/>
      <c r="AZ265" s="926"/>
      <c r="BA265" s="926"/>
      <c r="BB265" s="926"/>
      <c r="BC265" s="926"/>
      <c r="BD265" s="926"/>
      <c r="BE265" s="926"/>
      <c r="BF265" s="926"/>
      <c r="BG265" s="926"/>
      <c r="BH265" s="926"/>
      <c r="BI265" s="926"/>
      <c r="BJ265" s="926"/>
      <c r="BK265" s="926"/>
      <c r="BL265" s="926"/>
      <c r="BM265" s="926"/>
      <c r="BN265" s="926"/>
      <c r="BO265" s="926"/>
      <c r="BP265" s="926"/>
      <c r="BQ265" s="926"/>
      <c r="BR265" s="926"/>
      <c r="BS265" s="926"/>
      <c r="BT265" s="926"/>
      <c r="BU265" s="926"/>
      <c r="BV265" s="926"/>
      <c r="BW265" s="926"/>
      <c r="BX265" s="926"/>
      <c r="BY265" s="926"/>
      <c r="BZ265" s="926"/>
      <c r="CA265" s="926"/>
      <c r="CB265" s="926"/>
      <c r="CC265" s="926"/>
      <c r="CD265" s="926"/>
      <c r="CE265" s="926"/>
      <c r="CF265" s="926"/>
      <c r="CG265" s="926"/>
      <c r="CH265" s="926"/>
      <c r="CI265" s="926"/>
      <c r="CJ265" s="926"/>
      <c r="CK265" s="926"/>
      <c r="CL265" s="926"/>
      <c r="CM265" s="926"/>
      <c r="CN265" s="926"/>
      <c r="CO265" s="926"/>
      <c r="CP265" s="926"/>
      <c r="CQ265" s="926"/>
      <c r="CR265" s="926"/>
      <c r="CS265" s="926"/>
      <c r="CT265" s="926"/>
      <c r="CU265" s="926"/>
      <c r="CV265" s="926"/>
      <c r="CW265" s="926"/>
      <c r="CX265" s="926"/>
      <c r="CY265" s="926"/>
      <c r="CZ265" s="926"/>
      <c r="DA265" s="926"/>
      <c r="DB265" s="926"/>
      <c r="DC265" s="926"/>
      <c r="DD265" s="926"/>
      <c r="DE265" s="926"/>
      <c r="DF265" s="926"/>
      <c r="DG265" s="926"/>
      <c r="DH265" s="926"/>
      <c r="DI265" s="926"/>
      <c r="DJ265" s="926"/>
      <c r="DK265" s="926"/>
      <c r="DL265" s="926"/>
      <c r="DM265" s="926"/>
      <c r="DN265" s="926"/>
      <c r="DO265" s="926"/>
      <c r="DP265" s="926"/>
      <c r="DQ265" s="926"/>
      <c r="DR265" s="926"/>
      <c r="DS265" s="926"/>
      <c r="DT265" s="926"/>
      <c r="DU265" s="926"/>
      <c r="DV265" s="926"/>
      <c r="DW265" s="926"/>
      <c r="DX265" s="926"/>
      <c r="DY265" s="926"/>
      <c r="DZ265" s="926"/>
      <c r="EA265" s="926"/>
      <c r="EB265" s="926"/>
      <c r="EC265" s="926"/>
      <c r="ED265" s="926"/>
      <c r="EE265" s="926"/>
      <c r="EF265" s="926"/>
      <c r="EG265" s="926"/>
      <c r="EH265" s="926"/>
      <c r="EI265" s="926"/>
      <c r="EJ265" s="926"/>
      <c r="EK265" s="926"/>
      <c r="EL265" s="926"/>
      <c r="EM265" s="926"/>
      <c r="EN265" s="926"/>
      <c r="EO265" s="926"/>
      <c r="EP265" s="926"/>
      <c r="EQ265" s="926"/>
      <c r="ER265" s="926"/>
      <c r="ES265" s="926"/>
      <c r="ET265" s="926"/>
      <c r="EU265" s="926"/>
      <c r="EV265" s="926"/>
      <c r="EW265" s="926"/>
      <c r="EX265" s="926"/>
      <c r="EY265" s="926"/>
      <c r="EZ265" s="926"/>
      <c r="FA265" s="926"/>
      <c r="FB265" s="926"/>
      <c r="FC265" s="926"/>
      <c r="FD265" s="926"/>
      <c r="FE265" s="926"/>
      <c r="FF265" s="926"/>
      <c r="FG265" s="926"/>
      <c r="FH265" s="926"/>
      <c r="FI265" s="926"/>
      <c r="FJ265" s="926"/>
      <c r="FK265" s="926"/>
      <c r="FL265" s="926"/>
      <c r="FM265" s="926"/>
      <c r="FN265" s="926"/>
      <c r="FO265" s="926"/>
      <c r="FP265" s="926"/>
      <c r="FQ265" s="926"/>
      <c r="FR265" s="926"/>
      <c r="FS265" s="926"/>
      <c r="FT265" s="926"/>
      <c r="FU265" s="926"/>
      <c r="FV265" s="926"/>
      <c r="FW265" s="926"/>
      <c r="FX265" s="926"/>
      <c r="FY265" s="926"/>
      <c r="FZ265" s="926"/>
      <c r="GA265" s="926"/>
      <c r="GB265" s="926"/>
      <c r="GC265" s="926"/>
      <c r="GD265" s="926"/>
      <c r="GE265" s="926"/>
      <c r="GF265" s="926"/>
      <c r="GG265" s="926"/>
      <c r="GH265" s="926"/>
      <c r="GI265" s="926"/>
      <c r="GJ265" s="926"/>
      <c r="GK265" s="926"/>
      <c r="GL265" s="926"/>
      <c r="GM265" s="926"/>
      <c r="GN265" s="926"/>
      <c r="GO265" s="926"/>
      <c r="GP265" s="926"/>
      <c r="GQ265" s="926"/>
      <c r="GR265" s="926"/>
      <c r="GS265" s="926"/>
      <c r="GT265" s="926"/>
      <c r="GU265" s="926"/>
      <c r="GV265" s="926"/>
      <c r="GW265" s="926"/>
      <c r="GX265" s="926"/>
      <c r="GY265" s="926"/>
      <c r="GZ265" s="926"/>
      <c r="HA265" s="926"/>
      <c r="HB265" s="926"/>
      <c r="HC265" s="926"/>
      <c r="HD265" s="926"/>
      <c r="HE265" s="926"/>
      <c r="HF265" s="926"/>
      <c r="HG265" s="926"/>
      <c r="HH265" s="926"/>
      <c r="HI265" s="926"/>
      <c r="HJ265" s="926"/>
      <c r="HK265" s="926"/>
      <c r="HL265" s="926"/>
      <c r="HM265" s="926"/>
      <c r="HN265" s="926"/>
      <c r="HO265" s="926"/>
      <c r="HP265" s="926"/>
      <c r="HQ265" s="926"/>
      <c r="HR265" s="926"/>
      <c r="HS265" s="926"/>
      <c r="HT265" s="926"/>
      <c r="HU265" s="926"/>
      <c r="HV265" s="926"/>
      <c r="HW265" s="926"/>
      <c r="HX265" s="926"/>
      <c r="HY265" s="926"/>
      <c r="HZ265" s="926"/>
      <c r="IA265" s="926"/>
      <c r="IB265" s="926"/>
      <c r="IC265" s="926"/>
      <c r="ID265" s="926"/>
      <c r="IE265" s="926"/>
      <c r="IF265" s="926"/>
      <c r="IG265" s="926"/>
      <c r="IH265" s="926"/>
      <c r="II265" s="926"/>
      <c r="IJ265" s="926"/>
      <c r="IK265" s="926"/>
      <c r="IL265" s="926"/>
      <c r="IM265" s="926"/>
    </row>
    <row r="266" spans="1:247" x14ac:dyDescent="0.45">
      <c r="A266" s="441">
        <v>8910</v>
      </c>
      <c r="B266" s="939" t="s">
        <v>2803</v>
      </c>
      <c r="C266" s="47" t="s">
        <v>35</v>
      </c>
      <c r="D266" s="449" t="s">
        <v>2545</v>
      </c>
      <c r="E266" s="946"/>
      <c r="F266" s="941">
        <f t="shared" si="56"/>
        <v>1.0209999999999999</v>
      </c>
      <c r="G266" s="947">
        <f>+$G$3</f>
        <v>1.0269999999999999</v>
      </c>
      <c r="H266" s="946">
        <f>+$H$3</f>
        <v>1.0029999999999999</v>
      </c>
      <c r="I266" s="948"/>
      <c r="J266" s="948">
        <f>+$J$3</f>
        <v>1.0049999999999999</v>
      </c>
      <c r="K266" s="948"/>
      <c r="L266" s="948"/>
      <c r="M266" s="948"/>
      <c r="N266" s="947">
        <f>+$N$3</f>
        <v>1.0029999999999999</v>
      </c>
      <c r="O266" s="949"/>
      <c r="P266" s="946">
        <f>+$P$3</f>
        <v>1.032</v>
      </c>
      <c r="Q266" s="947">
        <f>+$Q$3</f>
        <v>1.0349999999999999</v>
      </c>
      <c r="R266" s="950">
        <f t="shared" si="57"/>
        <v>1.1323590634842093</v>
      </c>
      <c r="S266" s="926"/>
      <c r="T266" s="926"/>
      <c r="U266" s="926"/>
      <c r="V266" s="926"/>
      <c r="W266" s="926"/>
      <c r="X266" s="926"/>
      <c r="Y266" s="926"/>
      <c r="Z266" s="926"/>
      <c r="AA266" s="926"/>
      <c r="AB266" s="926"/>
      <c r="AC266" s="926"/>
      <c r="AD266" s="926"/>
      <c r="AE266" s="926"/>
      <c r="AF266" s="926"/>
      <c r="AG266" s="926"/>
      <c r="AH266" s="926"/>
      <c r="AI266" s="926"/>
      <c r="AJ266" s="926"/>
      <c r="AK266" s="926"/>
      <c r="AL266" s="926"/>
      <c r="AM266" s="926"/>
      <c r="AN266" s="926"/>
      <c r="AO266" s="926"/>
      <c r="AP266" s="926"/>
      <c r="AQ266" s="926"/>
      <c r="AR266" s="926"/>
      <c r="AS266" s="926"/>
      <c r="AT266" s="926"/>
      <c r="AU266" s="926"/>
      <c r="AV266" s="926"/>
      <c r="AW266" s="926"/>
      <c r="AX266" s="926"/>
      <c r="AY266" s="926"/>
      <c r="AZ266" s="926"/>
      <c r="BA266" s="926"/>
      <c r="BB266" s="926"/>
      <c r="BC266" s="926"/>
      <c r="BD266" s="926"/>
      <c r="BE266" s="926"/>
      <c r="BF266" s="926"/>
      <c r="BG266" s="926"/>
      <c r="BH266" s="926"/>
      <c r="BI266" s="926"/>
      <c r="BJ266" s="926"/>
      <c r="BK266" s="926"/>
      <c r="BL266" s="926"/>
      <c r="BM266" s="926"/>
      <c r="BN266" s="926"/>
      <c r="BO266" s="926"/>
      <c r="BP266" s="926"/>
      <c r="BQ266" s="926"/>
      <c r="BR266" s="926"/>
      <c r="BS266" s="926"/>
      <c r="BT266" s="926"/>
      <c r="BU266" s="926"/>
      <c r="BV266" s="926"/>
      <c r="BW266" s="926"/>
      <c r="BX266" s="926"/>
      <c r="BY266" s="926"/>
      <c r="BZ266" s="926"/>
      <c r="CA266" s="926"/>
      <c r="CB266" s="926"/>
      <c r="CC266" s="926"/>
      <c r="CD266" s="926"/>
      <c r="CE266" s="926"/>
      <c r="CF266" s="926"/>
      <c r="CG266" s="926"/>
      <c r="CH266" s="926"/>
      <c r="CI266" s="926"/>
      <c r="CJ266" s="926"/>
      <c r="CK266" s="926"/>
      <c r="CL266" s="926"/>
      <c r="CM266" s="926"/>
      <c r="CN266" s="926"/>
      <c r="CO266" s="926"/>
      <c r="CP266" s="926"/>
      <c r="CQ266" s="926"/>
      <c r="CR266" s="926"/>
      <c r="CS266" s="926"/>
      <c r="CT266" s="926"/>
      <c r="CU266" s="926"/>
      <c r="CV266" s="926"/>
      <c r="CW266" s="926"/>
      <c r="CX266" s="926"/>
      <c r="CY266" s="926"/>
      <c r="CZ266" s="926"/>
      <c r="DA266" s="926"/>
      <c r="DB266" s="926"/>
      <c r="DC266" s="926"/>
      <c r="DD266" s="926"/>
      <c r="DE266" s="926"/>
      <c r="DF266" s="926"/>
      <c r="DG266" s="926"/>
      <c r="DH266" s="926"/>
      <c r="DI266" s="926"/>
      <c r="DJ266" s="926"/>
      <c r="DK266" s="926"/>
      <c r="DL266" s="926"/>
      <c r="DM266" s="926"/>
      <c r="DN266" s="926"/>
      <c r="DO266" s="926"/>
      <c r="DP266" s="926"/>
      <c r="DQ266" s="926"/>
      <c r="DR266" s="926"/>
      <c r="DS266" s="926"/>
      <c r="DT266" s="926"/>
      <c r="DU266" s="926"/>
      <c r="DV266" s="926"/>
      <c r="DW266" s="926"/>
      <c r="DX266" s="926"/>
      <c r="DY266" s="926"/>
      <c r="DZ266" s="926"/>
      <c r="EA266" s="926"/>
      <c r="EB266" s="926"/>
      <c r="EC266" s="926"/>
      <c r="ED266" s="926"/>
      <c r="EE266" s="926"/>
      <c r="EF266" s="926"/>
      <c r="EG266" s="926"/>
      <c r="EH266" s="926"/>
      <c r="EI266" s="926"/>
      <c r="EJ266" s="926"/>
      <c r="EK266" s="926"/>
      <c r="EL266" s="926"/>
      <c r="EM266" s="926"/>
      <c r="EN266" s="926"/>
      <c r="EO266" s="926"/>
      <c r="EP266" s="926"/>
      <c r="EQ266" s="926"/>
      <c r="ER266" s="926"/>
      <c r="ES266" s="926"/>
      <c r="ET266" s="926"/>
      <c r="EU266" s="926"/>
      <c r="EV266" s="926"/>
      <c r="EW266" s="926"/>
      <c r="EX266" s="926"/>
      <c r="EY266" s="926"/>
      <c r="EZ266" s="926"/>
      <c r="FA266" s="926"/>
      <c r="FB266" s="926"/>
      <c r="FC266" s="926"/>
      <c r="FD266" s="926"/>
      <c r="FE266" s="926"/>
      <c r="FF266" s="926"/>
      <c r="FG266" s="926"/>
      <c r="FH266" s="926"/>
      <c r="FI266" s="926"/>
      <c r="FJ266" s="926"/>
      <c r="FK266" s="926"/>
      <c r="FL266" s="926"/>
      <c r="FM266" s="926"/>
      <c r="FN266" s="926"/>
      <c r="FO266" s="926"/>
      <c r="FP266" s="926"/>
      <c r="FQ266" s="926"/>
      <c r="FR266" s="926"/>
      <c r="FS266" s="926"/>
      <c r="FT266" s="926"/>
      <c r="FU266" s="926"/>
      <c r="FV266" s="926"/>
      <c r="FW266" s="926"/>
      <c r="FX266" s="926"/>
      <c r="FY266" s="926"/>
      <c r="FZ266" s="926"/>
      <c r="GA266" s="926"/>
      <c r="GB266" s="926"/>
      <c r="GC266" s="926"/>
      <c r="GD266" s="926"/>
      <c r="GE266" s="926"/>
      <c r="GF266" s="926"/>
      <c r="GG266" s="926"/>
      <c r="GH266" s="926"/>
      <c r="GI266" s="926"/>
      <c r="GJ266" s="926"/>
      <c r="GK266" s="926"/>
      <c r="GL266" s="926"/>
      <c r="GM266" s="926"/>
      <c r="GN266" s="926"/>
      <c r="GO266" s="926"/>
      <c r="GP266" s="926"/>
      <c r="GQ266" s="926"/>
      <c r="GR266" s="926"/>
      <c r="GS266" s="926"/>
      <c r="GT266" s="926"/>
      <c r="GU266" s="926"/>
      <c r="GV266" s="926"/>
      <c r="GW266" s="926"/>
      <c r="GX266" s="926"/>
      <c r="GY266" s="926"/>
      <c r="GZ266" s="926"/>
      <c r="HA266" s="926"/>
      <c r="HB266" s="926"/>
      <c r="HC266" s="926"/>
      <c r="HD266" s="926"/>
      <c r="HE266" s="926"/>
      <c r="HF266" s="926"/>
      <c r="HG266" s="926"/>
      <c r="HH266" s="926"/>
      <c r="HI266" s="926"/>
      <c r="HJ266" s="926"/>
      <c r="HK266" s="926"/>
      <c r="HL266" s="926"/>
      <c r="HM266" s="926"/>
      <c r="HN266" s="926"/>
      <c r="HO266" s="926"/>
      <c r="HP266" s="926"/>
      <c r="HQ266" s="926"/>
      <c r="HR266" s="926"/>
      <c r="HS266" s="926"/>
      <c r="HT266" s="926"/>
      <c r="HU266" s="926"/>
      <c r="HV266" s="926"/>
      <c r="HW266" s="926"/>
      <c r="HX266" s="926"/>
      <c r="HY266" s="926"/>
      <c r="HZ266" s="926"/>
      <c r="IA266" s="926"/>
      <c r="IB266" s="926"/>
      <c r="IC266" s="926"/>
      <c r="ID266" s="926"/>
      <c r="IE266" s="926"/>
      <c r="IF266" s="926"/>
      <c r="IG266" s="926"/>
      <c r="IH266" s="926"/>
      <c r="II266" s="926"/>
      <c r="IJ266" s="926"/>
      <c r="IK266" s="926"/>
      <c r="IL266" s="926"/>
      <c r="IM266" s="926"/>
    </row>
    <row r="267" spans="1:247" x14ac:dyDescent="0.45">
      <c r="A267" s="441">
        <v>8921</v>
      </c>
      <c r="B267" s="939" t="s">
        <v>2804</v>
      </c>
      <c r="C267" s="47" t="s">
        <v>88</v>
      </c>
      <c r="D267" s="449" t="s">
        <v>2537</v>
      </c>
      <c r="E267" s="946"/>
      <c r="F267" s="941">
        <f t="shared" si="56"/>
        <v>1.0209999999999999</v>
      </c>
      <c r="G267" s="947">
        <f>+$G$3</f>
        <v>1.0269999999999999</v>
      </c>
      <c r="H267" s="946"/>
      <c r="I267" s="948"/>
      <c r="J267" s="948"/>
      <c r="K267" s="948"/>
      <c r="L267" s="948"/>
      <c r="M267" s="948"/>
      <c r="N267" s="947"/>
      <c r="O267" s="949"/>
      <c r="P267" s="946">
        <f>+$P$3</f>
        <v>1.032</v>
      </c>
      <c r="Q267" s="947">
        <f>+$Q$3</f>
        <v>1.0349999999999999</v>
      </c>
      <c r="R267" s="950">
        <f t="shared" si="57"/>
        <v>1.1199953840399997</v>
      </c>
      <c r="S267" s="926"/>
      <c r="T267" s="926"/>
      <c r="U267" s="926"/>
      <c r="V267" s="926"/>
      <c r="W267" s="926"/>
      <c r="X267" s="926"/>
      <c r="Y267" s="926"/>
      <c r="Z267" s="926"/>
      <c r="AA267" s="926"/>
      <c r="AB267" s="926"/>
      <c r="AC267" s="926"/>
      <c r="AD267" s="926"/>
      <c r="AE267" s="926"/>
      <c r="AF267" s="926"/>
      <c r="AG267" s="926"/>
      <c r="AH267" s="926"/>
      <c r="AI267" s="926"/>
      <c r="AJ267" s="926"/>
      <c r="AK267" s="926"/>
      <c r="AL267" s="926"/>
      <c r="AM267" s="926"/>
      <c r="AN267" s="926"/>
      <c r="AO267" s="926"/>
      <c r="AP267" s="926"/>
      <c r="AQ267" s="926"/>
      <c r="AR267" s="926"/>
      <c r="AS267" s="926"/>
      <c r="AT267" s="926"/>
      <c r="AU267" s="926"/>
      <c r="AV267" s="926"/>
      <c r="AW267" s="926"/>
      <c r="AX267" s="926"/>
      <c r="AY267" s="926"/>
      <c r="AZ267" s="926"/>
      <c r="BA267" s="926"/>
      <c r="BB267" s="926"/>
      <c r="BC267" s="926"/>
      <c r="BD267" s="926"/>
      <c r="BE267" s="926"/>
      <c r="BF267" s="926"/>
      <c r="BG267" s="926"/>
      <c r="BH267" s="926"/>
      <c r="BI267" s="926"/>
      <c r="BJ267" s="926"/>
      <c r="BK267" s="926"/>
      <c r="BL267" s="926"/>
      <c r="BM267" s="926"/>
      <c r="BN267" s="926"/>
      <c r="BO267" s="926"/>
      <c r="BP267" s="926"/>
      <c r="BQ267" s="926"/>
      <c r="BR267" s="926"/>
      <c r="BS267" s="926"/>
      <c r="BT267" s="926"/>
      <c r="BU267" s="926"/>
      <c r="BV267" s="926"/>
      <c r="BW267" s="926"/>
      <c r="BX267" s="926"/>
      <c r="BY267" s="926"/>
      <c r="BZ267" s="926"/>
      <c r="CA267" s="926"/>
      <c r="CB267" s="926"/>
      <c r="CC267" s="926"/>
      <c r="CD267" s="926"/>
      <c r="CE267" s="926"/>
      <c r="CF267" s="926"/>
      <c r="CG267" s="926"/>
      <c r="CH267" s="926"/>
      <c r="CI267" s="926"/>
      <c r="CJ267" s="926"/>
      <c r="CK267" s="926"/>
      <c r="CL267" s="926"/>
      <c r="CM267" s="926"/>
      <c r="CN267" s="926"/>
      <c r="CO267" s="926"/>
      <c r="CP267" s="926"/>
      <c r="CQ267" s="926"/>
      <c r="CR267" s="926"/>
      <c r="CS267" s="926"/>
      <c r="CT267" s="926"/>
      <c r="CU267" s="926"/>
      <c r="CV267" s="926"/>
      <c r="CW267" s="926"/>
      <c r="CX267" s="926"/>
      <c r="CY267" s="926"/>
      <c r="CZ267" s="926"/>
      <c r="DA267" s="926"/>
      <c r="DB267" s="926"/>
      <c r="DC267" s="926"/>
      <c r="DD267" s="926"/>
      <c r="DE267" s="926"/>
      <c r="DF267" s="926"/>
      <c r="DG267" s="926"/>
      <c r="DH267" s="926"/>
      <c r="DI267" s="926"/>
      <c r="DJ267" s="926"/>
      <c r="DK267" s="926"/>
      <c r="DL267" s="926"/>
      <c r="DM267" s="926"/>
      <c r="DN267" s="926"/>
      <c r="DO267" s="926"/>
      <c r="DP267" s="926"/>
      <c r="DQ267" s="926"/>
      <c r="DR267" s="926"/>
      <c r="DS267" s="926"/>
      <c r="DT267" s="926"/>
      <c r="DU267" s="926"/>
      <c r="DV267" s="926"/>
      <c r="DW267" s="926"/>
      <c r="DX267" s="926"/>
      <c r="DY267" s="926"/>
      <c r="DZ267" s="926"/>
      <c r="EA267" s="926"/>
      <c r="EB267" s="926"/>
      <c r="EC267" s="926"/>
      <c r="ED267" s="926"/>
      <c r="EE267" s="926"/>
      <c r="EF267" s="926"/>
      <c r="EG267" s="926"/>
      <c r="EH267" s="926"/>
      <c r="EI267" s="926"/>
      <c r="EJ267" s="926"/>
      <c r="EK267" s="926"/>
      <c r="EL267" s="926"/>
      <c r="EM267" s="926"/>
      <c r="EN267" s="926"/>
      <c r="EO267" s="926"/>
      <c r="EP267" s="926"/>
      <c r="EQ267" s="926"/>
      <c r="ER267" s="926"/>
      <c r="ES267" s="926"/>
      <c r="ET267" s="926"/>
      <c r="EU267" s="926"/>
      <c r="EV267" s="926"/>
      <c r="EW267" s="926"/>
      <c r="EX267" s="926"/>
      <c r="EY267" s="926"/>
      <c r="EZ267" s="926"/>
      <c r="FA267" s="926"/>
      <c r="FB267" s="926"/>
      <c r="FC267" s="926"/>
      <c r="FD267" s="926"/>
      <c r="FE267" s="926"/>
      <c r="FF267" s="926"/>
      <c r="FG267" s="926"/>
      <c r="FH267" s="926"/>
      <c r="FI267" s="926"/>
      <c r="FJ267" s="926"/>
      <c r="FK267" s="926"/>
      <c r="FL267" s="926"/>
      <c r="FM267" s="926"/>
      <c r="FN267" s="926"/>
      <c r="FO267" s="926"/>
      <c r="FP267" s="926"/>
      <c r="FQ267" s="926"/>
      <c r="FR267" s="926"/>
      <c r="FS267" s="926"/>
      <c r="FT267" s="926"/>
      <c r="FU267" s="926"/>
      <c r="FV267" s="926"/>
      <c r="FW267" s="926"/>
      <c r="FX267" s="926"/>
      <c r="FY267" s="926"/>
      <c r="FZ267" s="926"/>
      <c r="GA267" s="926"/>
      <c r="GB267" s="926"/>
      <c r="GC267" s="926"/>
      <c r="GD267" s="926"/>
      <c r="GE267" s="926"/>
      <c r="GF267" s="926"/>
      <c r="GG267" s="926"/>
      <c r="GH267" s="926"/>
      <c r="GI267" s="926"/>
      <c r="GJ267" s="926"/>
      <c r="GK267" s="926"/>
      <c r="GL267" s="926"/>
      <c r="GM267" s="926"/>
      <c r="GN267" s="926"/>
      <c r="GO267" s="926"/>
      <c r="GP267" s="926"/>
      <c r="GQ267" s="926"/>
      <c r="GR267" s="926"/>
      <c r="GS267" s="926"/>
      <c r="GT267" s="926"/>
      <c r="GU267" s="926"/>
      <c r="GV267" s="926"/>
      <c r="GW267" s="926"/>
      <c r="GX267" s="926"/>
      <c r="GY267" s="926"/>
      <c r="GZ267" s="926"/>
      <c r="HA267" s="926"/>
      <c r="HB267" s="926"/>
      <c r="HC267" s="926"/>
      <c r="HD267" s="926"/>
      <c r="HE267" s="926"/>
      <c r="HF267" s="926"/>
      <c r="HG267" s="926"/>
      <c r="HH267" s="926"/>
      <c r="HI267" s="926"/>
      <c r="HJ267" s="926"/>
      <c r="HK267" s="926"/>
      <c r="HL267" s="926"/>
      <c r="HM267" s="926"/>
      <c r="HN267" s="926"/>
      <c r="HO267" s="926"/>
      <c r="HP267" s="926"/>
      <c r="HQ267" s="926"/>
      <c r="HR267" s="926"/>
      <c r="HS267" s="926"/>
      <c r="HT267" s="926"/>
      <c r="HU267" s="926"/>
      <c r="HV267" s="926"/>
      <c r="HW267" s="926"/>
      <c r="HX267" s="926"/>
      <c r="HY267" s="926"/>
      <c r="HZ267" s="926"/>
      <c r="IA267" s="926"/>
      <c r="IB267" s="926"/>
      <c r="IC267" s="926"/>
      <c r="ID267" s="926"/>
      <c r="IE267" s="926"/>
      <c r="IF267" s="926"/>
      <c r="IG267" s="926"/>
      <c r="IH267" s="926"/>
      <c r="II267" s="926"/>
      <c r="IJ267" s="926"/>
      <c r="IK267" s="926"/>
      <c r="IL267" s="926"/>
      <c r="IM267" s="926"/>
    </row>
    <row r="268" spans="1:247" x14ac:dyDescent="0.45">
      <c r="A268" s="441">
        <v>8922</v>
      </c>
      <c r="B268" s="939" t="s">
        <v>2805</v>
      </c>
      <c r="C268" s="47" t="s">
        <v>88</v>
      </c>
      <c r="D268" s="449" t="s">
        <v>2537</v>
      </c>
      <c r="E268" s="946"/>
      <c r="F268" s="941">
        <f t="shared" si="56"/>
        <v>1.0209999999999999</v>
      </c>
      <c r="G268" s="947"/>
      <c r="H268" s="946"/>
      <c r="I268" s="948"/>
      <c r="J268" s="948"/>
      <c r="K268" s="948"/>
      <c r="L268" s="948"/>
      <c r="M268" s="948"/>
      <c r="N268" s="947"/>
      <c r="O268" s="949"/>
      <c r="P268" s="946"/>
      <c r="Q268" s="947"/>
      <c r="R268" s="950">
        <f t="shared" si="57"/>
        <v>1.0209999999999999</v>
      </c>
      <c r="S268" s="926"/>
      <c r="T268" s="926"/>
      <c r="U268" s="926"/>
      <c r="V268" s="926"/>
      <c r="W268" s="926"/>
      <c r="X268" s="926"/>
      <c r="Y268" s="926"/>
      <c r="Z268" s="926"/>
      <c r="AA268" s="926"/>
      <c r="AB268" s="926"/>
      <c r="AC268" s="926"/>
      <c r="AD268" s="926"/>
      <c r="AE268" s="926"/>
      <c r="AF268" s="926"/>
      <c r="AG268" s="926"/>
      <c r="AH268" s="926"/>
      <c r="AI268" s="926"/>
      <c r="AJ268" s="926"/>
      <c r="AK268" s="926"/>
      <c r="AL268" s="926"/>
      <c r="AM268" s="926"/>
      <c r="AN268" s="926"/>
      <c r="AO268" s="926"/>
      <c r="AP268" s="926"/>
      <c r="AQ268" s="926"/>
      <c r="AR268" s="926"/>
      <c r="AS268" s="926"/>
      <c r="AT268" s="926"/>
      <c r="AU268" s="926"/>
      <c r="AV268" s="926"/>
      <c r="AW268" s="926"/>
      <c r="AX268" s="926"/>
      <c r="AY268" s="926"/>
      <c r="AZ268" s="926"/>
      <c r="BA268" s="926"/>
      <c r="BB268" s="926"/>
      <c r="BC268" s="926"/>
      <c r="BD268" s="926"/>
      <c r="BE268" s="926"/>
      <c r="BF268" s="926"/>
      <c r="BG268" s="926"/>
      <c r="BH268" s="926"/>
      <c r="BI268" s="926"/>
      <c r="BJ268" s="926"/>
      <c r="BK268" s="926"/>
      <c r="BL268" s="926"/>
      <c r="BM268" s="926"/>
      <c r="BN268" s="926"/>
      <c r="BO268" s="926"/>
      <c r="BP268" s="926"/>
      <c r="BQ268" s="926"/>
      <c r="BR268" s="926"/>
      <c r="BS268" s="926"/>
      <c r="BT268" s="926"/>
      <c r="BU268" s="926"/>
      <c r="BV268" s="926"/>
      <c r="BW268" s="926"/>
      <c r="BX268" s="926"/>
      <c r="BY268" s="926"/>
      <c r="BZ268" s="926"/>
      <c r="CA268" s="926"/>
      <c r="CB268" s="926"/>
      <c r="CC268" s="926"/>
      <c r="CD268" s="926"/>
      <c r="CE268" s="926"/>
      <c r="CF268" s="926"/>
      <c r="CG268" s="926"/>
      <c r="CH268" s="926"/>
      <c r="CI268" s="926"/>
      <c r="CJ268" s="926"/>
      <c r="CK268" s="926"/>
      <c r="CL268" s="926"/>
      <c r="CM268" s="926"/>
      <c r="CN268" s="926"/>
      <c r="CO268" s="926"/>
      <c r="CP268" s="926"/>
      <c r="CQ268" s="926"/>
      <c r="CR268" s="926"/>
      <c r="CS268" s="926"/>
      <c r="CT268" s="926"/>
      <c r="CU268" s="926"/>
      <c r="CV268" s="926"/>
      <c r="CW268" s="926"/>
      <c r="CX268" s="926"/>
      <c r="CY268" s="926"/>
      <c r="CZ268" s="926"/>
      <c r="DA268" s="926"/>
      <c r="DB268" s="926"/>
      <c r="DC268" s="926"/>
      <c r="DD268" s="926"/>
      <c r="DE268" s="926"/>
      <c r="DF268" s="926"/>
      <c r="DG268" s="926"/>
      <c r="DH268" s="926"/>
      <c r="DI268" s="926"/>
      <c r="DJ268" s="926"/>
      <c r="DK268" s="926"/>
      <c r="DL268" s="926"/>
      <c r="DM268" s="926"/>
      <c r="DN268" s="926"/>
      <c r="DO268" s="926"/>
      <c r="DP268" s="926"/>
      <c r="DQ268" s="926"/>
      <c r="DR268" s="926"/>
      <c r="DS268" s="926"/>
      <c r="DT268" s="926"/>
      <c r="DU268" s="926"/>
      <c r="DV268" s="926"/>
      <c r="DW268" s="926"/>
      <c r="DX268" s="926"/>
      <c r="DY268" s="926"/>
      <c r="DZ268" s="926"/>
      <c r="EA268" s="926"/>
      <c r="EB268" s="926"/>
      <c r="EC268" s="926"/>
      <c r="ED268" s="926"/>
      <c r="EE268" s="926"/>
      <c r="EF268" s="926"/>
      <c r="EG268" s="926"/>
      <c r="EH268" s="926"/>
      <c r="EI268" s="926"/>
      <c r="EJ268" s="926"/>
      <c r="EK268" s="926"/>
      <c r="EL268" s="926"/>
      <c r="EM268" s="926"/>
      <c r="EN268" s="926"/>
      <c r="EO268" s="926"/>
      <c r="EP268" s="926"/>
      <c r="EQ268" s="926"/>
      <c r="ER268" s="926"/>
      <c r="ES268" s="926"/>
      <c r="ET268" s="926"/>
      <c r="EU268" s="926"/>
      <c r="EV268" s="926"/>
      <c r="EW268" s="926"/>
      <c r="EX268" s="926"/>
      <c r="EY268" s="926"/>
      <c r="EZ268" s="926"/>
      <c r="FA268" s="926"/>
      <c r="FB268" s="926"/>
      <c r="FC268" s="926"/>
      <c r="FD268" s="926"/>
      <c r="FE268" s="926"/>
      <c r="FF268" s="926"/>
      <c r="FG268" s="926"/>
      <c r="FH268" s="926"/>
      <c r="FI268" s="926"/>
      <c r="FJ268" s="926"/>
      <c r="FK268" s="926"/>
      <c r="FL268" s="926"/>
      <c r="FM268" s="926"/>
      <c r="FN268" s="926"/>
      <c r="FO268" s="926"/>
      <c r="FP268" s="926"/>
      <c r="FQ268" s="926"/>
      <c r="FR268" s="926"/>
      <c r="FS268" s="926"/>
      <c r="FT268" s="926"/>
      <c r="FU268" s="926"/>
      <c r="FV268" s="926"/>
      <c r="FW268" s="926"/>
      <c r="FX268" s="926"/>
      <c r="FY268" s="926"/>
      <c r="FZ268" s="926"/>
      <c r="GA268" s="926"/>
      <c r="GB268" s="926"/>
      <c r="GC268" s="926"/>
      <c r="GD268" s="926"/>
      <c r="GE268" s="926"/>
      <c r="GF268" s="926"/>
      <c r="GG268" s="926"/>
      <c r="GH268" s="926"/>
      <c r="GI268" s="926"/>
      <c r="GJ268" s="926"/>
      <c r="GK268" s="926"/>
      <c r="GL268" s="926"/>
      <c r="GM268" s="926"/>
      <c r="GN268" s="926"/>
      <c r="GO268" s="926"/>
      <c r="GP268" s="926"/>
      <c r="GQ268" s="926"/>
      <c r="GR268" s="926"/>
      <c r="GS268" s="926"/>
      <c r="GT268" s="926"/>
      <c r="GU268" s="926"/>
      <c r="GV268" s="926"/>
      <c r="GW268" s="926"/>
      <c r="GX268" s="926"/>
      <c r="GY268" s="926"/>
      <c r="GZ268" s="926"/>
      <c r="HA268" s="926"/>
      <c r="HB268" s="926"/>
      <c r="HC268" s="926"/>
      <c r="HD268" s="926"/>
      <c r="HE268" s="926"/>
      <c r="HF268" s="926"/>
      <c r="HG268" s="926"/>
      <c r="HH268" s="926"/>
      <c r="HI268" s="926"/>
      <c r="HJ268" s="926"/>
      <c r="HK268" s="926"/>
      <c r="HL268" s="926"/>
      <c r="HM268" s="926"/>
      <c r="HN268" s="926"/>
      <c r="HO268" s="926"/>
      <c r="HP268" s="926"/>
      <c r="HQ268" s="926"/>
      <c r="HR268" s="926"/>
      <c r="HS268" s="926"/>
      <c r="HT268" s="926"/>
      <c r="HU268" s="926"/>
      <c r="HV268" s="926"/>
      <c r="HW268" s="926"/>
      <c r="HX268" s="926"/>
      <c r="HY268" s="926"/>
      <c r="HZ268" s="926"/>
      <c r="IA268" s="926"/>
      <c r="IB268" s="926"/>
      <c r="IC268" s="926"/>
      <c r="ID268" s="926"/>
      <c r="IE268" s="926"/>
      <c r="IF268" s="926"/>
      <c r="IG268" s="926"/>
      <c r="IH268" s="926"/>
      <c r="II268" s="926"/>
      <c r="IJ268" s="926"/>
      <c r="IK268" s="926"/>
      <c r="IL268" s="926"/>
      <c r="IM268" s="926"/>
    </row>
    <row r="269" spans="1:247" x14ac:dyDescent="0.45">
      <c r="A269" s="441">
        <v>8923</v>
      </c>
      <c r="B269" s="939" t="s">
        <v>2806</v>
      </c>
      <c r="C269" s="47" t="s">
        <v>88</v>
      </c>
      <c r="D269" s="449" t="s">
        <v>2537</v>
      </c>
      <c r="E269" s="946"/>
      <c r="F269" s="941">
        <f t="shared" si="56"/>
        <v>1.0209999999999999</v>
      </c>
      <c r="G269" s="947"/>
      <c r="H269" s="946"/>
      <c r="I269" s="948"/>
      <c r="J269" s="948"/>
      <c r="K269" s="948"/>
      <c r="L269" s="948"/>
      <c r="M269" s="948"/>
      <c r="N269" s="947">
        <f>+$N$3</f>
        <v>1.0029999999999999</v>
      </c>
      <c r="O269" s="949"/>
      <c r="P269" s="946"/>
      <c r="Q269" s="947"/>
      <c r="R269" s="950">
        <f t="shared" si="57"/>
        <v>1.0240629999999997</v>
      </c>
      <c r="S269" s="926"/>
      <c r="T269" s="926"/>
      <c r="U269" s="926"/>
      <c r="V269" s="926"/>
      <c r="W269" s="926"/>
      <c r="X269" s="926"/>
      <c r="Y269" s="926"/>
      <c r="Z269" s="926"/>
      <c r="AA269" s="926"/>
      <c r="AB269" s="926"/>
      <c r="AC269" s="926"/>
      <c r="AD269" s="926"/>
      <c r="AE269" s="926"/>
      <c r="AF269" s="926"/>
      <c r="AG269" s="926"/>
      <c r="AH269" s="926"/>
      <c r="AI269" s="926"/>
      <c r="AJ269" s="926"/>
      <c r="AK269" s="926"/>
      <c r="AL269" s="926"/>
      <c r="AM269" s="926"/>
      <c r="AN269" s="926"/>
      <c r="AO269" s="926"/>
      <c r="AP269" s="926"/>
      <c r="AQ269" s="926"/>
      <c r="AR269" s="926"/>
      <c r="AS269" s="926"/>
      <c r="AT269" s="926"/>
      <c r="AU269" s="926"/>
      <c r="AV269" s="926"/>
      <c r="AW269" s="926"/>
      <c r="AX269" s="926"/>
      <c r="AY269" s="926"/>
      <c r="AZ269" s="926"/>
      <c r="BA269" s="926"/>
      <c r="BB269" s="926"/>
      <c r="BC269" s="926"/>
      <c r="BD269" s="926"/>
      <c r="BE269" s="926"/>
      <c r="BF269" s="926"/>
      <c r="BG269" s="926"/>
      <c r="BH269" s="926"/>
      <c r="BI269" s="926"/>
      <c r="BJ269" s="926"/>
      <c r="BK269" s="926"/>
      <c r="BL269" s="926"/>
      <c r="BM269" s="926"/>
      <c r="BN269" s="926"/>
      <c r="BO269" s="926"/>
      <c r="BP269" s="926"/>
      <c r="BQ269" s="926"/>
      <c r="BR269" s="926"/>
      <c r="BS269" s="926"/>
      <c r="BT269" s="926"/>
      <c r="BU269" s="926"/>
      <c r="BV269" s="926"/>
      <c r="BW269" s="926"/>
      <c r="BX269" s="926"/>
      <c r="BY269" s="926"/>
      <c r="BZ269" s="926"/>
      <c r="CA269" s="926"/>
      <c r="CB269" s="926"/>
      <c r="CC269" s="926"/>
      <c r="CD269" s="926"/>
      <c r="CE269" s="926"/>
      <c r="CF269" s="926"/>
      <c r="CG269" s="926"/>
      <c r="CH269" s="926"/>
      <c r="CI269" s="926"/>
      <c r="CJ269" s="926"/>
      <c r="CK269" s="926"/>
      <c r="CL269" s="926"/>
      <c r="CM269" s="926"/>
      <c r="CN269" s="926"/>
      <c r="CO269" s="926"/>
      <c r="CP269" s="926"/>
      <c r="CQ269" s="926"/>
      <c r="CR269" s="926"/>
      <c r="CS269" s="926"/>
      <c r="CT269" s="926"/>
      <c r="CU269" s="926"/>
      <c r="CV269" s="926"/>
      <c r="CW269" s="926"/>
      <c r="CX269" s="926"/>
      <c r="CY269" s="926"/>
      <c r="CZ269" s="926"/>
      <c r="DA269" s="926"/>
      <c r="DB269" s="926"/>
      <c r="DC269" s="926"/>
      <c r="DD269" s="926"/>
      <c r="DE269" s="926"/>
      <c r="DF269" s="926"/>
      <c r="DG269" s="926"/>
      <c r="DH269" s="926"/>
      <c r="DI269" s="926"/>
      <c r="DJ269" s="926"/>
      <c r="DK269" s="926"/>
      <c r="DL269" s="926"/>
      <c r="DM269" s="926"/>
      <c r="DN269" s="926"/>
      <c r="DO269" s="926"/>
      <c r="DP269" s="926"/>
      <c r="DQ269" s="926"/>
      <c r="DR269" s="926"/>
      <c r="DS269" s="926"/>
      <c r="DT269" s="926"/>
      <c r="DU269" s="926"/>
      <c r="DV269" s="926"/>
      <c r="DW269" s="926"/>
      <c r="DX269" s="926"/>
      <c r="DY269" s="926"/>
      <c r="DZ269" s="926"/>
      <c r="EA269" s="926"/>
      <c r="EB269" s="926"/>
      <c r="EC269" s="926"/>
      <c r="ED269" s="926"/>
      <c r="EE269" s="926"/>
      <c r="EF269" s="926"/>
      <c r="EG269" s="926"/>
      <c r="EH269" s="926"/>
      <c r="EI269" s="926"/>
      <c r="EJ269" s="926"/>
      <c r="EK269" s="926"/>
      <c r="EL269" s="926"/>
      <c r="EM269" s="926"/>
      <c r="EN269" s="926"/>
      <c r="EO269" s="926"/>
      <c r="EP269" s="926"/>
      <c r="EQ269" s="926"/>
      <c r="ER269" s="926"/>
      <c r="ES269" s="926"/>
      <c r="ET269" s="926"/>
      <c r="EU269" s="926"/>
      <c r="EV269" s="926"/>
      <c r="EW269" s="926"/>
      <c r="EX269" s="926"/>
      <c r="EY269" s="926"/>
      <c r="EZ269" s="926"/>
      <c r="FA269" s="926"/>
      <c r="FB269" s="926"/>
      <c r="FC269" s="926"/>
      <c r="FD269" s="926"/>
      <c r="FE269" s="926"/>
      <c r="FF269" s="926"/>
      <c r="FG269" s="926"/>
      <c r="FH269" s="926"/>
      <c r="FI269" s="926"/>
      <c r="FJ269" s="926"/>
      <c r="FK269" s="926"/>
      <c r="FL269" s="926"/>
      <c r="FM269" s="926"/>
      <c r="FN269" s="926"/>
      <c r="FO269" s="926"/>
      <c r="FP269" s="926"/>
      <c r="FQ269" s="926"/>
      <c r="FR269" s="926"/>
      <c r="FS269" s="926"/>
      <c r="FT269" s="926"/>
      <c r="FU269" s="926"/>
      <c r="FV269" s="926"/>
      <c r="FW269" s="926"/>
      <c r="FX269" s="926"/>
      <c r="FY269" s="926"/>
      <c r="FZ269" s="926"/>
      <c r="GA269" s="926"/>
      <c r="GB269" s="926"/>
      <c r="GC269" s="926"/>
      <c r="GD269" s="926"/>
      <c r="GE269" s="926"/>
      <c r="GF269" s="926"/>
      <c r="GG269" s="926"/>
      <c r="GH269" s="926"/>
      <c r="GI269" s="926"/>
      <c r="GJ269" s="926"/>
      <c r="GK269" s="926"/>
      <c r="GL269" s="926"/>
      <c r="GM269" s="926"/>
      <c r="GN269" s="926"/>
      <c r="GO269" s="926"/>
      <c r="GP269" s="926"/>
      <c r="GQ269" s="926"/>
      <c r="GR269" s="926"/>
      <c r="GS269" s="926"/>
      <c r="GT269" s="926"/>
      <c r="GU269" s="926"/>
      <c r="GV269" s="926"/>
      <c r="GW269" s="926"/>
      <c r="GX269" s="926"/>
      <c r="GY269" s="926"/>
      <c r="GZ269" s="926"/>
      <c r="HA269" s="926"/>
      <c r="HB269" s="926"/>
      <c r="HC269" s="926"/>
      <c r="HD269" s="926"/>
      <c r="HE269" s="926"/>
      <c r="HF269" s="926"/>
      <c r="HG269" s="926"/>
      <c r="HH269" s="926"/>
      <c r="HI269" s="926"/>
      <c r="HJ269" s="926"/>
      <c r="HK269" s="926"/>
      <c r="HL269" s="926"/>
      <c r="HM269" s="926"/>
      <c r="HN269" s="926"/>
      <c r="HO269" s="926"/>
      <c r="HP269" s="926"/>
      <c r="HQ269" s="926"/>
      <c r="HR269" s="926"/>
      <c r="HS269" s="926"/>
      <c r="HT269" s="926"/>
      <c r="HU269" s="926"/>
      <c r="HV269" s="926"/>
      <c r="HW269" s="926"/>
      <c r="HX269" s="926"/>
      <c r="HY269" s="926"/>
      <c r="HZ269" s="926"/>
      <c r="IA269" s="926"/>
      <c r="IB269" s="926"/>
      <c r="IC269" s="926"/>
      <c r="ID269" s="926"/>
      <c r="IE269" s="926"/>
      <c r="IF269" s="926"/>
      <c r="IG269" s="926"/>
      <c r="IH269" s="926"/>
      <c r="II269" s="926"/>
      <c r="IJ269" s="926"/>
      <c r="IK269" s="926"/>
      <c r="IL269" s="926"/>
      <c r="IM269" s="926"/>
    </row>
    <row r="270" spans="1:247" x14ac:dyDescent="0.45">
      <c r="A270" s="441">
        <v>8924</v>
      </c>
      <c r="B270" s="939" t="s">
        <v>2807</v>
      </c>
      <c r="C270" s="47" t="s">
        <v>88</v>
      </c>
      <c r="D270" s="449" t="s">
        <v>2537</v>
      </c>
      <c r="E270" s="946"/>
      <c r="F270" s="941">
        <f t="shared" si="56"/>
        <v>1.0209999999999999</v>
      </c>
      <c r="G270" s="947"/>
      <c r="H270" s="946"/>
      <c r="I270" s="948"/>
      <c r="J270" s="948"/>
      <c r="K270" s="948"/>
      <c r="L270" s="948"/>
      <c r="M270" s="948"/>
      <c r="N270" s="947">
        <f>+$N$3</f>
        <v>1.0029999999999999</v>
      </c>
      <c r="O270" s="949"/>
      <c r="P270" s="946"/>
      <c r="Q270" s="947"/>
      <c r="R270" s="950">
        <f t="shared" si="57"/>
        <v>1.0240629999999997</v>
      </c>
      <c r="S270" s="926"/>
      <c r="T270" s="926"/>
      <c r="U270" s="926"/>
      <c r="V270" s="926"/>
      <c r="W270" s="926"/>
      <c r="X270" s="926"/>
      <c r="Y270" s="926"/>
      <c r="Z270" s="926"/>
      <c r="AA270" s="926"/>
      <c r="AB270" s="926"/>
      <c r="AC270" s="926"/>
      <c r="AD270" s="926"/>
      <c r="AE270" s="926"/>
      <c r="AF270" s="926"/>
      <c r="AG270" s="926"/>
      <c r="AH270" s="926"/>
      <c r="AI270" s="926"/>
      <c r="AJ270" s="926"/>
      <c r="AK270" s="926"/>
      <c r="AL270" s="926"/>
      <c r="AM270" s="926"/>
      <c r="AN270" s="926"/>
      <c r="AO270" s="926"/>
      <c r="AP270" s="926"/>
      <c r="AQ270" s="926"/>
      <c r="AR270" s="926"/>
      <c r="AS270" s="926"/>
      <c r="AT270" s="926"/>
      <c r="AU270" s="926"/>
      <c r="AV270" s="926"/>
      <c r="AW270" s="926"/>
      <c r="AX270" s="926"/>
      <c r="AY270" s="926"/>
      <c r="AZ270" s="926"/>
      <c r="BA270" s="926"/>
      <c r="BB270" s="926"/>
      <c r="BC270" s="926"/>
      <c r="BD270" s="926"/>
      <c r="BE270" s="926"/>
      <c r="BF270" s="926"/>
      <c r="BG270" s="926"/>
      <c r="BH270" s="926"/>
      <c r="BI270" s="926"/>
      <c r="BJ270" s="926"/>
      <c r="BK270" s="926"/>
      <c r="BL270" s="926"/>
      <c r="BM270" s="926"/>
      <c r="BN270" s="926"/>
      <c r="BO270" s="926"/>
      <c r="BP270" s="926"/>
      <c r="BQ270" s="926"/>
      <c r="BR270" s="926"/>
      <c r="BS270" s="926"/>
      <c r="BT270" s="926"/>
      <c r="BU270" s="926"/>
      <c r="BV270" s="926"/>
      <c r="BW270" s="926"/>
      <c r="BX270" s="926"/>
      <c r="BY270" s="926"/>
      <c r="BZ270" s="926"/>
      <c r="CA270" s="926"/>
      <c r="CB270" s="926"/>
      <c r="CC270" s="926"/>
      <c r="CD270" s="926"/>
      <c r="CE270" s="926"/>
      <c r="CF270" s="926"/>
      <c r="CG270" s="926"/>
      <c r="CH270" s="926"/>
      <c r="CI270" s="926"/>
      <c r="CJ270" s="926"/>
      <c r="CK270" s="926"/>
      <c r="CL270" s="926"/>
      <c r="CM270" s="926"/>
      <c r="CN270" s="926"/>
      <c r="CO270" s="926"/>
      <c r="CP270" s="926"/>
      <c r="CQ270" s="926"/>
      <c r="CR270" s="926"/>
      <c r="CS270" s="926"/>
      <c r="CT270" s="926"/>
      <c r="CU270" s="926"/>
      <c r="CV270" s="926"/>
      <c r="CW270" s="926"/>
      <c r="CX270" s="926"/>
      <c r="CY270" s="926"/>
      <c r="CZ270" s="926"/>
      <c r="DA270" s="926"/>
      <c r="DB270" s="926"/>
      <c r="DC270" s="926"/>
      <c r="DD270" s="926"/>
      <c r="DE270" s="926"/>
      <c r="DF270" s="926"/>
      <c r="DG270" s="926"/>
      <c r="DH270" s="926"/>
      <c r="DI270" s="926"/>
      <c r="DJ270" s="926"/>
      <c r="DK270" s="926"/>
      <c r="DL270" s="926"/>
      <c r="DM270" s="926"/>
      <c r="DN270" s="926"/>
      <c r="DO270" s="926"/>
      <c r="DP270" s="926"/>
      <c r="DQ270" s="926"/>
      <c r="DR270" s="926"/>
      <c r="DS270" s="926"/>
      <c r="DT270" s="926"/>
      <c r="DU270" s="926"/>
      <c r="DV270" s="926"/>
      <c r="DW270" s="926"/>
      <c r="DX270" s="926"/>
      <c r="DY270" s="926"/>
      <c r="DZ270" s="926"/>
      <c r="EA270" s="926"/>
      <c r="EB270" s="926"/>
      <c r="EC270" s="926"/>
      <c r="ED270" s="926"/>
      <c r="EE270" s="926"/>
      <c r="EF270" s="926"/>
      <c r="EG270" s="926"/>
      <c r="EH270" s="926"/>
      <c r="EI270" s="926"/>
      <c r="EJ270" s="926"/>
      <c r="EK270" s="926"/>
      <c r="EL270" s="926"/>
      <c r="EM270" s="926"/>
      <c r="EN270" s="926"/>
      <c r="EO270" s="926"/>
      <c r="EP270" s="926"/>
      <c r="EQ270" s="926"/>
      <c r="ER270" s="926"/>
      <c r="ES270" s="926"/>
      <c r="ET270" s="926"/>
      <c r="EU270" s="926"/>
      <c r="EV270" s="926"/>
      <c r="EW270" s="926"/>
      <c r="EX270" s="926"/>
      <c r="EY270" s="926"/>
      <c r="EZ270" s="926"/>
      <c r="FA270" s="926"/>
      <c r="FB270" s="926"/>
      <c r="FC270" s="926"/>
      <c r="FD270" s="926"/>
      <c r="FE270" s="926"/>
      <c r="FF270" s="926"/>
      <c r="FG270" s="926"/>
      <c r="FH270" s="926"/>
      <c r="FI270" s="926"/>
      <c r="FJ270" s="926"/>
      <c r="FK270" s="926"/>
      <c r="FL270" s="926"/>
      <c r="FM270" s="926"/>
      <c r="FN270" s="926"/>
      <c r="FO270" s="926"/>
      <c r="FP270" s="926"/>
      <c r="FQ270" s="926"/>
      <c r="FR270" s="926"/>
      <c r="FS270" s="926"/>
      <c r="FT270" s="926"/>
      <c r="FU270" s="926"/>
      <c r="FV270" s="926"/>
      <c r="FW270" s="926"/>
      <c r="FX270" s="926"/>
      <c r="FY270" s="926"/>
      <c r="FZ270" s="926"/>
      <c r="GA270" s="926"/>
      <c r="GB270" s="926"/>
      <c r="GC270" s="926"/>
      <c r="GD270" s="926"/>
      <c r="GE270" s="926"/>
      <c r="GF270" s="926"/>
      <c r="GG270" s="926"/>
      <c r="GH270" s="926"/>
      <c r="GI270" s="926"/>
      <c r="GJ270" s="926"/>
      <c r="GK270" s="926"/>
      <c r="GL270" s="926"/>
      <c r="GM270" s="926"/>
      <c r="GN270" s="926"/>
      <c r="GO270" s="926"/>
      <c r="GP270" s="926"/>
      <c r="GQ270" s="926"/>
      <c r="GR270" s="926"/>
      <c r="GS270" s="926"/>
      <c r="GT270" s="926"/>
      <c r="GU270" s="926"/>
      <c r="GV270" s="926"/>
      <c r="GW270" s="926"/>
      <c r="GX270" s="926"/>
      <c r="GY270" s="926"/>
      <c r="GZ270" s="926"/>
      <c r="HA270" s="926"/>
      <c r="HB270" s="926"/>
      <c r="HC270" s="926"/>
      <c r="HD270" s="926"/>
      <c r="HE270" s="926"/>
      <c r="HF270" s="926"/>
      <c r="HG270" s="926"/>
      <c r="HH270" s="926"/>
      <c r="HI270" s="926"/>
      <c r="HJ270" s="926"/>
      <c r="HK270" s="926"/>
      <c r="HL270" s="926"/>
      <c r="HM270" s="926"/>
      <c r="HN270" s="926"/>
      <c r="HO270" s="926"/>
      <c r="HP270" s="926"/>
      <c r="HQ270" s="926"/>
      <c r="HR270" s="926"/>
      <c r="HS270" s="926"/>
      <c r="HT270" s="926"/>
      <c r="HU270" s="926"/>
      <c r="HV270" s="926"/>
      <c r="HW270" s="926"/>
      <c r="HX270" s="926"/>
      <c r="HY270" s="926"/>
      <c r="HZ270" s="926"/>
      <c r="IA270" s="926"/>
      <c r="IB270" s="926"/>
      <c r="IC270" s="926"/>
      <c r="ID270" s="926"/>
      <c r="IE270" s="926"/>
      <c r="IF270" s="926"/>
      <c r="IG270" s="926"/>
      <c r="IH270" s="926"/>
      <c r="II270" s="926"/>
      <c r="IJ270" s="926"/>
      <c r="IK270" s="926"/>
      <c r="IL270" s="926"/>
      <c r="IM270" s="926"/>
    </row>
    <row r="271" spans="1:247" x14ac:dyDescent="0.45">
      <c r="A271" s="441">
        <v>8926</v>
      </c>
      <c r="B271" s="939" t="s">
        <v>2808</v>
      </c>
      <c r="C271" s="47" t="s">
        <v>88</v>
      </c>
      <c r="D271" s="449" t="s">
        <v>2537</v>
      </c>
      <c r="E271" s="946"/>
      <c r="F271" s="941">
        <f t="shared" si="56"/>
        <v>1.0209999999999999</v>
      </c>
      <c r="G271" s="947">
        <f>+$G$3</f>
        <v>1.0269999999999999</v>
      </c>
      <c r="H271" s="946"/>
      <c r="I271" s="948"/>
      <c r="J271" s="948"/>
      <c r="K271" s="948"/>
      <c r="L271" s="948"/>
      <c r="M271" s="948"/>
      <c r="N271" s="947">
        <f>+$N$3</f>
        <v>1.0029999999999999</v>
      </c>
      <c r="O271" s="949"/>
      <c r="P271" s="946"/>
      <c r="Q271" s="947"/>
      <c r="R271" s="950">
        <f t="shared" si="57"/>
        <v>1.0517127009999996</v>
      </c>
      <c r="S271" s="926"/>
      <c r="T271" s="926"/>
      <c r="U271" s="926"/>
      <c r="V271" s="926"/>
      <c r="W271" s="926"/>
      <c r="X271" s="926"/>
      <c r="Y271" s="926"/>
      <c r="Z271" s="926"/>
      <c r="AA271" s="926"/>
      <c r="AB271" s="926"/>
      <c r="AC271" s="926"/>
      <c r="AD271" s="926"/>
      <c r="AE271" s="926"/>
      <c r="AF271" s="926"/>
      <c r="AG271" s="926"/>
      <c r="AH271" s="926"/>
      <c r="AI271" s="926"/>
      <c r="AJ271" s="926"/>
      <c r="AK271" s="926"/>
      <c r="AL271" s="926"/>
      <c r="AM271" s="926"/>
      <c r="AN271" s="926"/>
      <c r="AO271" s="926"/>
      <c r="AP271" s="926"/>
      <c r="AQ271" s="926"/>
      <c r="AR271" s="926"/>
      <c r="AS271" s="926"/>
      <c r="AT271" s="926"/>
      <c r="AU271" s="926"/>
      <c r="AV271" s="926"/>
      <c r="AW271" s="926"/>
      <c r="AX271" s="926"/>
      <c r="AY271" s="926"/>
      <c r="AZ271" s="926"/>
      <c r="BA271" s="926"/>
      <c r="BB271" s="926"/>
      <c r="BC271" s="926"/>
      <c r="BD271" s="926"/>
      <c r="BE271" s="926"/>
      <c r="BF271" s="926"/>
      <c r="BG271" s="926"/>
      <c r="BH271" s="926"/>
      <c r="BI271" s="926"/>
      <c r="BJ271" s="926"/>
      <c r="BK271" s="926"/>
      <c r="BL271" s="926"/>
      <c r="BM271" s="926"/>
      <c r="BN271" s="926"/>
      <c r="BO271" s="926"/>
      <c r="BP271" s="926"/>
      <c r="BQ271" s="926"/>
      <c r="BR271" s="926"/>
      <c r="BS271" s="926"/>
      <c r="BT271" s="926"/>
      <c r="BU271" s="926"/>
      <c r="BV271" s="926"/>
      <c r="BW271" s="926"/>
      <c r="BX271" s="926"/>
      <c r="BY271" s="926"/>
      <c r="BZ271" s="926"/>
      <c r="CA271" s="926"/>
      <c r="CB271" s="926"/>
      <c r="CC271" s="926"/>
      <c r="CD271" s="926"/>
      <c r="CE271" s="926"/>
      <c r="CF271" s="926"/>
      <c r="CG271" s="926"/>
      <c r="CH271" s="926"/>
      <c r="CI271" s="926"/>
      <c r="CJ271" s="926"/>
      <c r="CK271" s="926"/>
      <c r="CL271" s="926"/>
      <c r="CM271" s="926"/>
      <c r="CN271" s="926"/>
      <c r="CO271" s="926"/>
      <c r="CP271" s="926"/>
      <c r="CQ271" s="926"/>
      <c r="CR271" s="926"/>
      <c r="CS271" s="926"/>
      <c r="CT271" s="926"/>
      <c r="CU271" s="926"/>
      <c r="CV271" s="926"/>
      <c r="CW271" s="926"/>
      <c r="CX271" s="926"/>
      <c r="CY271" s="926"/>
      <c r="CZ271" s="926"/>
      <c r="DA271" s="926"/>
      <c r="DB271" s="926"/>
      <c r="DC271" s="926"/>
      <c r="DD271" s="926"/>
      <c r="DE271" s="926"/>
      <c r="DF271" s="926"/>
      <c r="DG271" s="926"/>
      <c r="DH271" s="926"/>
      <c r="DI271" s="926"/>
      <c r="DJ271" s="926"/>
      <c r="DK271" s="926"/>
      <c r="DL271" s="926"/>
      <c r="DM271" s="926"/>
      <c r="DN271" s="926"/>
      <c r="DO271" s="926"/>
      <c r="DP271" s="926"/>
      <c r="DQ271" s="926"/>
      <c r="DR271" s="926"/>
      <c r="DS271" s="926"/>
      <c r="DT271" s="926"/>
      <c r="DU271" s="926"/>
      <c r="DV271" s="926"/>
      <c r="DW271" s="926"/>
      <c r="DX271" s="926"/>
      <c r="DY271" s="926"/>
      <c r="DZ271" s="926"/>
      <c r="EA271" s="926"/>
      <c r="EB271" s="926"/>
      <c r="EC271" s="926"/>
      <c r="ED271" s="926"/>
      <c r="EE271" s="926"/>
      <c r="EF271" s="926"/>
      <c r="EG271" s="926"/>
      <c r="EH271" s="926"/>
      <c r="EI271" s="926"/>
      <c r="EJ271" s="926"/>
      <c r="EK271" s="926"/>
      <c r="EL271" s="926"/>
      <c r="EM271" s="926"/>
      <c r="EN271" s="926"/>
      <c r="EO271" s="926"/>
      <c r="EP271" s="926"/>
      <c r="EQ271" s="926"/>
      <c r="ER271" s="926"/>
      <c r="ES271" s="926"/>
      <c r="ET271" s="926"/>
      <c r="EU271" s="926"/>
      <c r="EV271" s="926"/>
      <c r="EW271" s="926"/>
      <c r="EX271" s="926"/>
      <c r="EY271" s="926"/>
      <c r="EZ271" s="926"/>
      <c r="FA271" s="926"/>
      <c r="FB271" s="926"/>
      <c r="FC271" s="926"/>
      <c r="FD271" s="926"/>
      <c r="FE271" s="926"/>
      <c r="FF271" s="926"/>
      <c r="FG271" s="926"/>
      <c r="FH271" s="926"/>
      <c r="FI271" s="926"/>
      <c r="FJ271" s="926"/>
      <c r="FK271" s="926"/>
      <c r="FL271" s="926"/>
      <c r="FM271" s="926"/>
      <c r="FN271" s="926"/>
      <c r="FO271" s="926"/>
      <c r="FP271" s="926"/>
      <c r="FQ271" s="926"/>
      <c r="FR271" s="926"/>
      <c r="FS271" s="926"/>
      <c r="FT271" s="926"/>
      <c r="FU271" s="926"/>
      <c r="FV271" s="926"/>
      <c r="FW271" s="926"/>
      <c r="FX271" s="926"/>
      <c r="FY271" s="926"/>
      <c r="FZ271" s="926"/>
      <c r="GA271" s="926"/>
      <c r="GB271" s="926"/>
      <c r="GC271" s="926"/>
      <c r="GD271" s="926"/>
      <c r="GE271" s="926"/>
      <c r="GF271" s="926"/>
      <c r="GG271" s="926"/>
      <c r="GH271" s="926"/>
      <c r="GI271" s="926"/>
      <c r="GJ271" s="926"/>
      <c r="GK271" s="926"/>
      <c r="GL271" s="926"/>
      <c r="GM271" s="926"/>
      <c r="GN271" s="926"/>
      <c r="GO271" s="926"/>
      <c r="GP271" s="926"/>
      <c r="GQ271" s="926"/>
      <c r="GR271" s="926"/>
      <c r="GS271" s="926"/>
      <c r="GT271" s="926"/>
      <c r="GU271" s="926"/>
      <c r="GV271" s="926"/>
      <c r="GW271" s="926"/>
      <c r="GX271" s="926"/>
      <c r="GY271" s="926"/>
      <c r="GZ271" s="926"/>
      <c r="HA271" s="926"/>
      <c r="HB271" s="926"/>
      <c r="HC271" s="926"/>
      <c r="HD271" s="926"/>
      <c r="HE271" s="926"/>
      <c r="HF271" s="926"/>
      <c r="HG271" s="926"/>
      <c r="HH271" s="926"/>
      <c r="HI271" s="926"/>
      <c r="HJ271" s="926"/>
      <c r="HK271" s="926"/>
      <c r="HL271" s="926"/>
      <c r="HM271" s="926"/>
      <c r="HN271" s="926"/>
      <c r="HO271" s="926"/>
      <c r="HP271" s="926"/>
      <c r="HQ271" s="926"/>
      <c r="HR271" s="926"/>
      <c r="HS271" s="926"/>
      <c r="HT271" s="926"/>
      <c r="HU271" s="926"/>
      <c r="HV271" s="926"/>
      <c r="HW271" s="926"/>
      <c r="HX271" s="926"/>
      <c r="HY271" s="926"/>
      <c r="HZ271" s="926"/>
      <c r="IA271" s="926"/>
      <c r="IB271" s="926"/>
      <c r="IC271" s="926"/>
      <c r="ID271" s="926"/>
      <c r="IE271" s="926"/>
      <c r="IF271" s="926"/>
      <c r="IG271" s="926"/>
      <c r="IH271" s="926"/>
      <c r="II271" s="926"/>
      <c r="IJ271" s="926"/>
      <c r="IK271" s="926"/>
      <c r="IL271" s="926"/>
      <c r="IM271" s="926"/>
    </row>
    <row r="272" spans="1:247" x14ac:dyDescent="0.45">
      <c r="A272" s="441">
        <v>8927</v>
      </c>
      <c r="B272" s="939" t="s">
        <v>2809</v>
      </c>
      <c r="C272" s="47" t="s">
        <v>88</v>
      </c>
      <c r="D272" s="449" t="s">
        <v>2537</v>
      </c>
      <c r="E272" s="946"/>
      <c r="F272" s="941">
        <f t="shared" si="56"/>
        <v>1.0209999999999999</v>
      </c>
      <c r="G272" s="947"/>
      <c r="H272" s="946"/>
      <c r="I272" s="948"/>
      <c r="J272" s="948"/>
      <c r="K272" s="948"/>
      <c r="L272" s="948"/>
      <c r="M272" s="948"/>
      <c r="N272" s="947"/>
      <c r="O272" s="949"/>
      <c r="P272" s="946"/>
      <c r="Q272" s="947"/>
      <c r="R272" s="950">
        <f t="shared" si="57"/>
        <v>1.0209999999999999</v>
      </c>
      <c r="S272" s="926"/>
      <c r="T272" s="926"/>
      <c r="U272" s="926"/>
      <c r="V272" s="926"/>
      <c r="W272" s="926"/>
      <c r="X272" s="926"/>
      <c r="Y272" s="926"/>
      <c r="Z272" s="926"/>
      <c r="AA272" s="926"/>
      <c r="AB272" s="926"/>
      <c r="AC272" s="926"/>
      <c r="AD272" s="926"/>
      <c r="AE272" s="926"/>
      <c r="AF272" s="926"/>
      <c r="AG272" s="926"/>
      <c r="AH272" s="926"/>
      <c r="AI272" s="926"/>
      <c r="AJ272" s="926"/>
      <c r="AK272" s="926"/>
      <c r="AL272" s="926"/>
      <c r="AM272" s="926"/>
      <c r="AN272" s="926"/>
      <c r="AO272" s="926"/>
      <c r="AP272" s="926"/>
      <c r="AQ272" s="926"/>
      <c r="AR272" s="926"/>
      <c r="AS272" s="926"/>
      <c r="AT272" s="926"/>
      <c r="AU272" s="926"/>
      <c r="AV272" s="926"/>
      <c r="AW272" s="926"/>
      <c r="AX272" s="926"/>
      <c r="AY272" s="926"/>
      <c r="AZ272" s="926"/>
      <c r="BA272" s="926"/>
      <c r="BB272" s="926"/>
      <c r="BC272" s="926"/>
      <c r="BD272" s="926"/>
      <c r="BE272" s="926"/>
      <c r="BF272" s="926"/>
      <c r="BG272" s="926"/>
      <c r="BH272" s="926"/>
      <c r="BI272" s="926"/>
      <c r="BJ272" s="926"/>
      <c r="BK272" s="926"/>
      <c r="BL272" s="926"/>
      <c r="BM272" s="926"/>
      <c r="BN272" s="926"/>
      <c r="BO272" s="926"/>
      <c r="BP272" s="926"/>
      <c r="BQ272" s="926"/>
      <c r="BR272" s="926"/>
      <c r="BS272" s="926"/>
      <c r="BT272" s="926"/>
      <c r="BU272" s="926"/>
      <c r="BV272" s="926"/>
      <c r="BW272" s="926"/>
      <c r="BX272" s="926"/>
      <c r="BY272" s="926"/>
      <c r="BZ272" s="926"/>
      <c r="CA272" s="926"/>
      <c r="CB272" s="926"/>
      <c r="CC272" s="926"/>
      <c r="CD272" s="926"/>
      <c r="CE272" s="926"/>
      <c r="CF272" s="926"/>
      <c r="CG272" s="926"/>
      <c r="CH272" s="926"/>
      <c r="CI272" s="926"/>
      <c r="CJ272" s="926"/>
      <c r="CK272" s="926"/>
      <c r="CL272" s="926"/>
      <c r="CM272" s="926"/>
      <c r="CN272" s="926"/>
      <c r="CO272" s="926"/>
      <c r="CP272" s="926"/>
      <c r="CQ272" s="926"/>
      <c r="CR272" s="926"/>
      <c r="CS272" s="926"/>
      <c r="CT272" s="926"/>
      <c r="CU272" s="926"/>
      <c r="CV272" s="926"/>
      <c r="CW272" s="926"/>
      <c r="CX272" s="926"/>
      <c r="CY272" s="926"/>
      <c r="CZ272" s="926"/>
      <c r="DA272" s="926"/>
      <c r="DB272" s="926"/>
      <c r="DC272" s="926"/>
      <c r="DD272" s="926"/>
      <c r="DE272" s="926"/>
      <c r="DF272" s="926"/>
      <c r="DG272" s="926"/>
      <c r="DH272" s="926"/>
      <c r="DI272" s="926"/>
      <c r="DJ272" s="926"/>
      <c r="DK272" s="926"/>
      <c r="DL272" s="926"/>
      <c r="DM272" s="926"/>
      <c r="DN272" s="926"/>
      <c r="DO272" s="926"/>
      <c r="DP272" s="926"/>
      <c r="DQ272" s="926"/>
      <c r="DR272" s="926"/>
      <c r="DS272" s="926"/>
      <c r="DT272" s="926"/>
      <c r="DU272" s="926"/>
      <c r="DV272" s="926"/>
      <c r="DW272" s="926"/>
      <c r="DX272" s="926"/>
      <c r="DY272" s="926"/>
      <c r="DZ272" s="926"/>
      <c r="EA272" s="926"/>
      <c r="EB272" s="926"/>
      <c r="EC272" s="926"/>
      <c r="ED272" s="926"/>
      <c r="EE272" s="926"/>
      <c r="EF272" s="926"/>
      <c r="EG272" s="926"/>
      <c r="EH272" s="926"/>
      <c r="EI272" s="926"/>
      <c r="EJ272" s="926"/>
      <c r="EK272" s="926"/>
      <c r="EL272" s="926"/>
      <c r="EM272" s="926"/>
      <c r="EN272" s="926"/>
      <c r="EO272" s="926"/>
      <c r="EP272" s="926"/>
      <c r="EQ272" s="926"/>
      <c r="ER272" s="926"/>
      <c r="ES272" s="926"/>
      <c r="ET272" s="926"/>
      <c r="EU272" s="926"/>
      <c r="EV272" s="926"/>
      <c r="EW272" s="926"/>
      <c r="EX272" s="926"/>
      <c r="EY272" s="926"/>
      <c r="EZ272" s="926"/>
      <c r="FA272" s="926"/>
      <c r="FB272" s="926"/>
      <c r="FC272" s="926"/>
      <c r="FD272" s="926"/>
      <c r="FE272" s="926"/>
      <c r="FF272" s="926"/>
      <c r="FG272" s="926"/>
      <c r="FH272" s="926"/>
      <c r="FI272" s="926"/>
      <c r="FJ272" s="926"/>
      <c r="FK272" s="926"/>
      <c r="FL272" s="926"/>
      <c r="FM272" s="926"/>
      <c r="FN272" s="926"/>
      <c r="FO272" s="926"/>
      <c r="FP272" s="926"/>
      <c r="FQ272" s="926"/>
      <c r="FR272" s="926"/>
      <c r="FS272" s="926"/>
      <c r="FT272" s="926"/>
      <c r="FU272" s="926"/>
      <c r="FV272" s="926"/>
      <c r="FW272" s="926"/>
      <c r="FX272" s="926"/>
      <c r="FY272" s="926"/>
      <c r="FZ272" s="926"/>
      <c r="GA272" s="926"/>
      <c r="GB272" s="926"/>
      <c r="GC272" s="926"/>
      <c r="GD272" s="926"/>
      <c r="GE272" s="926"/>
      <c r="GF272" s="926"/>
      <c r="GG272" s="926"/>
      <c r="GH272" s="926"/>
      <c r="GI272" s="926"/>
      <c r="GJ272" s="926"/>
      <c r="GK272" s="926"/>
      <c r="GL272" s="926"/>
      <c r="GM272" s="926"/>
      <c r="GN272" s="926"/>
      <c r="GO272" s="926"/>
      <c r="GP272" s="926"/>
      <c r="GQ272" s="926"/>
      <c r="GR272" s="926"/>
      <c r="GS272" s="926"/>
      <c r="GT272" s="926"/>
      <c r="GU272" s="926"/>
      <c r="GV272" s="926"/>
      <c r="GW272" s="926"/>
      <c r="GX272" s="926"/>
      <c r="GY272" s="926"/>
      <c r="GZ272" s="926"/>
      <c r="HA272" s="926"/>
      <c r="HB272" s="926"/>
      <c r="HC272" s="926"/>
      <c r="HD272" s="926"/>
      <c r="HE272" s="926"/>
      <c r="HF272" s="926"/>
      <c r="HG272" s="926"/>
      <c r="HH272" s="926"/>
      <c r="HI272" s="926"/>
      <c r="HJ272" s="926"/>
      <c r="HK272" s="926"/>
      <c r="HL272" s="926"/>
      <c r="HM272" s="926"/>
      <c r="HN272" s="926"/>
      <c r="HO272" s="926"/>
      <c r="HP272" s="926"/>
      <c r="HQ272" s="926"/>
      <c r="HR272" s="926"/>
      <c r="HS272" s="926"/>
      <c r="HT272" s="926"/>
      <c r="HU272" s="926"/>
      <c r="HV272" s="926"/>
      <c r="HW272" s="926"/>
      <c r="HX272" s="926"/>
      <c r="HY272" s="926"/>
      <c r="HZ272" s="926"/>
      <c r="IA272" s="926"/>
      <c r="IB272" s="926"/>
      <c r="IC272" s="926"/>
      <c r="ID272" s="926"/>
      <c r="IE272" s="926"/>
      <c r="IF272" s="926"/>
      <c r="IG272" s="926"/>
      <c r="IH272" s="926"/>
      <c r="II272" s="926"/>
      <c r="IJ272" s="926"/>
      <c r="IK272" s="926"/>
      <c r="IL272" s="926"/>
      <c r="IM272" s="926"/>
    </row>
    <row r="273" spans="1:247" x14ac:dyDescent="0.45">
      <c r="A273" s="441">
        <v>8928</v>
      </c>
      <c r="B273" s="939" t="s">
        <v>2810</v>
      </c>
      <c r="C273" s="47" t="s">
        <v>88</v>
      </c>
      <c r="D273" s="449" t="s">
        <v>2537</v>
      </c>
      <c r="E273" s="946"/>
      <c r="F273" s="941">
        <f t="shared" si="56"/>
        <v>1.0209999999999999</v>
      </c>
      <c r="G273" s="947"/>
      <c r="H273" s="946"/>
      <c r="I273" s="948"/>
      <c r="J273" s="948"/>
      <c r="K273" s="948"/>
      <c r="L273" s="948"/>
      <c r="M273" s="948"/>
      <c r="N273" s="947"/>
      <c r="O273" s="949"/>
      <c r="P273" s="946"/>
      <c r="Q273" s="947"/>
      <c r="R273" s="950">
        <f t="shared" si="57"/>
        <v>1.0209999999999999</v>
      </c>
      <c r="S273" s="926"/>
      <c r="T273" s="926"/>
      <c r="U273" s="926"/>
      <c r="V273" s="926"/>
      <c r="W273" s="926"/>
      <c r="X273" s="926"/>
      <c r="Y273" s="926"/>
      <c r="Z273" s="926"/>
      <c r="AA273" s="926"/>
      <c r="AB273" s="926"/>
      <c r="AC273" s="926"/>
      <c r="AD273" s="926"/>
      <c r="AE273" s="926"/>
      <c r="AF273" s="926"/>
      <c r="AG273" s="926"/>
      <c r="AH273" s="926"/>
      <c r="AI273" s="926"/>
      <c r="AJ273" s="926"/>
      <c r="AK273" s="926"/>
      <c r="AL273" s="926"/>
      <c r="AM273" s="926"/>
      <c r="AN273" s="926"/>
      <c r="AO273" s="926"/>
      <c r="AP273" s="926"/>
      <c r="AQ273" s="926"/>
      <c r="AR273" s="926"/>
      <c r="AS273" s="926"/>
      <c r="AT273" s="926"/>
      <c r="AU273" s="926"/>
      <c r="AV273" s="926"/>
      <c r="AW273" s="926"/>
      <c r="AX273" s="926"/>
      <c r="AY273" s="926"/>
      <c r="AZ273" s="926"/>
      <c r="BA273" s="926"/>
      <c r="BB273" s="926"/>
      <c r="BC273" s="926"/>
      <c r="BD273" s="926"/>
      <c r="BE273" s="926"/>
      <c r="BF273" s="926"/>
      <c r="BG273" s="926"/>
      <c r="BH273" s="926"/>
      <c r="BI273" s="926"/>
      <c r="BJ273" s="926"/>
      <c r="BK273" s="926"/>
      <c r="BL273" s="926"/>
      <c r="BM273" s="926"/>
      <c r="BN273" s="926"/>
      <c r="BO273" s="926"/>
      <c r="BP273" s="926"/>
      <c r="BQ273" s="926"/>
      <c r="BR273" s="926"/>
      <c r="BS273" s="926"/>
      <c r="BT273" s="926"/>
      <c r="BU273" s="926"/>
      <c r="BV273" s="926"/>
      <c r="BW273" s="926"/>
      <c r="BX273" s="926"/>
      <c r="BY273" s="926"/>
      <c r="BZ273" s="926"/>
      <c r="CA273" s="926"/>
      <c r="CB273" s="926"/>
      <c r="CC273" s="926"/>
      <c r="CD273" s="926"/>
      <c r="CE273" s="926"/>
      <c r="CF273" s="926"/>
      <c r="CG273" s="926"/>
      <c r="CH273" s="926"/>
      <c r="CI273" s="926"/>
      <c r="CJ273" s="926"/>
      <c r="CK273" s="926"/>
      <c r="CL273" s="926"/>
      <c r="CM273" s="926"/>
      <c r="CN273" s="926"/>
      <c r="CO273" s="926"/>
      <c r="CP273" s="926"/>
      <c r="CQ273" s="926"/>
      <c r="CR273" s="926"/>
      <c r="CS273" s="926"/>
      <c r="CT273" s="926"/>
      <c r="CU273" s="926"/>
      <c r="CV273" s="926"/>
      <c r="CW273" s="926"/>
      <c r="CX273" s="926"/>
      <c r="CY273" s="926"/>
      <c r="CZ273" s="926"/>
      <c r="DA273" s="926"/>
      <c r="DB273" s="926"/>
      <c r="DC273" s="926"/>
      <c r="DD273" s="926"/>
      <c r="DE273" s="926"/>
      <c r="DF273" s="926"/>
      <c r="DG273" s="926"/>
      <c r="DH273" s="926"/>
      <c r="DI273" s="926"/>
      <c r="DJ273" s="926"/>
      <c r="DK273" s="926"/>
      <c r="DL273" s="926"/>
      <c r="DM273" s="926"/>
      <c r="DN273" s="926"/>
      <c r="DO273" s="926"/>
      <c r="DP273" s="926"/>
      <c r="DQ273" s="926"/>
      <c r="DR273" s="926"/>
      <c r="DS273" s="926"/>
      <c r="DT273" s="926"/>
      <c r="DU273" s="926"/>
      <c r="DV273" s="926"/>
      <c r="DW273" s="926"/>
      <c r="DX273" s="926"/>
      <c r="DY273" s="926"/>
      <c r="DZ273" s="926"/>
      <c r="EA273" s="926"/>
      <c r="EB273" s="926"/>
      <c r="EC273" s="926"/>
      <c r="ED273" s="926"/>
      <c r="EE273" s="926"/>
      <c r="EF273" s="926"/>
      <c r="EG273" s="926"/>
      <c r="EH273" s="926"/>
      <c r="EI273" s="926"/>
      <c r="EJ273" s="926"/>
      <c r="EK273" s="926"/>
      <c r="EL273" s="926"/>
      <c r="EM273" s="926"/>
      <c r="EN273" s="926"/>
      <c r="EO273" s="926"/>
      <c r="EP273" s="926"/>
      <c r="EQ273" s="926"/>
      <c r="ER273" s="926"/>
      <c r="ES273" s="926"/>
      <c r="ET273" s="926"/>
      <c r="EU273" s="926"/>
      <c r="EV273" s="926"/>
      <c r="EW273" s="926"/>
      <c r="EX273" s="926"/>
      <c r="EY273" s="926"/>
      <c r="EZ273" s="926"/>
      <c r="FA273" s="926"/>
      <c r="FB273" s="926"/>
      <c r="FC273" s="926"/>
      <c r="FD273" s="926"/>
      <c r="FE273" s="926"/>
      <c r="FF273" s="926"/>
      <c r="FG273" s="926"/>
      <c r="FH273" s="926"/>
      <c r="FI273" s="926"/>
      <c r="FJ273" s="926"/>
      <c r="FK273" s="926"/>
      <c r="FL273" s="926"/>
      <c r="FM273" s="926"/>
      <c r="FN273" s="926"/>
      <c r="FO273" s="926"/>
      <c r="FP273" s="926"/>
      <c r="FQ273" s="926"/>
      <c r="FR273" s="926"/>
      <c r="FS273" s="926"/>
      <c r="FT273" s="926"/>
      <c r="FU273" s="926"/>
      <c r="FV273" s="926"/>
      <c r="FW273" s="926"/>
      <c r="FX273" s="926"/>
      <c r="FY273" s="926"/>
      <c r="FZ273" s="926"/>
      <c r="GA273" s="926"/>
      <c r="GB273" s="926"/>
      <c r="GC273" s="926"/>
      <c r="GD273" s="926"/>
      <c r="GE273" s="926"/>
      <c r="GF273" s="926"/>
      <c r="GG273" s="926"/>
      <c r="GH273" s="926"/>
      <c r="GI273" s="926"/>
      <c r="GJ273" s="926"/>
      <c r="GK273" s="926"/>
      <c r="GL273" s="926"/>
      <c r="GM273" s="926"/>
      <c r="GN273" s="926"/>
      <c r="GO273" s="926"/>
      <c r="GP273" s="926"/>
      <c r="GQ273" s="926"/>
      <c r="GR273" s="926"/>
      <c r="GS273" s="926"/>
      <c r="GT273" s="926"/>
      <c r="GU273" s="926"/>
      <c r="GV273" s="926"/>
      <c r="GW273" s="926"/>
      <c r="GX273" s="926"/>
      <c r="GY273" s="926"/>
      <c r="GZ273" s="926"/>
      <c r="HA273" s="926"/>
      <c r="HB273" s="926"/>
      <c r="HC273" s="926"/>
      <c r="HD273" s="926"/>
      <c r="HE273" s="926"/>
      <c r="HF273" s="926"/>
      <c r="HG273" s="926"/>
      <c r="HH273" s="926"/>
      <c r="HI273" s="926"/>
      <c r="HJ273" s="926"/>
      <c r="HK273" s="926"/>
      <c r="HL273" s="926"/>
      <c r="HM273" s="926"/>
      <c r="HN273" s="926"/>
      <c r="HO273" s="926"/>
      <c r="HP273" s="926"/>
      <c r="HQ273" s="926"/>
      <c r="HR273" s="926"/>
      <c r="HS273" s="926"/>
      <c r="HT273" s="926"/>
      <c r="HU273" s="926"/>
      <c r="HV273" s="926"/>
      <c r="HW273" s="926"/>
      <c r="HX273" s="926"/>
      <c r="HY273" s="926"/>
      <c r="HZ273" s="926"/>
      <c r="IA273" s="926"/>
      <c r="IB273" s="926"/>
      <c r="IC273" s="926"/>
      <c r="ID273" s="926"/>
      <c r="IE273" s="926"/>
      <c r="IF273" s="926"/>
      <c r="IG273" s="926"/>
      <c r="IH273" s="926"/>
      <c r="II273" s="926"/>
      <c r="IJ273" s="926"/>
      <c r="IK273" s="926"/>
      <c r="IL273" s="926"/>
      <c r="IM273" s="926"/>
    </row>
    <row r="274" spans="1:247" x14ac:dyDescent="0.45">
      <c r="A274" s="441">
        <v>8929</v>
      </c>
      <c r="B274" s="939" t="s">
        <v>2811</v>
      </c>
      <c r="C274" s="47" t="s">
        <v>88</v>
      </c>
      <c r="D274" s="449" t="s">
        <v>2537</v>
      </c>
      <c r="E274" s="946"/>
      <c r="F274" s="941">
        <f t="shared" si="56"/>
        <v>1.0209999999999999</v>
      </c>
      <c r="G274" s="947"/>
      <c r="H274" s="946"/>
      <c r="I274" s="948"/>
      <c r="J274" s="948"/>
      <c r="K274" s="948"/>
      <c r="L274" s="948"/>
      <c r="M274" s="948"/>
      <c r="N274" s="947"/>
      <c r="O274" s="949"/>
      <c r="P274" s="946"/>
      <c r="Q274" s="947"/>
      <c r="R274" s="950">
        <f t="shared" si="57"/>
        <v>1.0209999999999999</v>
      </c>
      <c r="S274" s="926"/>
      <c r="T274" s="926"/>
      <c r="U274" s="926"/>
      <c r="V274" s="926"/>
      <c r="W274" s="926"/>
      <c r="X274" s="926"/>
      <c r="Y274" s="926"/>
      <c r="Z274" s="926"/>
      <c r="AA274" s="926"/>
      <c r="AB274" s="926"/>
      <c r="AC274" s="926"/>
      <c r="AD274" s="926"/>
      <c r="AE274" s="926"/>
      <c r="AF274" s="926"/>
      <c r="AG274" s="926"/>
      <c r="AH274" s="926"/>
      <c r="AI274" s="926"/>
      <c r="AJ274" s="926"/>
      <c r="AK274" s="926"/>
      <c r="AL274" s="926"/>
      <c r="AM274" s="926"/>
      <c r="AN274" s="926"/>
      <c r="AO274" s="926"/>
      <c r="AP274" s="926"/>
      <c r="AQ274" s="926"/>
      <c r="AR274" s="926"/>
      <c r="AS274" s="926"/>
      <c r="AT274" s="926"/>
      <c r="AU274" s="926"/>
      <c r="AV274" s="926"/>
      <c r="AW274" s="926"/>
      <c r="AX274" s="926"/>
      <c r="AY274" s="926"/>
      <c r="AZ274" s="926"/>
      <c r="BA274" s="926"/>
      <c r="BB274" s="926"/>
      <c r="BC274" s="926"/>
      <c r="BD274" s="926"/>
      <c r="BE274" s="926"/>
      <c r="BF274" s="926"/>
      <c r="BG274" s="926"/>
      <c r="BH274" s="926"/>
      <c r="BI274" s="926"/>
      <c r="BJ274" s="926"/>
      <c r="BK274" s="926"/>
      <c r="BL274" s="926"/>
      <c r="BM274" s="926"/>
      <c r="BN274" s="926"/>
      <c r="BO274" s="926"/>
      <c r="BP274" s="926"/>
      <c r="BQ274" s="926"/>
      <c r="BR274" s="926"/>
      <c r="BS274" s="926"/>
      <c r="BT274" s="926"/>
      <c r="BU274" s="926"/>
      <c r="BV274" s="926"/>
      <c r="BW274" s="926"/>
      <c r="BX274" s="926"/>
      <c r="BY274" s="926"/>
      <c r="BZ274" s="926"/>
      <c r="CA274" s="926"/>
      <c r="CB274" s="926"/>
      <c r="CC274" s="926"/>
      <c r="CD274" s="926"/>
      <c r="CE274" s="926"/>
      <c r="CF274" s="926"/>
      <c r="CG274" s="926"/>
      <c r="CH274" s="926"/>
      <c r="CI274" s="926"/>
      <c r="CJ274" s="926"/>
      <c r="CK274" s="926"/>
      <c r="CL274" s="926"/>
      <c r="CM274" s="926"/>
      <c r="CN274" s="926"/>
      <c r="CO274" s="926"/>
      <c r="CP274" s="926"/>
      <c r="CQ274" s="926"/>
      <c r="CR274" s="926"/>
      <c r="CS274" s="926"/>
      <c r="CT274" s="926"/>
      <c r="CU274" s="926"/>
      <c r="CV274" s="926"/>
      <c r="CW274" s="926"/>
      <c r="CX274" s="926"/>
      <c r="CY274" s="926"/>
      <c r="CZ274" s="926"/>
      <c r="DA274" s="926"/>
      <c r="DB274" s="926"/>
      <c r="DC274" s="926"/>
      <c r="DD274" s="926"/>
      <c r="DE274" s="926"/>
      <c r="DF274" s="926"/>
      <c r="DG274" s="926"/>
      <c r="DH274" s="926"/>
      <c r="DI274" s="926"/>
      <c r="DJ274" s="926"/>
      <c r="DK274" s="926"/>
      <c r="DL274" s="926"/>
      <c r="DM274" s="926"/>
      <c r="DN274" s="926"/>
      <c r="DO274" s="926"/>
      <c r="DP274" s="926"/>
      <c r="DQ274" s="926"/>
      <c r="DR274" s="926"/>
      <c r="DS274" s="926"/>
      <c r="DT274" s="926"/>
      <c r="DU274" s="926"/>
      <c r="DV274" s="926"/>
      <c r="DW274" s="926"/>
      <c r="DX274" s="926"/>
      <c r="DY274" s="926"/>
      <c r="DZ274" s="926"/>
      <c r="EA274" s="926"/>
      <c r="EB274" s="926"/>
      <c r="EC274" s="926"/>
      <c r="ED274" s="926"/>
      <c r="EE274" s="926"/>
      <c r="EF274" s="926"/>
      <c r="EG274" s="926"/>
      <c r="EH274" s="926"/>
      <c r="EI274" s="926"/>
      <c r="EJ274" s="926"/>
      <c r="EK274" s="926"/>
      <c r="EL274" s="926"/>
      <c r="EM274" s="926"/>
      <c r="EN274" s="926"/>
      <c r="EO274" s="926"/>
      <c r="EP274" s="926"/>
      <c r="EQ274" s="926"/>
      <c r="ER274" s="926"/>
      <c r="ES274" s="926"/>
      <c r="ET274" s="926"/>
      <c r="EU274" s="926"/>
      <c r="EV274" s="926"/>
      <c r="EW274" s="926"/>
      <c r="EX274" s="926"/>
      <c r="EY274" s="926"/>
      <c r="EZ274" s="926"/>
      <c r="FA274" s="926"/>
      <c r="FB274" s="926"/>
      <c r="FC274" s="926"/>
      <c r="FD274" s="926"/>
      <c r="FE274" s="926"/>
      <c r="FF274" s="926"/>
      <c r="FG274" s="926"/>
      <c r="FH274" s="926"/>
      <c r="FI274" s="926"/>
      <c r="FJ274" s="926"/>
      <c r="FK274" s="926"/>
      <c r="FL274" s="926"/>
      <c r="FM274" s="926"/>
      <c r="FN274" s="926"/>
      <c r="FO274" s="926"/>
      <c r="FP274" s="926"/>
      <c r="FQ274" s="926"/>
      <c r="FR274" s="926"/>
      <c r="FS274" s="926"/>
      <c r="FT274" s="926"/>
      <c r="FU274" s="926"/>
      <c r="FV274" s="926"/>
      <c r="FW274" s="926"/>
      <c r="FX274" s="926"/>
      <c r="FY274" s="926"/>
      <c r="FZ274" s="926"/>
      <c r="GA274" s="926"/>
      <c r="GB274" s="926"/>
      <c r="GC274" s="926"/>
      <c r="GD274" s="926"/>
      <c r="GE274" s="926"/>
      <c r="GF274" s="926"/>
      <c r="GG274" s="926"/>
      <c r="GH274" s="926"/>
      <c r="GI274" s="926"/>
      <c r="GJ274" s="926"/>
      <c r="GK274" s="926"/>
      <c r="GL274" s="926"/>
      <c r="GM274" s="926"/>
      <c r="GN274" s="926"/>
      <c r="GO274" s="926"/>
      <c r="GP274" s="926"/>
      <c r="GQ274" s="926"/>
      <c r="GR274" s="926"/>
      <c r="GS274" s="926"/>
      <c r="GT274" s="926"/>
      <c r="GU274" s="926"/>
      <c r="GV274" s="926"/>
      <c r="GW274" s="926"/>
      <c r="GX274" s="926"/>
      <c r="GY274" s="926"/>
      <c r="GZ274" s="926"/>
      <c r="HA274" s="926"/>
      <c r="HB274" s="926"/>
      <c r="HC274" s="926"/>
      <c r="HD274" s="926"/>
      <c r="HE274" s="926"/>
      <c r="HF274" s="926"/>
      <c r="HG274" s="926"/>
      <c r="HH274" s="926"/>
      <c r="HI274" s="926"/>
      <c r="HJ274" s="926"/>
      <c r="HK274" s="926"/>
      <c r="HL274" s="926"/>
      <c r="HM274" s="926"/>
      <c r="HN274" s="926"/>
      <c r="HO274" s="926"/>
      <c r="HP274" s="926"/>
      <c r="HQ274" s="926"/>
      <c r="HR274" s="926"/>
      <c r="HS274" s="926"/>
      <c r="HT274" s="926"/>
      <c r="HU274" s="926"/>
      <c r="HV274" s="926"/>
      <c r="HW274" s="926"/>
      <c r="HX274" s="926"/>
      <c r="HY274" s="926"/>
      <c r="HZ274" s="926"/>
      <c r="IA274" s="926"/>
      <c r="IB274" s="926"/>
      <c r="IC274" s="926"/>
      <c r="ID274" s="926"/>
      <c r="IE274" s="926"/>
      <c r="IF274" s="926"/>
      <c r="IG274" s="926"/>
      <c r="IH274" s="926"/>
      <c r="II274" s="926"/>
      <c r="IJ274" s="926"/>
      <c r="IK274" s="926"/>
      <c r="IL274" s="926"/>
      <c r="IM274" s="926"/>
    </row>
    <row r="275" spans="1:247" x14ac:dyDescent="0.45">
      <c r="A275" s="441">
        <v>8930</v>
      </c>
      <c r="B275" s="939" t="s">
        <v>2812</v>
      </c>
      <c r="C275" s="47" t="s">
        <v>113</v>
      </c>
      <c r="D275" s="449" t="s">
        <v>2540</v>
      </c>
      <c r="E275" s="946"/>
      <c r="F275" s="941">
        <f t="shared" si="56"/>
        <v>1.0209999999999999</v>
      </c>
      <c r="G275" s="947"/>
      <c r="H275" s="946"/>
      <c r="I275" s="948"/>
      <c r="J275" s="948"/>
      <c r="K275" s="948"/>
      <c r="L275" s="948"/>
      <c r="M275" s="948"/>
      <c r="N275" s="947"/>
      <c r="O275" s="949"/>
      <c r="P275" s="946">
        <f>+$P$3</f>
        <v>1.032</v>
      </c>
      <c r="Q275" s="947">
        <f>+$Q$3</f>
        <v>1.0349999999999999</v>
      </c>
      <c r="R275" s="950">
        <f t="shared" si="57"/>
        <v>1.0905505199999999</v>
      </c>
      <c r="S275" s="926"/>
      <c r="T275" s="926"/>
      <c r="U275" s="926"/>
      <c r="V275" s="926"/>
      <c r="W275" s="926"/>
      <c r="X275" s="926"/>
      <c r="Y275" s="926"/>
      <c r="Z275" s="926"/>
      <c r="AA275" s="926"/>
      <c r="AB275" s="926"/>
      <c r="AC275" s="926"/>
      <c r="AD275" s="926"/>
      <c r="AE275" s="926"/>
      <c r="AF275" s="926"/>
      <c r="AG275" s="926"/>
      <c r="AH275" s="926"/>
      <c r="AI275" s="926"/>
      <c r="AJ275" s="926"/>
      <c r="AK275" s="926"/>
      <c r="AL275" s="926"/>
      <c r="AM275" s="926"/>
      <c r="AN275" s="926"/>
      <c r="AO275" s="926"/>
      <c r="AP275" s="926"/>
      <c r="AQ275" s="926"/>
      <c r="AR275" s="926"/>
      <c r="AS275" s="926"/>
      <c r="AT275" s="926"/>
      <c r="AU275" s="926"/>
      <c r="AV275" s="926"/>
      <c r="AW275" s="926"/>
      <c r="AX275" s="926"/>
      <c r="AY275" s="926"/>
      <c r="AZ275" s="926"/>
      <c r="BA275" s="926"/>
      <c r="BB275" s="926"/>
      <c r="BC275" s="926"/>
      <c r="BD275" s="926"/>
      <c r="BE275" s="926"/>
      <c r="BF275" s="926"/>
      <c r="BG275" s="926"/>
      <c r="BH275" s="926"/>
      <c r="BI275" s="926"/>
      <c r="BJ275" s="926"/>
      <c r="BK275" s="926"/>
      <c r="BL275" s="926"/>
      <c r="BM275" s="926"/>
      <c r="BN275" s="926"/>
      <c r="BO275" s="926"/>
      <c r="BP275" s="926"/>
      <c r="BQ275" s="926"/>
      <c r="BR275" s="926"/>
      <c r="BS275" s="926"/>
      <c r="BT275" s="926"/>
      <c r="BU275" s="926"/>
      <c r="BV275" s="926"/>
      <c r="BW275" s="926"/>
      <c r="BX275" s="926"/>
      <c r="BY275" s="926"/>
      <c r="BZ275" s="926"/>
      <c r="CA275" s="926"/>
      <c r="CB275" s="926"/>
      <c r="CC275" s="926"/>
      <c r="CD275" s="926"/>
      <c r="CE275" s="926"/>
      <c r="CF275" s="926"/>
      <c r="CG275" s="926"/>
      <c r="CH275" s="926"/>
      <c r="CI275" s="926"/>
      <c r="CJ275" s="926"/>
      <c r="CK275" s="926"/>
      <c r="CL275" s="926"/>
      <c r="CM275" s="926"/>
      <c r="CN275" s="926"/>
      <c r="CO275" s="926"/>
      <c r="CP275" s="926"/>
      <c r="CQ275" s="926"/>
      <c r="CR275" s="926"/>
      <c r="CS275" s="926"/>
      <c r="CT275" s="926"/>
      <c r="CU275" s="926"/>
      <c r="CV275" s="926"/>
      <c r="CW275" s="926"/>
      <c r="CX275" s="926"/>
      <c r="CY275" s="926"/>
      <c r="CZ275" s="926"/>
      <c r="DA275" s="926"/>
      <c r="DB275" s="926"/>
      <c r="DC275" s="926"/>
      <c r="DD275" s="926"/>
      <c r="DE275" s="926"/>
      <c r="DF275" s="926"/>
      <c r="DG275" s="926"/>
      <c r="DH275" s="926"/>
      <c r="DI275" s="926"/>
      <c r="DJ275" s="926"/>
      <c r="DK275" s="926"/>
      <c r="DL275" s="926"/>
      <c r="DM275" s="926"/>
      <c r="DN275" s="926"/>
      <c r="DO275" s="926"/>
      <c r="DP275" s="926"/>
      <c r="DQ275" s="926"/>
      <c r="DR275" s="926"/>
      <c r="DS275" s="926"/>
      <c r="DT275" s="926"/>
      <c r="DU275" s="926"/>
      <c r="DV275" s="926"/>
      <c r="DW275" s="926"/>
      <c r="DX275" s="926"/>
      <c r="DY275" s="926"/>
      <c r="DZ275" s="926"/>
      <c r="EA275" s="926"/>
      <c r="EB275" s="926"/>
      <c r="EC275" s="926"/>
      <c r="ED275" s="926"/>
      <c r="EE275" s="926"/>
      <c r="EF275" s="926"/>
      <c r="EG275" s="926"/>
      <c r="EH275" s="926"/>
      <c r="EI275" s="926"/>
      <c r="EJ275" s="926"/>
      <c r="EK275" s="926"/>
      <c r="EL275" s="926"/>
      <c r="EM275" s="926"/>
      <c r="EN275" s="926"/>
      <c r="EO275" s="926"/>
      <c r="EP275" s="926"/>
      <c r="EQ275" s="926"/>
      <c r="ER275" s="926"/>
      <c r="ES275" s="926"/>
      <c r="ET275" s="926"/>
      <c r="EU275" s="926"/>
      <c r="EV275" s="926"/>
      <c r="EW275" s="926"/>
      <c r="EX275" s="926"/>
      <c r="EY275" s="926"/>
      <c r="EZ275" s="926"/>
      <c r="FA275" s="926"/>
      <c r="FB275" s="926"/>
      <c r="FC275" s="926"/>
      <c r="FD275" s="926"/>
      <c r="FE275" s="926"/>
      <c r="FF275" s="926"/>
      <c r="FG275" s="926"/>
      <c r="FH275" s="926"/>
      <c r="FI275" s="926"/>
      <c r="FJ275" s="926"/>
      <c r="FK275" s="926"/>
      <c r="FL275" s="926"/>
      <c r="FM275" s="926"/>
      <c r="FN275" s="926"/>
      <c r="FO275" s="926"/>
      <c r="FP275" s="926"/>
      <c r="FQ275" s="926"/>
      <c r="FR275" s="926"/>
      <c r="FS275" s="926"/>
      <c r="FT275" s="926"/>
      <c r="FU275" s="926"/>
      <c r="FV275" s="926"/>
      <c r="FW275" s="926"/>
      <c r="FX275" s="926"/>
      <c r="FY275" s="926"/>
      <c r="FZ275" s="926"/>
      <c r="GA275" s="926"/>
      <c r="GB275" s="926"/>
      <c r="GC275" s="926"/>
      <c r="GD275" s="926"/>
      <c r="GE275" s="926"/>
      <c r="GF275" s="926"/>
      <c r="GG275" s="926"/>
      <c r="GH275" s="926"/>
      <c r="GI275" s="926"/>
      <c r="GJ275" s="926"/>
      <c r="GK275" s="926"/>
      <c r="GL275" s="926"/>
      <c r="GM275" s="926"/>
      <c r="GN275" s="926"/>
      <c r="GO275" s="926"/>
      <c r="GP275" s="926"/>
      <c r="GQ275" s="926"/>
      <c r="GR275" s="926"/>
      <c r="GS275" s="926"/>
      <c r="GT275" s="926"/>
      <c r="GU275" s="926"/>
      <c r="GV275" s="926"/>
      <c r="GW275" s="926"/>
      <c r="GX275" s="926"/>
      <c r="GY275" s="926"/>
      <c r="GZ275" s="926"/>
      <c r="HA275" s="926"/>
      <c r="HB275" s="926"/>
      <c r="HC275" s="926"/>
      <c r="HD275" s="926"/>
      <c r="HE275" s="926"/>
      <c r="HF275" s="926"/>
      <c r="HG275" s="926"/>
      <c r="HH275" s="926"/>
      <c r="HI275" s="926"/>
      <c r="HJ275" s="926"/>
      <c r="HK275" s="926"/>
      <c r="HL275" s="926"/>
      <c r="HM275" s="926"/>
      <c r="HN275" s="926"/>
      <c r="HO275" s="926"/>
      <c r="HP275" s="926"/>
      <c r="HQ275" s="926"/>
      <c r="HR275" s="926"/>
      <c r="HS275" s="926"/>
      <c r="HT275" s="926"/>
      <c r="HU275" s="926"/>
      <c r="HV275" s="926"/>
      <c r="HW275" s="926"/>
      <c r="HX275" s="926"/>
      <c r="HY275" s="926"/>
      <c r="HZ275" s="926"/>
      <c r="IA275" s="926"/>
      <c r="IB275" s="926"/>
      <c r="IC275" s="926"/>
      <c r="ID275" s="926"/>
      <c r="IE275" s="926"/>
      <c r="IF275" s="926"/>
      <c r="IG275" s="926"/>
      <c r="IH275" s="926"/>
      <c r="II275" s="926"/>
      <c r="IJ275" s="926"/>
      <c r="IK275" s="926"/>
      <c r="IL275" s="926"/>
      <c r="IM275" s="926"/>
    </row>
    <row r="276" spans="1:247" x14ac:dyDescent="0.45">
      <c r="A276" s="441">
        <v>8931</v>
      </c>
      <c r="B276" s="939" t="s">
        <v>2813</v>
      </c>
      <c r="C276" s="47" t="s">
        <v>113</v>
      </c>
      <c r="D276" s="449" t="s">
        <v>2540</v>
      </c>
      <c r="E276" s="946"/>
      <c r="F276" s="941">
        <f t="shared" si="56"/>
        <v>1.0209999999999999</v>
      </c>
      <c r="G276" s="947"/>
      <c r="H276" s="946"/>
      <c r="I276" s="948"/>
      <c r="J276" s="948"/>
      <c r="K276" s="948"/>
      <c r="L276" s="948"/>
      <c r="M276" s="948"/>
      <c r="N276" s="947"/>
      <c r="O276" s="949"/>
      <c r="P276" s="946">
        <f>+$P$3</f>
        <v>1.032</v>
      </c>
      <c r="Q276" s="947">
        <f>+$Q$3</f>
        <v>1.0349999999999999</v>
      </c>
      <c r="R276" s="950">
        <f t="shared" si="57"/>
        <v>1.0905505199999999</v>
      </c>
      <c r="S276" s="926"/>
      <c r="T276" s="926"/>
      <c r="U276" s="926"/>
      <c r="V276" s="926"/>
      <c r="W276" s="926"/>
      <c r="X276" s="926"/>
      <c r="Y276" s="926"/>
      <c r="Z276" s="926"/>
      <c r="AA276" s="926"/>
      <c r="AB276" s="926"/>
      <c r="AC276" s="926"/>
      <c r="AD276" s="926"/>
      <c r="AE276" s="926"/>
      <c r="AF276" s="926"/>
      <c r="AG276" s="926"/>
      <c r="AH276" s="926"/>
      <c r="AI276" s="926"/>
      <c r="AJ276" s="926"/>
      <c r="AK276" s="926"/>
      <c r="AL276" s="926"/>
      <c r="AM276" s="926"/>
      <c r="AN276" s="926"/>
      <c r="AO276" s="926"/>
      <c r="AP276" s="926"/>
      <c r="AQ276" s="926"/>
      <c r="AR276" s="926"/>
      <c r="AS276" s="926"/>
      <c r="AT276" s="926"/>
      <c r="AU276" s="926"/>
      <c r="AV276" s="926"/>
      <c r="AW276" s="926"/>
      <c r="AX276" s="926"/>
      <c r="AY276" s="926"/>
      <c r="AZ276" s="926"/>
      <c r="BA276" s="926"/>
      <c r="BB276" s="926"/>
      <c r="BC276" s="926"/>
      <c r="BD276" s="926"/>
      <c r="BE276" s="926"/>
      <c r="BF276" s="926"/>
      <c r="BG276" s="926"/>
      <c r="BH276" s="926"/>
      <c r="BI276" s="926"/>
      <c r="BJ276" s="926"/>
      <c r="BK276" s="926"/>
      <c r="BL276" s="926"/>
      <c r="BM276" s="926"/>
      <c r="BN276" s="926"/>
      <c r="BO276" s="926"/>
      <c r="BP276" s="926"/>
      <c r="BQ276" s="926"/>
      <c r="BR276" s="926"/>
      <c r="BS276" s="926"/>
      <c r="BT276" s="926"/>
      <c r="BU276" s="926"/>
      <c r="BV276" s="926"/>
      <c r="BW276" s="926"/>
      <c r="BX276" s="926"/>
      <c r="BY276" s="926"/>
      <c r="BZ276" s="926"/>
      <c r="CA276" s="926"/>
      <c r="CB276" s="926"/>
      <c r="CC276" s="926"/>
      <c r="CD276" s="926"/>
      <c r="CE276" s="926"/>
      <c r="CF276" s="926"/>
      <c r="CG276" s="926"/>
      <c r="CH276" s="926"/>
      <c r="CI276" s="926"/>
      <c r="CJ276" s="926"/>
      <c r="CK276" s="926"/>
      <c r="CL276" s="926"/>
      <c r="CM276" s="926"/>
      <c r="CN276" s="926"/>
      <c r="CO276" s="926"/>
      <c r="CP276" s="926"/>
      <c r="CQ276" s="926"/>
      <c r="CR276" s="926"/>
      <c r="CS276" s="926"/>
      <c r="CT276" s="926"/>
      <c r="CU276" s="926"/>
      <c r="CV276" s="926"/>
      <c r="CW276" s="926"/>
      <c r="CX276" s="926"/>
      <c r="CY276" s="926"/>
      <c r="CZ276" s="926"/>
      <c r="DA276" s="926"/>
      <c r="DB276" s="926"/>
      <c r="DC276" s="926"/>
      <c r="DD276" s="926"/>
      <c r="DE276" s="926"/>
      <c r="DF276" s="926"/>
      <c r="DG276" s="926"/>
      <c r="DH276" s="926"/>
      <c r="DI276" s="926"/>
      <c r="DJ276" s="926"/>
      <c r="DK276" s="926"/>
      <c r="DL276" s="926"/>
      <c r="DM276" s="926"/>
      <c r="DN276" s="926"/>
      <c r="DO276" s="926"/>
      <c r="DP276" s="926"/>
      <c r="DQ276" s="926"/>
      <c r="DR276" s="926"/>
      <c r="DS276" s="926"/>
      <c r="DT276" s="926"/>
      <c r="DU276" s="926"/>
      <c r="DV276" s="926"/>
      <c r="DW276" s="926"/>
      <c r="DX276" s="926"/>
      <c r="DY276" s="926"/>
      <c r="DZ276" s="926"/>
      <c r="EA276" s="926"/>
      <c r="EB276" s="926"/>
      <c r="EC276" s="926"/>
      <c r="ED276" s="926"/>
      <c r="EE276" s="926"/>
      <c r="EF276" s="926"/>
      <c r="EG276" s="926"/>
      <c r="EH276" s="926"/>
      <c r="EI276" s="926"/>
      <c r="EJ276" s="926"/>
      <c r="EK276" s="926"/>
      <c r="EL276" s="926"/>
      <c r="EM276" s="926"/>
      <c r="EN276" s="926"/>
      <c r="EO276" s="926"/>
      <c r="EP276" s="926"/>
      <c r="EQ276" s="926"/>
      <c r="ER276" s="926"/>
      <c r="ES276" s="926"/>
      <c r="ET276" s="926"/>
      <c r="EU276" s="926"/>
      <c r="EV276" s="926"/>
      <c r="EW276" s="926"/>
      <c r="EX276" s="926"/>
      <c r="EY276" s="926"/>
      <c r="EZ276" s="926"/>
      <c r="FA276" s="926"/>
      <c r="FB276" s="926"/>
      <c r="FC276" s="926"/>
      <c r="FD276" s="926"/>
      <c r="FE276" s="926"/>
      <c r="FF276" s="926"/>
      <c r="FG276" s="926"/>
      <c r="FH276" s="926"/>
      <c r="FI276" s="926"/>
      <c r="FJ276" s="926"/>
      <c r="FK276" s="926"/>
      <c r="FL276" s="926"/>
      <c r="FM276" s="926"/>
      <c r="FN276" s="926"/>
      <c r="FO276" s="926"/>
      <c r="FP276" s="926"/>
      <c r="FQ276" s="926"/>
      <c r="FR276" s="926"/>
      <c r="FS276" s="926"/>
      <c r="FT276" s="926"/>
      <c r="FU276" s="926"/>
      <c r="FV276" s="926"/>
      <c r="FW276" s="926"/>
      <c r="FX276" s="926"/>
      <c r="FY276" s="926"/>
      <c r="FZ276" s="926"/>
      <c r="GA276" s="926"/>
      <c r="GB276" s="926"/>
      <c r="GC276" s="926"/>
      <c r="GD276" s="926"/>
      <c r="GE276" s="926"/>
      <c r="GF276" s="926"/>
      <c r="GG276" s="926"/>
      <c r="GH276" s="926"/>
      <c r="GI276" s="926"/>
      <c r="GJ276" s="926"/>
      <c r="GK276" s="926"/>
      <c r="GL276" s="926"/>
      <c r="GM276" s="926"/>
      <c r="GN276" s="926"/>
      <c r="GO276" s="926"/>
      <c r="GP276" s="926"/>
      <c r="GQ276" s="926"/>
      <c r="GR276" s="926"/>
      <c r="GS276" s="926"/>
      <c r="GT276" s="926"/>
      <c r="GU276" s="926"/>
      <c r="GV276" s="926"/>
      <c r="GW276" s="926"/>
      <c r="GX276" s="926"/>
      <c r="GY276" s="926"/>
      <c r="GZ276" s="926"/>
      <c r="HA276" s="926"/>
      <c r="HB276" s="926"/>
      <c r="HC276" s="926"/>
      <c r="HD276" s="926"/>
      <c r="HE276" s="926"/>
      <c r="HF276" s="926"/>
      <c r="HG276" s="926"/>
      <c r="HH276" s="926"/>
      <c r="HI276" s="926"/>
      <c r="HJ276" s="926"/>
      <c r="HK276" s="926"/>
      <c r="HL276" s="926"/>
      <c r="HM276" s="926"/>
      <c r="HN276" s="926"/>
      <c r="HO276" s="926"/>
      <c r="HP276" s="926"/>
      <c r="HQ276" s="926"/>
      <c r="HR276" s="926"/>
      <c r="HS276" s="926"/>
      <c r="HT276" s="926"/>
      <c r="HU276" s="926"/>
      <c r="HV276" s="926"/>
      <c r="HW276" s="926"/>
      <c r="HX276" s="926"/>
      <c r="HY276" s="926"/>
      <c r="HZ276" s="926"/>
      <c r="IA276" s="926"/>
      <c r="IB276" s="926"/>
      <c r="IC276" s="926"/>
      <c r="ID276" s="926"/>
      <c r="IE276" s="926"/>
      <c r="IF276" s="926"/>
      <c r="IG276" s="926"/>
      <c r="IH276" s="926"/>
      <c r="II276" s="926"/>
      <c r="IJ276" s="926"/>
      <c r="IK276" s="926"/>
      <c r="IL276" s="926"/>
      <c r="IM276" s="926"/>
    </row>
    <row r="277" spans="1:247" x14ac:dyDescent="0.45">
      <c r="A277" s="441">
        <v>8932</v>
      </c>
      <c r="B277" s="939" t="s">
        <v>2814</v>
      </c>
      <c r="C277" s="47" t="s">
        <v>113</v>
      </c>
      <c r="D277" s="449" t="s">
        <v>2540</v>
      </c>
      <c r="E277" s="946"/>
      <c r="F277" s="941">
        <f>+$F$3</f>
        <v>1.0209999999999999</v>
      </c>
      <c r="G277" s="947"/>
      <c r="H277" s="946"/>
      <c r="I277" s="948"/>
      <c r="J277" s="948"/>
      <c r="K277" s="948"/>
      <c r="L277" s="948"/>
      <c r="M277" s="948"/>
      <c r="N277" s="947"/>
      <c r="O277" s="949"/>
      <c r="P277" s="946">
        <f>+$P$3</f>
        <v>1.032</v>
      </c>
      <c r="Q277" s="947">
        <f>+$Q$3</f>
        <v>1.0349999999999999</v>
      </c>
      <c r="R277" s="950">
        <f>PRODUCT(E277:Q277)</f>
        <v>1.0905505199999999</v>
      </c>
      <c r="S277" s="952"/>
      <c r="AS277" s="2"/>
    </row>
    <row r="278" spans="1:247" x14ac:dyDescent="0.45">
      <c r="A278" s="441">
        <v>8951</v>
      </c>
      <c r="B278" s="939" t="s">
        <v>2815</v>
      </c>
      <c r="C278" s="47" t="s">
        <v>163</v>
      </c>
      <c r="D278" s="449" t="s">
        <v>2537</v>
      </c>
      <c r="E278" s="946"/>
      <c r="F278" s="941">
        <f>+$F$3</f>
        <v>1.0209999999999999</v>
      </c>
      <c r="G278" s="947"/>
      <c r="H278" s="946"/>
      <c r="I278" s="948"/>
      <c r="J278" s="948"/>
      <c r="K278" s="948"/>
      <c r="L278" s="948"/>
      <c r="M278" s="948"/>
      <c r="N278" s="947"/>
      <c r="O278" s="949"/>
      <c r="P278" s="946"/>
      <c r="Q278" s="947"/>
      <c r="R278" s="950">
        <f>PRODUCT(E278:Q278)</f>
        <v>1.0209999999999999</v>
      </c>
      <c r="AS278" s="953">
        <v>2251</v>
      </c>
    </row>
    <row r="279" spans="1:247" ht="30" customHeight="1" x14ac:dyDescent="0.45">
      <c r="Q279" s="952"/>
      <c r="R279" s="952"/>
      <c r="S279" s="952"/>
      <c r="AS279" s="2"/>
    </row>
    <row r="280" spans="1:247" ht="45" customHeight="1" x14ac:dyDescent="0.45">
      <c r="A280" s="2" t="s">
        <v>2816</v>
      </c>
      <c r="AS280" s="953">
        <v>2261</v>
      </c>
    </row>
    <row r="281" spans="1:247" ht="41.25" customHeight="1" x14ac:dyDescent="0.45">
      <c r="A281" s="1366" t="s">
        <v>2817</v>
      </c>
      <c r="B281" s="1366"/>
      <c r="C281" s="1366"/>
      <c r="D281" s="1366"/>
      <c r="E281" s="1366"/>
      <c r="F281" s="1366"/>
      <c r="G281" s="1366"/>
      <c r="H281" s="1366"/>
      <c r="I281" s="1366"/>
      <c r="J281" s="1366"/>
      <c r="K281" s="1366"/>
      <c r="L281" s="1366"/>
      <c r="M281" s="1366"/>
      <c r="N281" s="1366"/>
      <c r="O281" s="1366"/>
      <c r="P281" s="1366"/>
      <c r="Q281" s="1366"/>
      <c r="R281" s="144"/>
      <c r="AS281" s="953">
        <v>2264</v>
      </c>
    </row>
    <row r="282" spans="1:247" ht="30" customHeight="1" x14ac:dyDescent="0.45">
      <c r="A282" s="1366" t="s">
        <v>2818</v>
      </c>
      <c r="B282" s="1366"/>
      <c r="C282" s="1366"/>
      <c r="D282" s="1366"/>
      <c r="E282" s="1366"/>
      <c r="F282" s="1366"/>
      <c r="G282" s="1366"/>
      <c r="H282" s="1366"/>
      <c r="I282" s="1366"/>
      <c r="J282" s="1366"/>
      <c r="K282" s="1366"/>
      <c r="L282" s="1366"/>
      <c r="M282" s="1366"/>
      <c r="N282" s="1366"/>
      <c r="O282" s="1366"/>
      <c r="P282" s="1366"/>
      <c r="Q282" s="1366"/>
      <c r="AS282" s="953">
        <v>2265</v>
      </c>
    </row>
    <row r="283" spans="1:247" ht="19.5" customHeight="1" x14ac:dyDescent="0.45">
      <c r="A283" s="1366" t="s">
        <v>2819</v>
      </c>
      <c r="B283" s="1366"/>
      <c r="C283" s="1366"/>
      <c r="D283" s="1366"/>
      <c r="E283" s="1366"/>
      <c r="F283" s="1366"/>
      <c r="G283" s="1366"/>
      <c r="H283" s="1366"/>
      <c r="I283" s="1366"/>
      <c r="J283" s="1366"/>
      <c r="K283" s="1366"/>
      <c r="L283" s="1366"/>
      <c r="M283" s="1366"/>
      <c r="N283" s="1366"/>
      <c r="O283" s="1366"/>
      <c r="P283" s="1366"/>
      <c r="Q283" s="1366"/>
      <c r="AS283" s="953">
        <v>2271</v>
      </c>
    </row>
    <row r="284" spans="1:247" ht="30" customHeight="1" x14ac:dyDescent="0.45">
      <c r="A284" s="1366" t="s">
        <v>2820</v>
      </c>
      <c r="B284" s="1366"/>
      <c r="C284" s="1366"/>
      <c r="D284" s="1366"/>
      <c r="E284" s="1366"/>
      <c r="F284" s="1366"/>
      <c r="G284" s="1366"/>
      <c r="H284" s="1366"/>
      <c r="I284" s="1366"/>
      <c r="J284" s="1366"/>
      <c r="K284" s="1366"/>
      <c r="L284" s="1366"/>
      <c r="M284" s="1366"/>
      <c r="N284" s="1366"/>
      <c r="O284" s="1366"/>
      <c r="P284" s="1366"/>
      <c r="Q284" s="1366"/>
      <c r="AS284" s="953">
        <v>2281</v>
      </c>
    </row>
    <row r="285" spans="1:247" ht="30" customHeight="1" x14ac:dyDescent="0.45">
      <c r="A285" s="1343" t="s">
        <v>2821</v>
      </c>
      <c r="B285" s="1343"/>
      <c r="C285" s="1343"/>
      <c r="D285" s="1343"/>
      <c r="E285" s="1343"/>
      <c r="F285" s="1343"/>
      <c r="G285" s="1343"/>
      <c r="H285" s="1343"/>
      <c r="I285" s="1343"/>
      <c r="J285" s="1343"/>
      <c r="K285" s="1343"/>
      <c r="L285" s="1343"/>
      <c r="M285" s="1343"/>
      <c r="N285" s="1343"/>
      <c r="O285" s="1343"/>
      <c r="P285" s="1343"/>
      <c r="Q285" s="1343"/>
      <c r="AS285" s="953">
        <v>2291</v>
      </c>
    </row>
    <row r="286" spans="1:247" ht="30" customHeight="1" x14ac:dyDescent="0.45">
      <c r="A286" s="1366" t="s">
        <v>2822</v>
      </c>
      <c r="B286" s="1366"/>
      <c r="C286" s="1366"/>
      <c r="D286" s="1366"/>
      <c r="E286" s="1366"/>
      <c r="F286" s="1366"/>
      <c r="G286" s="1366"/>
      <c r="H286" s="1366"/>
      <c r="I286" s="1366"/>
      <c r="J286" s="1366"/>
      <c r="K286" s="1366"/>
      <c r="L286" s="1366"/>
      <c r="M286" s="1366"/>
      <c r="N286" s="1366"/>
      <c r="O286" s="1366"/>
      <c r="P286" s="1366"/>
      <c r="Q286" s="1366"/>
      <c r="AS286" s="953">
        <v>3101</v>
      </c>
    </row>
    <row r="287" spans="1:247" ht="45" customHeight="1" x14ac:dyDescent="0.45">
      <c r="A287" s="1366" t="s">
        <v>2823</v>
      </c>
      <c r="B287" s="1366"/>
      <c r="C287" s="1366"/>
      <c r="D287" s="1366"/>
      <c r="E287" s="1366"/>
      <c r="F287" s="1366"/>
      <c r="G287" s="1366"/>
      <c r="H287" s="1366"/>
      <c r="I287" s="1366"/>
      <c r="J287" s="1366"/>
      <c r="K287" s="1366"/>
      <c r="L287" s="1366"/>
      <c r="M287" s="1366"/>
      <c r="N287" s="1366"/>
      <c r="O287" s="1366"/>
      <c r="P287" s="1366"/>
      <c r="Q287" s="1366"/>
      <c r="AS287" s="953">
        <v>3102</v>
      </c>
    </row>
    <row r="288" spans="1:247" ht="30" customHeight="1" x14ac:dyDescent="0.45">
      <c r="A288" s="1366" t="s">
        <v>2824</v>
      </c>
      <c r="B288" s="1366"/>
      <c r="C288" s="1366"/>
      <c r="D288" s="1366"/>
      <c r="E288" s="1366"/>
      <c r="F288" s="1366"/>
      <c r="G288" s="1366"/>
      <c r="H288" s="1366"/>
      <c r="I288" s="1366"/>
      <c r="J288" s="1366"/>
      <c r="K288" s="1366"/>
      <c r="L288" s="1366"/>
      <c r="M288" s="1366"/>
      <c r="N288" s="1366"/>
      <c r="O288" s="1366"/>
      <c r="P288" s="1366"/>
      <c r="Q288" s="1366"/>
      <c r="AS288" s="953">
        <v>3103</v>
      </c>
    </row>
    <row r="289" spans="1:45" ht="30" customHeight="1" x14ac:dyDescent="0.45">
      <c r="A289" s="1366" t="s">
        <v>2825</v>
      </c>
      <c r="B289" s="1366"/>
      <c r="C289" s="1366"/>
      <c r="D289" s="1366"/>
      <c r="E289" s="1366"/>
      <c r="F289" s="1366"/>
      <c r="G289" s="1366"/>
      <c r="H289" s="1366"/>
      <c r="I289" s="1366"/>
      <c r="J289" s="1366"/>
      <c r="K289" s="1366"/>
      <c r="L289" s="1366"/>
      <c r="M289" s="1366"/>
      <c r="N289" s="1366"/>
      <c r="O289" s="1366"/>
      <c r="P289" s="1366"/>
      <c r="Q289" s="1366"/>
      <c r="AS289" s="953">
        <v>3104</v>
      </c>
    </row>
    <row r="290" spans="1:45" ht="45" customHeight="1" x14ac:dyDescent="0.45">
      <c r="A290" s="1366" t="s">
        <v>2826</v>
      </c>
      <c r="B290" s="1366"/>
      <c r="C290" s="1366"/>
      <c r="D290" s="1366"/>
      <c r="E290" s="1366"/>
      <c r="F290" s="1366"/>
      <c r="G290" s="1366"/>
      <c r="H290" s="1366"/>
      <c r="I290" s="1366"/>
      <c r="J290" s="1366"/>
      <c r="K290" s="1366"/>
      <c r="L290" s="1366"/>
      <c r="M290" s="1366"/>
      <c r="N290" s="1366"/>
      <c r="O290" s="1366"/>
      <c r="P290" s="1366"/>
      <c r="Q290" s="1366"/>
      <c r="AS290" s="953">
        <v>3111</v>
      </c>
    </row>
    <row r="291" spans="1:45" ht="15" customHeight="1" x14ac:dyDescent="0.45">
      <c r="A291" s="1366" t="s">
        <v>2827</v>
      </c>
      <c r="B291" s="1366"/>
      <c r="C291" s="1366"/>
      <c r="D291" s="1366"/>
      <c r="E291" s="1366"/>
      <c r="F291" s="1366"/>
      <c r="G291" s="1366"/>
      <c r="H291" s="1366"/>
      <c r="I291" s="1366"/>
      <c r="J291" s="1366"/>
      <c r="K291" s="1366"/>
      <c r="L291" s="1366"/>
      <c r="M291" s="1366"/>
      <c r="N291" s="1366"/>
      <c r="O291" s="1366"/>
      <c r="P291" s="1366"/>
      <c r="Q291" s="1366"/>
      <c r="AS291" s="953">
        <v>3121</v>
      </c>
    </row>
    <row r="292" spans="1:45" ht="45" customHeight="1" x14ac:dyDescent="0.45">
      <c r="A292" s="1366" t="s">
        <v>2828</v>
      </c>
      <c r="B292" s="1366"/>
      <c r="C292" s="1366"/>
      <c r="D292" s="1366"/>
      <c r="E292" s="1366"/>
      <c r="F292" s="1366"/>
      <c r="G292" s="1366"/>
      <c r="H292" s="1366"/>
      <c r="I292" s="1366"/>
      <c r="J292" s="1366"/>
      <c r="K292" s="1366"/>
      <c r="L292" s="1366"/>
      <c r="M292" s="1366"/>
      <c r="N292" s="1366"/>
      <c r="O292" s="1366"/>
      <c r="P292" s="1366"/>
      <c r="Q292" s="1366"/>
      <c r="AS292" s="953">
        <v>3131</v>
      </c>
    </row>
    <row r="293" spans="1:45" ht="45" customHeight="1" x14ac:dyDescent="0.45">
      <c r="A293" s="1366" t="s">
        <v>2829</v>
      </c>
      <c r="B293" s="1366"/>
      <c r="C293" s="1366"/>
      <c r="D293" s="1366"/>
      <c r="E293" s="1366"/>
      <c r="F293" s="1366"/>
      <c r="G293" s="1366"/>
      <c r="H293" s="1366"/>
      <c r="I293" s="1366"/>
      <c r="J293" s="1366"/>
      <c r="K293" s="1366"/>
      <c r="L293" s="1366"/>
      <c r="M293" s="1366"/>
      <c r="N293" s="1366"/>
      <c r="O293" s="1366"/>
      <c r="P293" s="1366"/>
      <c r="Q293" s="1366"/>
      <c r="AS293" s="953">
        <v>3141</v>
      </c>
    </row>
    <row r="294" spans="1:45" ht="45" customHeight="1" x14ac:dyDescent="0.45">
      <c r="A294" s="1366" t="s">
        <v>2830</v>
      </c>
      <c r="B294" s="1366"/>
      <c r="C294" s="1366"/>
      <c r="D294" s="1366"/>
      <c r="E294" s="1366"/>
      <c r="F294" s="1366"/>
      <c r="G294" s="1366"/>
      <c r="H294" s="1366"/>
      <c r="I294" s="1366"/>
      <c r="J294" s="1366"/>
      <c r="K294" s="1366"/>
      <c r="L294" s="1366"/>
      <c r="M294" s="1366"/>
      <c r="N294" s="1366"/>
      <c r="O294" s="1366"/>
      <c r="P294" s="1366"/>
      <c r="Q294" s="1366"/>
      <c r="AS294" s="953">
        <v>3151</v>
      </c>
    </row>
    <row r="295" spans="1:45" ht="45" customHeight="1" x14ac:dyDescent="0.45">
      <c r="A295" s="1366" t="s">
        <v>2831</v>
      </c>
      <c r="B295" s="1366"/>
      <c r="C295" s="1366"/>
      <c r="D295" s="1366"/>
      <c r="E295" s="1366"/>
      <c r="F295" s="1366"/>
      <c r="G295" s="1366"/>
      <c r="H295" s="1366"/>
      <c r="I295" s="1366"/>
      <c r="J295" s="1366"/>
      <c r="K295" s="1366"/>
      <c r="L295" s="1366"/>
      <c r="M295" s="1366"/>
      <c r="N295" s="1366"/>
      <c r="O295" s="1366"/>
      <c r="P295" s="1366"/>
      <c r="Q295" s="1366"/>
      <c r="AS295" s="953">
        <v>3161</v>
      </c>
    </row>
    <row r="296" spans="1:45" ht="45" customHeight="1" x14ac:dyDescent="0.45">
      <c r="A296" s="1366" t="s">
        <v>2832</v>
      </c>
      <c r="B296" s="1366"/>
      <c r="C296" s="1366"/>
      <c r="D296" s="1366"/>
      <c r="E296" s="1366"/>
      <c r="F296" s="1366"/>
      <c r="G296" s="1366"/>
      <c r="H296" s="1366"/>
      <c r="I296" s="1366"/>
      <c r="J296" s="1366"/>
      <c r="K296" s="1366"/>
      <c r="L296" s="1366"/>
      <c r="M296" s="1366"/>
      <c r="N296" s="1366"/>
      <c r="O296" s="1366"/>
      <c r="P296" s="1366"/>
      <c r="Q296" s="1366"/>
      <c r="AS296" s="953">
        <v>3171</v>
      </c>
    </row>
    <row r="297" spans="1:45" ht="30" customHeight="1" x14ac:dyDescent="0.45">
      <c r="A297" s="1366" t="s">
        <v>2833</v>
      </c>
      <c r="B297" s="1366"/>
      <c r="C297" s="1366"/>
      <c r="D297" s="1366"/>
      <c r="E297" s="1366"/>
      <c r="F297" s="1366"/>
      <c r="G297" s="1366"/>
      <c r="H297" s="1366"/>
      <c r="I297" s="1366"/>
      <c r="J297" s="1366"/>
      <c r="K297" s="1366"/>
      <c r="L297" s="1366"/>
      <c r="M297" s="1366"/>
      <c r="N297" s="1366"/>
      <c r="O297" s="1366"/>
      <c r="P297" s="1366"/>
      <c r="Q297" s="1366"/>
      <c r="AS297" s="953">
        <v>3181</v>
      </c>
    </row>
    <row r="298" spans="1:45" ht="30" customHeight="1" x14ac:dyDescent="0.45">
      <c r="A298" s="1366" t="s">
        <v>2834</v>
      </c>
      <c r="B298" s="1366"/>
      <c r="C298" s="1366"/>
      <c r="D298" s="1366"/>
      <c r="E298" s="1366"/>
      <c r="F298" s="1366"/>
      <c r="G298" s="1366"/>
      <c r="H298" s="1366"/>
      <c r="I298" s="1366"/>
      <c r="J298" s="1366"/>
      <c r="K298" s="1366"/>
      <c r="L298" s="1366"/>
      <c r="M298" s="1366"/>
      <c r="N298" s="1366"/>
      <c r="O298" s="1366"/>
      <c r="P298" s="1366"/>
      <c r="Q298" s="1366"/>
      <c r="AS298" s="953">
        <v>3191</v>
      </c>
    </row>
    <row r="299" spans="1:45" ht="36" customHeight="1" x14ac:dyDescent="0.45">
      <c r="A299" s="1366" t="s">
        <v>2835</v>
      </c>
      <c r="B299" s="1366"/>
      <c r="C299" s="1366"/>
      <c r="D299" s="1366"/>
      <c r="E299" s="1366"/>
      <c r="F299" s="1366"/>
      <c r="G299" s="1366"/>
      <c r="H299" s="1366"/>
      <c r="I299" s="1366"/>
      <c r="J299" s="1366"/>
      <c r="K299" s="1366"/>
      <c r="L299" s="1366"/>
      <c r="M299" s="1366"/>
      <c r="N299" s="1366"/>
      <c r="O299" s="1366"/>
      <c r="P299" s="1366"/>
      <c r="Q299" s="1366"/>
      <c r="AR299" s="953">
        <v>3201</v>
      </c>
      <c r="AS299" s="2"/>
    </row>
    <row r="300" spans="1:45" ht="39" customHeight="1" x14ac:dyDescent="0.45">
      <c r="A300" s="1366" t="s">
        <v>2836</v>
      </c>
      <c r="B300" s="1366"/>
      <c r="C300" s="1366"/>
      <c r="D300" s="1366"/>
      <c r="E300" s="1366"/>
      <c r="F300" s="1366"/>
      <c r="G300" s="1366"/>
      <c r="H300" s="1366"/>
      <c r="I300" s="1366"/>
      <c r="J300" s="1366"/>
      <c r="K300" s="1366"/>
      <c r="L300" s="1366"/>
      <c r="M300" s="1366"/>
      <c r="N300" s="1366"/>
      <c r="O300" s="1366"/>
      <c r="P300" s="1366"/>
      <c r="Q300" s="1366"/>
      <c r="AS300" s="953">
        <v>3211</v>
      </c>
    </row>
    <row r="301" spans="1:45" x14ac:dyDescent="0.45">
      <c r="A301" s="3"/>
      <c r="B301" s="3"/>
      <c r="C301" s="3"/>
      <c r="D301" s="3"/>
      <c r="E301" s="3"/>
      <c r="F301" s="3"/>
      <c r="G301" s="3"/>
      <c r="H301" s="3"/>
      <c r="I301" s="3"/>
      <c r="J301" s="3"/>
      <c r="K301" s="3"/>
      <c r="L301" s="3"/>
      <c r="M301" s="3"/>
      <c r="N301" s="3"/>
      <c r="O301" s="3"/>
      <c r="P301" s="3"/>
      <c r="Q301" s="954"/>
      <c r="R301" s="2"/>
      <c r="AS301" s="953">
        <v>3711</v>
      </c>
    </row>
    <row r="302" spans="1:45" x14ac:dyDescent="0.45">
      <c r="A302" s="3"/>
      <c r="B302" s="3"/>
      <c r="C302" s="3"/>
      <c r="D302" s="3"/>
      <c r="E302" s="3"/>
      <c r="F302" s="3"/>
      <c r="G302" s="3"/>
      <c r="H302" s="3"/>
      <c r="I302" s="3"/>
      <c r="J302" s="3"/>
      <c r="K302" s="3"/>
      <c r="L302" s="3"/>
      <c r="M302" s="3"/>
      <c r="N302" s="3"/>
      <c r="O302" s="3"/>
      <c r="P302" s="3"/>
      <c r="Q302" s="3"/>
      <c r="AS302" s="953">
        <v>3712</v>
      </c>
    </row>
    <row r="303" spans="1:45" x14ac:dyDescent="0.45">
      <c r="A303" s="3"/>
      <c r="B303" s="3"/>
      <c r="C303" s="3"/>
      <c r="D303" s="3"/>
      <c r="E303" s="3"/>
      <c r="F303" s="3"/>
      <c r="G303" s="3"/>
      <c r="H303" s="3"/>
      <c r="I303" s="3"/>
      <c r="J303" s="3"/>
      <c r="K303" s="3"/>
      <c r="L303" s="3"/>
      <c r="M303" s="3"/>
      <c r="N303" s="3"/>
      <c r="O303" s="3"/>
      <c r="P303" s="3"/>
      <c r="Q303" s="3"/>
      <c r="AS303" s="953">
        <v>3713</v>
      </c>
    </row>
    <row r="304" spans="1:45" x14ac:dyDescent="0.45">
      <c r="A304" s="3"/>
      <c r="B304" s="3"/>
      <c r="C304" s="3"/>
      <c r="D304" s="3"/>
      <c r="E304" s="3"/>
      <c r="F304" s="3"/>
      <c r="G304" s="3"/>
      <c r="H304" s="3"/>
      <c r="I304" s="3"/>
      <c r="J304" s="3"/>
      <c r="K304" s="3"/>
      <c r="L304" s="3"/>
      <c r="M304" s="3"/>
      <c r="N304" s="3"/>
      <c r="O304" s="3"/>
      <c r="P304" s="3"/>
      <c r="Q304" s="3"/>
      <c r="AS304" s="953">
        <v>3901</v>
      </c>
    </row>
    <row r="305" spans="1:45" x14ac:dyDescent="0.45">
      <c r="A305" s="3"/>
      <c r="B305" s="3"/>
      <c r="C305" s="3"/>
      <c r="D305" s="3"/>
      <c r="E305" s="3"/>
      <c r="F305" s="3"/>
      <c r="G305" s="3"/>
      <c r="H305" s="3"/>
      <c r="I305" s="3"/>
      <c r="J305" s="3"/>
      <c r="K305" s="3"/>
      <c r="L305" s="3"/>
      <c r="M305" s="3"/>
      <c r="N305" s="3"/>
      <c r="O305" s="3"/>
      <c r="P305" s="3"/>
      <c r="Q305" s="3"/>
      <c r="AS305" s="953">
        <v>3902</v>
      </c>
    </row>
    <row r="306" spans="1:45" x14ac:dyDescent="0.45">
      <c r="A306" s="3"/>
      <c r="B306" s="3"/>
      <c r="C306" s="3"/>
      <c r="D306" s="3"/>
      <c r="E306" s="3"/>
      <c r="F306" s="3"/>
      <c r="G306" s="3"/>
      <c r="H306" s="3"/>
      <c r="I306" s="3"/>
      <c r="J306" s="3"/>
      <c r="K306" s="3"/>
      <c r="L306" s="3"/>
      <c r="M306" s="3"/>
      <c r="N306" s="3"/>
      <c r="O306" s="3"/>
      <c r="P306" s="3"/>
      <c r="Q306" s="3"/>
      <c r="AS306" s="953">
        <v>3903</v>
      </c>
    </row>
    <row r="307" spans="1:45" x14ac:dyDescent="0.45">
      <c r="A307" s="3"/>
      <c r="B307" s="3"/>
      <c r="C307" s="3"/>
      <c r="D307" s="3"/>
      <c r="E307" s="3"/>
      <c r="F307" s="3"/>
      <c r="G307" s="3"/>
      <c r="H307" s="3"/>
      <c r="I307" s="3"/>
      <c r="J307" s="3"/>
      <c r="K307" s="3"/>
      <c r="L307" s="3"/>
      <c r="M307" s="3"/>
      <c r="N307" s="3"/>
      <c r="O307" s="3"/>
      <c r="P307" s="3"/>
      <c r="Q307" s="3"/>
      <c r="AS307" s="953">
        <v>3904</v>
      </c>
    </row>
    <row r="308" spans="1:45" x14ac:dyDescent="0.45">
      <c r="A308" s="3"/>
      <c r="B308" s="3"/>
      <c r="C308" s="3"/>
      <c r="D308" s="3"/>
      <c r="E308" s="3"/>
      <c r="F308" s="3"/>
      <c r="G308" s="3"/>
      <c r="H308" s="3"/>
      <c r="I308" s="3"/>
      <c r="J308" s="3"/>
      <c r="K308" s="3"/>
      <c r="L308" s="3"/>
      <c r="M308" s="3"/>
      <c r="N308" s="3"/>
      <c r="O308" s="3"/>
      <c r="P308" s="3"/>
      <c r="Q308" s="3"/>
      <c r="AS308" s="953">
        <v>4111</v>
      </c>
    </row>
    <row r="309" spans="1:45" x14ac:dyDescent="0.45">
      <c r="A309" s="3"/>
      <c r="B309" s="3"/>
      <c r="C309" s="3"/>
      <c r="D309" s="3"/>
      <c r="E309" s="3"/>
      <c r="F309" s="3"/>
      <c r="G309" s="3"/>
      <c r="H309" s="3"/>
      <c r="I309" s="3"/>
      <c r="J309" s="3"/>
      <c r="K309" s="3"/>
      <c r="L309" s="3"/>
      <c r="M309" s="3"/>
      <c r="N309" s="3"/>
      <c r="O309" s="3"/>
      <c r="P309" s="3"/>
      <c r="Q309" s="3"/>
      <c r="AS309" s="953">
        <v>4112</v>
      </c>
    </row>
    <row r="310" spans="1:45" x14ac:dyDescent="0.45">
      <c r="A310" s="3"/>
      <c r="B310" s="3"/>
      <c r="C310" s="3"/>
      <c r="D310" s="3"/>
      <c r="E310" s="3"/>
      <c r="F310" s="3"/>
      <c r="G310" s="3"/>
      <c r="H310" s="3"/>
      <c r="I310" s="3"/>
      <c r="J310" s="3"/>
      <c r="K310" s="3"/>
      <c r="L310" s="3"/>
      <c r="M310" s="3"/>
      <c r="N310" s="3"/>
      <c r="O310" s="3"/>
      <c r="P310" s="3"/>
      <c r="Q310" s="3"/>
      <c r="AS310" s="953">
        <v>4113</v>
      </c>
    </row>
    <row r="311" spans="1:45" x14ac:dyDescent="0.45">
      <c r="A311" s="3"/>
      <c r="B311" s="3"/>
      <c r="C311" s="3"/>
      <c r="D311" s="3"/>
      <c r="E311" s="3"/>
      <c r="F311" s="3"/>
      <c r="G311" s="3"/>
      <c r="H311" s="3"/>
      <c r="I311" s="3"/>
      <c r="J311" s="3"/>
      <c r="K311" s="3"/>
      <c r="L311" s="3"/>
      <c r="M311" s="3"/>
      <c r="N311" s="3"/>
      <c r="O311" s="3"/>
      <c r="P311" s="3"/>
      <c r="Q311" s="3"/>
      <c r="AS311" s="953">
        <v>4114</v>
      </c>
    </row>
    <row r="312" spans="1:45" x14ac:dyDescent="0.45">
      <c r="A312" s="3"/>
      <c r="B312" s="3"/>
      <c r="C312" s="3"/>
      <c r="D312" s="3"/>
      <c r="E312" s="3"/>
      <c r="F312" s="3"/>
      <c r="G312" s="3"/>
      <c r="H312" s="3"/>
      <c r="I312" s="3"/>
      <c r="J312" s="3"/>
      <c r="K312" s="3"/>
      <c r="L312" s="3"/>
      <c r="M312" s="3"/>
      <c r="N312" s="3"/>
      <c r="O312" s="3"/>
      <c r="P312" s="3"/>
      <c r="Q312" s="3"/>
      <c r="AS312" s="953">
        <v>4121</v>
      </c>
    </row>
    <row r="313" spans="1:45" x14ac:dyDescent="0.45">
      <c r="A313" s="3"/>
      <c r="B313" s="3"/>
      <c r="C313" s="3"/>
      <c r="D313" s="3"/>
      <c r="E313" s="3"/>
      <c r="F313" s="3"/>
      <c r="G313" s="3"/>
      <c r="H313" s="3"/>
      <c r="I313" s="3"/>
      <c r="J313" s="3"/>
      <c r="K313" s="3"/>
      <c r="L313" s="3"/>
      <c r="M313" s="3"/>
      <c r="N313" s="3"/>
      <c r="O313" s="3"/>
      <c r="P313" s="3"/>
      <c r="Q313" s="3"/>
      <c r="AS313" s="953">
        <v>4122</v>
      </c>
    </row>
    <row r="314" spans="1:45" x14ac:dyDescent="0.45">
      <c r="A314" s="3"/>
      <c r="B314" s="3"/>
      <c r="C314" s="3"/>
      <c r="D314" s="3"/>
      <c r="E314" s="3"/>
      <c r="F314" s="3"/>
      <c r="G314" s="3"/>
      <c r="H314" s="3"/>
      <c r="I314" s="3"/>
      <c r="J314" s="3"/>
      <c r="K314" s="3"/>
      <c r="L314" s="3"/>
      <c r="M314" s="3"/>
      <c r="N314" s="3"/>
      <c r="O314" s="3"/>
      <c r="P314" s="3"/>
      <c r="Q314" s="3"/>
      <c r="AS314" s="953">
        <v>4211</v>
      </c>
    </row>
    <row r="315" spans="1:45" x14ac:dyDescent="0.45">
      <c r="A315" s="3"/>
      <c r="B315" s="3"/>
      <c r="C315" s="3"/>
      <c r="D315" s="3"/>
      <c r="E315" s="3"/>
      <c r="F315" s="3"/>
      <c r="G315" s="3"/>
      <c r="H315" s="3"/>
      <c r="I315" s="3"/>
      <c r="J315" s="3"/>
      <c r="K315" s="3"/>
      <c r="L315" s="3"/>
      <c r="M315" s="3"/>
      <c r="N315" s="3"/>
      <c r="O315" s="3"/>
      <c r="P315" s="3"/>
      <c r="Q315" s="3"/>
      <c r="AS315" s="953">
        <v>4212</v>
      </c>
    </row>
    <row r="316" spans="1:45" x14ac:dyDescent="0.45">
      <c r="A316" s="3"/>
      <c r="B316" s="3"/>
      <c r="C316" s="3"/>
      <c r="D316" s="3"/>
      <c r="E316" s="3"/>
      <c r="F316" s="3"/>
      <c r="G316" s="3"/>
      <c r="H316" s="3"/>
      <c r="I316" s="3"/>
      <c r="J316" s="3"/>
      <c r="K316" s="3"/>
      <c r="L316" s="3"/>
      <c r="M316" s="3"/>
      <c r="N316" s="3"/>
      <c r="O316" s="3"/>
      <c r="P316" s="3"/>
      <c r="Q316" s="3"/>
      <c r="AS316" s="953">
        <v>4221</v>
      </c>
    </row>
    <row r="317" spans="1:45" x14ac:dyDescent="0.45">
      <c r="A317" s="3"/>
      <c r="B317" s="3"/>
      <c r="C317" s="3"/>
      <c r="D317" s="3"/>
      <c r="E317" s="3"/>
      <c r="F317" s="3"/>
      <c r="G317" s="3"/>
      <c r="H317" s="3"/>
      <c r="I317" s="3"/>
      <c r="J317" s="3"/>
      <c r="K317" s="3"/>
      <c r="L317" s="3"/>
      <c r="M317" s="3"/>
      <c r="N317" s="3"/>
      <c r="O317" s="3"/>
      <c r="P317" s="3"/>
      <c r="Q317" s="3"/>
      <c r="AS317" s="953">
        <v>4222</v>
      </c>
    </row>
    <row r="318" spans="1:45" x14ac:dyDescent="0.45">
      <c r="A318" s="3"/>
      <c r="B318" s="3"/>
      <c r="C318" s="3"/>
      <c r="D318" s="3"/>
      <c r="E318" s="3"/>
      <c r="F318" s="3"/>
      <c r="G318" s="3"/>
      <c r="H318" s="3"/>
      <c r="I318" s="3"/>
      <c r="J318" s="3"/>
      <c r="K318" s="3"/>
      <c r="L318" s="3"/>
      <c r="M318" s="3"/>
      <c r="N318" s="3"/>
      <c r="O318" s="3"/>
      <c r="P318" s="3"/>
      <c r="Q318" s="3"/>
      <c r="AS318" s="953">
        <v>4231</v>
      </c>
    </row>
    <row r="319" spans="1:45" x14ac:dyDescent="0.45">
      <c r="A319" s="3"/>
      <c r="B319" s="3"/>
      <c r="C319" s="3"/>
      <c r="D319" s="3"/>
      <c r="E319" s="3"/>
      <c r="F319" s="3"/>
      <c r="G319" s="3"/>
      <c r="H319" s="3"/>
      <c r="I319" s="3"/>
      <c r="J319" s="3"/>
      <c r="K319" s="3"/>
      <c r="L319" s="3"/>
      <c r="M319" s="3"/>
      <c r="N319" s="3"/>
      <c r="O319" s="3"/>
      <c r="P319" s="3"/>
      <c r="Q319" s="3"/>
      <c r="AS319" s="953">
        <v>4241</v>
      </c>
    </row>
    <row r="320" spans="1:45" x14ac:dyDescent="0.45">
      <c r="A320" s="3"/>
      <c r="B320" s="3"/>
      <c r="C320" s="3"/>
      <c r="D320" s="3"/>
      <c r="E320" s="3"/>
      <c r="F320" s="3"/>
      <c r="G320" s="3"/>
      <c r="H320" s="3"/>
      <c r="I320" s="3"/>
      <c r="J320" s="3"/>
      <c r="K320" s="3"/>
      <c r="L320" s="3"/>
      <c r="M320" s="3"/>
      <c r="N320" s="3"/>
      <c r="O320" s="3"/>
      <c r="P320" s="3"/>
      <c r="Q320" s="3"/>
      <c r="AS320" s="953">
        <v>4251</v>
      </c>
    </row>
    <row r="321" spans="1:45" x14ac:dyDescent="0.45">
      <c r="A321" s="3"/>
      <c r="B321" s="3"/>
      <c r="C321" s="3"/>
      <c r="D321" s="3"/>
      <c r="E321" s="3"/>
      <c r="F321" s="3"/>
      <c r="G321" s="3"/>
      <c r="H321" s="3"/>
      <c r="I321" s="3"/>
      <c r="J321" s="3"/>
      <c r="K321" s="3"/>
      <c r="L321" s="3"/>
      <c r="M321" s="3"/>
      <c r="N321" s="3"/>
      <c r="O321" s="3"/>
      <c r="P321" s="3"/>
      <c r="Q321" s="3"/>
      <c r="AS321" s="953">
        <v>4311</v>
      </c>
    </row>
    <row r="322" spans="1:45" x14ac:dyDescent="0.45">
      <c r="A322" s="3"/>
      <c r="B322" s="3"/>
      <c r="C322" s="3"/>
      <c r="D322" s="3"/>
      <c r="E322" s="3"/>
      <c r="F322" s="3"/>
      <c r="G322" s="3"/>
      <c r="H322" s="3"/>
      <c r="I322" s="3"/>
      <c r="J322" s="3"/>
      <c r="K322" s="3"/>
      <c r="L322" s="3"/>
      <c r="M322" s="3"/>
      <c r="N322" s="3"/>
      <c r="O322" s="3"/>
      <c r="P322" s="3"/>
      <c r="Q322" s="3"/>
      <c r="AS322" s="953">
        <v>4321</v>
      </c>
    </row>
    <row r="323" spans="1:45" x14ac:dyDescent="0.45">
      <c r="A323" s="3"/>
      <c r="B323" s="3"/>
      <c r="C323" s="3"/>
      <c r="D323" s="3"/>
      <c r="E323" s="3"/>
      <c r="F323" s="3"/>
      <c r="G323" s="3"/>
      <c r="H323" s="3"/>
      <c r="I323" s="3"/>
      <c r="J323" s="3"/>
      <c r="K323" s="3"/>
      <c r="L323" s="3"/>
      <c r="M323" s="3"/>
      <c r="N323" s="3"/>
      <c r="O323" s="3"/>
      <c r="P323" s="3"/>
      <c r="Q323" s="3"/>
      <c r="AS323" s="953">
        <v>4411</v>
      </c>
    </row>
    <row r="324" spans="1:45" x14ac:dyDescent="0.45">
      <c r="A324" s="3"/>
      <c r="B324" s="3"/>
      <c r="C324" s="3"/>
      <c r="D324" s="3"/>
      <c r="E324" s="3"/>
      <c r="F324" s="3"/>
      <c r="G324" s="3"/>
      <c r="H324" s="3"/>
      <c r="I324" s="3"/>
      <c r="J324" s="3"/>
      <c r="K324" s="3"/>
      <c r="L324" s="3"/>
      <c r="M324" s="3"/>
      <c r="N324" s="3"/>
      <c r="O324" s="3"/>
      <c r="P324" s="3"/>
      <c r="Q324" s="3"/>
      <c r="AS324" s="953">
        <v>4412</v>
      </c>
    </row>
    <row r="325" spans="1:45" x14ac:dyDescent="0.45">
      <c r="A325" s="3"/>
      <c r="B325" s="3"/>
      <c r="C325" s="3"/>
      <c r="D325" s="3"/>
      <c r="E325" s="3"/>
      <c r="F325" s="3"/>
      <c r="G325" s="3"/>
      <c r="H325" s="3"/>
      <c r="I325" s="3"/>
      <c r="J325" s="3"/>
      <c r="K325" s="3"/>
      <c r="L325" s="3"/>
      <c r="M325" s="3"/>
      <c r="N325" s="3"/>
      <c r="O325" s="3"/>
      <c r="P325" s="3"/>
      <c r="Q325" s="3"/>
      <c r="AS325" s="953">
        <v>4413</v>
      </c>
    </row>
    <row r="326" spans="1:45" x14ac:dyDescent="0.45">
      <c r="A326" s="3"/>
      <c r="B326" s="3"/>
      <c r="C326" s="3"/>
      <c r="D326" s="3"/>
      <c r="E326" s="3"/>
      <c r="F326" s="3"/>
      <c r="G326" s="3"/>
      <c r="H326" s="3"/>
      <c r="I326" s="3"/>
      <c r="J326" s="3"/>
      <c r="K326" s="3"/>
      <c r="L326" s="3"/>
      <c r="M326" s="3"/>
      <c r="N326" s="3"/>
      <c r="O326" s="3"/>
      <c r="P326" s="3"/>
      <c r="Q326" s="3"/>
      <c r="AS326" s="953">
        <v>4414</v>
      </c>
    </row>
    <row r="327" spans="1:45" x14ac:dyDescent="0.45">
      <c r="A327" s="3"/>
      <c r="B327" s="3"/>
      <c r="C327" s="3"/>
      <c r="D327" s="3"/>
      <c r="E327" s="3"/>
      <c r="F327" s="3"/>
      <c r="G327" s="3"/>
      <c r="H327" s="3"/>
      <c r="I327" s="3"/>
      <c r="J327" s="3"/>
      <c r="K327" s="3"/>
      <c r="L327" s="3"/>
      <c r="M327" s="3"/>
      <c r="N327" s="3"/>
      <c r="O327" s="3"/>
      <c r="P327" s="3"/>
      <c r="Q327" s="3"/>
      <c r="AS327" s="953">
        <v>4421</v>
      </c>
    </row>
    <row r="328" spans="1:45" x14ac:dyDescent="0.45">
      <c r="A328" s="3"/>
      <c r="B328" s="3"/>
      <c r="C328" s="3"/>
      <c r="D328" s="3"/>
      <c r="E328" s="3"/>
      <c r="F328" s="3"/>
      <c r="G328" s="3"/>
      <c r="H328" s="3"/>
      <c r="I328" s="3"/>
      <c r="J328" s="3"/>
      <c r="K328" s="3"/>
      <c r="L328" s="3"/>
      <c r="M328" s="3"/>
      <c r="N328" s="3"/>
      <c r="O328" s="3"/>
      <c r="P328" s="3"/>
      <c r="Q328" s="3"/>
      <c r="AS328" s="953">
        <v>4422</v>
      </c>
    </row>
    <row r="329" spans="1:45" x14ac:dyDescent="0.45">
      <c r="A329" s="3"/>
      <c r="B329" s="3"/>
      <c r="C329" s="3"/>
      <c r="D329" s="3"/>
      <c r="E329" s="3"/>
      <c r="F329" s="3"/>
      <c r="G329" s="3"/>
      <c r="H329" s="3"/>
      <c r="I329" s="3"/>
      <c r="J329" s="3"/>
      <c r="K329" s="3"/>
      <c r="L329" s="3"/>
      <c r="M329" s="3"/>
      <c r="N329" s="3"/>
      <c r="O329" s="3"/>
      <c r="P329" s="3"/>
      <c r="Q329" s="3"/>
      <c r="AS329" s="953">
        <v>4423</v>
      </c>
    </row>
    <row r="330" spans="1:45" x14ac:dyDescent="0.45">
      <c r="A330" s="3"/>
      <c r="B330" s="3"/>
      <c r="C330" s="3"/>
      <c r="D330" s="3"/>
      <c r="E330" s="3"/>
      <c r="F330" s="3"/>
      <c r="G330" s="3"/>
      <c r="H330" s="3"/>
      <c r="I330" s="3"/>
      <c r="J330" s="3"/>
      <c r="K330" s="3"/>
      <c r="L330" s="3"/>
      <c r="M330" s="3"/>
      <c r="N330" s="3"/>
      <c r="O330" s="3"/>
      <c r="P330" s="3"/>
      <c r="Q330" s="3"/>
      <c r="AS330" s="953">
        <v>4424</v>
      </c>
    </row>
    <row r="331" spans="1:45" x14ac:dyDescent="0.45">
      <c r="A331" s="3"/>
      <c r="B331" s="3"/>
      <c r="C331" s="3"/>
      <c r="D331" s="3"/>
      <c r="E331" s="3"/>
      <c r="F331" s="3"/>
      <c r="G331" s="3"/>
      <c r="H331" s="3"/>
      <c r="I331" s="3"/>
      <c r="J331" s="3"/>
      <c r="K331" s="3"/>
      <c r="L331" s="3"/>
      <c r="M331" s="3"/>
      <c r="N331" s="3"/>
      <c r="O331" s="3"/>
      <c r="P331" s="3"/>
      <c r="Q331" s="3"/>
      <c r="AS331" s="953">
        <v>4425</v>
      </c>
    </row>
    <row r="332" spans="1:45" x14ac:dyDescent="0.45">
      <c r="A332" s="3"/>
      <c r="B332" s="3"/>
      <c r="C332" s="3"/>
      <c r="D332" s="3"/>
      <c r="E332" s="3"/>
      <c r="F332" s="3"/>
      <c r="G332" s="3"/>
      <c r="H332" s="3"/>
      <c r="I332" s="3"/>
      <c r="J332" s="3"/>
      <c r="K332" s="3"/>
      <c r="L332" s="3"/>
      <c r="M332" s="3"/>
      <c r="N332" s="3"/>
      <c r="O332" s="3"/>
      <c r="P332" s="3"/>
      <c r="Q332" s="3"/>
      <c r="AS332" s="953">
        <v>4426</v>
      </c>
    </row>
    <row r="333" spans="1:45" x14ac:dyDescent="0.45">
      <c r="A333" s="3"/>
      <c r="B333" s="3"/>
      <c r="C333" s="3"/>
      <c r="D333" s="3"/>
      <c r="E333" s="3"/>
      <c r="F333" s="3"/>
      <c r="G333" s="3"/>
      <c r="H333" s="3"/>
      <c r="I333" s="3"/>
      <c r="J333" s="3"/>
      <c r="K333" s="3"/>
      <c r="L333" s="3"/>
      <c r="M333" s="3"/>
      <c r="N333" s="3"/>
      <c r="O333" s="3"/>
      <c r="P333" s="3"/>
      <c r="Q333" s="3"/>
      <c r="AS333" s="953">
        <v>4427</v>
      </c>
    </row>
    <row r="334" spans="1:45" x14ac:dyDescent="0.45">
      <c r="A334" s="3"/>
      <c r="B334" s="3"/>
      <c r="C334" s="3"/>
      <c r="D334" s="3"/>
      <c r="E334" s="3"/>
      <c r="F334" s="3"/>
      <c r="G334" s="3"/>
      <c r="H334" s="3"/>
      <c r="I334" s="3"/>
      <c r="J334" s="3"/>
      <c r="K334" s="3"/>
      <c r="L334" s="3"/>
      <c r="M334" s="3"/>
      <c r="N334" s="3"/>
      <c r="O334" s="3"/>
      <c r="P334" s="3"/>
      <c r="Q334" s="3"/>
      <c r="AS334" s="953">
        <v>4428</v>
      </c>
    </row>
    <row r="335" spans="1:45" x14ac:dyDescent="0.45">
      <c r="A335" s="3"/>
      <c r="B335" s="3"/>
      <c r="C335" s="3"/>
      <c r="D335" s="3"/>
      <c r="E335" s="3"/>
      <c r="F335" s="3"/>
      <c r="G335" s="3"/>
      <c r="H335" s="3"/>
      <c r="I335" s="3"/>
      <c r="J335" s="3"/>
      <c r="K335" s="3"/>
      <c r="L335" s="3"/>
      <c r="M335" s="3"/>
      <c r="N335" s="3"/>
      <c r="O335" s="3"/>
      <c r="P335" s="3"/>
      <c r="Q335" s="3"/>
      <c r="AS335" s="953">
        <v>4511</v>
      </c>
    </row>
    <row r="336" spans="1:45" x14ac:dyDescent="0.45">
      <c r="A336" s="3"/>
      <c r="B336" s="3"/>
      <c r="C336" s="3"/>
      <c r="D336" s="3"/>
      <c r="E336" s="3"/>
      <c r="F336" s="3"/>
      <c r="G336" s="3"/>
      <c r="H336" s="3"/>
      <c r="I336" s="3"/>
      <c r="J336" s="3"/>
      <c r="K336" s="3"/>
      <c r="L336" s="3"/>
      <c r="M336" s="3"/>
      <c r="N336" s="3"/>
      <c r="O336" s="3"/>
      <c r="P336" s="3"/>
      <c r="Q336" s="3"/>
      <c r="AS336" s="953">
        <v>4521</v>
      </c>
    </row>
    <row r="337" spans="1:45" x14ac:dyDescent="0.45">
      <c r="A337" s="3"/>
      <c r="B337" s="3"/>
      <c r="C337" s="3"/>
      <c r="D337" s="3"/>
      <c r="E337" s="3"/>
      <c r="F337" s="3"/>
      <c r="G337" s="3"/>
      <c r="H337" s="3"/>
      <c r="I337" s="3"/>
      <c r="J337" s="3"/>
      <c r="K337" s="3"/>
      <c r="L337" s="3"/>
      <c r="M337" s="3"/>
      <c r="N337" s="3"/>
      <c r="O337" s="3"/>
      <c r="P337" s="3"/>
      <c r="Q337" s="3"/>
      <c r="AS337" s="953">
        <v>5100</v>
      </c>
    </row>
    <row r="338" spans="1:45" x14ac:dyDescent="0.45">
      <c r="A338" s="3"/>
      <c r="B338" s="3"/>
      <c r="C338" s="3"/>
      <c r="D338" s="3"/>
      <c r="E338" s="3"/>
      <c r="F338" s="3"/>
      <c r="G338" s="3"/>
      <c r="H338" s="3"/>
      <c r="I338" s="3"/>
      <c r="J338" s="3"/>
      <c r="K338" s="3"/>
      <c r="L338" s="3"/>
      <c r="M338" s="3"/>
      <c r="N338" s="3"/>
      <c r="O338" s="3"/>
      <c r="P338" s="3"/>
      <c r="Q338" s="3"/>
      <c r="AS338" s="953">
        <v>5302</v>
      </c>
    </row>
    <row r="339" spans="1:45" x14ac:dyDescent="0.45">
      <c r="A339" s="3"/>
      <c r="B339" s="3"/>
      <c r="C339" s="3"/>
      <c r="D339" s="3"/>
      <c r="E339" s="3"/>
      <c r="F339" s="3"/>
      <c r="G339" s="3"/>
      <c r="H339" s="3"/>
      <c r="I339" s="3"/>
      <c r="J339" s="3"/>
      <c r="K339" s="3"/>
      <c r="L339" s="3"/>
      <c r="M339" s="3"/>
      <c r="N339" s="3"/>
      <c r="O339" s="3"/>
      <c r="P339" s="3"/>
      <c r="Q339" s="3"/>
      <c r="AS339" s="953">
        <v>5303</v>
      </c>
    </row>
    <row r="340" spans="1:45" x14ac:dyDescent="0.45">
      <c r="A340" s="3"/>
      <c r="B340" s="3"/>
      <c r="C340" s="3"/>
      <c r="D340" s="3"/>
      <c r="E340" s="3"/>
      <c r="F340" s="3"/>
      <c r="G340" s="3"/>
      <c r="H340" s="3"/>
      <c r="I340" s="3"/>
      <c r="J340" s="3"/>
      <c r="K340" s="3"/>
      <c r="L340" s="3"/>
      <c r="M340" s="3"/>
      <c r="N340" s="3"/>
      <c r="O340" s="3"/>
      <c r="P340" s="3"/>
      <c r="Q340" s="3"/>
      <c r="AS340" s="953">
        <v>5304</v>
      </c>
    </row>
    <row r="341" spans="1:45" x14ac:dyDescent="0.45">
      <c r="A341" s="3"/>
      <c r="B341" s="3"/>
      <c r="C341" s="3"/>
      <c r="D341" s="3"/>
      <c r="E341" s="3"/>
      <c r="F341" s="3"/>
      <c r="G341" s="3"/>
      <c r="H341" s="3"/>
      <c r="I341" s="3"/>
      <c r="J341" s="3"/>
      <c r="K341" s="3"/>
      <c r="L341" s="3"/>
      <c r="M341" s="3"/>
      <c r="N341" s="3"/>
      <c r="O341" s="3"/>
      <c r="P341" s="3"/>
      <c r="Q341" s="3"/>
      <c r="AS341" s="953">
        <v>5306</v>
      </c>
    </row>
    <row r="342" spans="1:45" x14ac:dyDescent="0.45">
      <c r="A342" s="3"/>
      <c r="B342" s="3"/>
      <c r="C342" s="3"/>
      <c r="D342" s="3"/>
      <c r="E342" s="3"/>
      <c r="F342" s="3"/>
      <c r="G342" s="3"/>
      <c r="H342" s="3"/>
      <c r="I342" s="3"/>
      <c r="J342" s="3"/>
      <c r="K342" s="3"/>
      <c r="L342" s="3"/>
      <c r="M342" s="3"/>
      <c r="N342" s="3"/>
      <c r="O342" s="3"/>
      <c r="P342" s="3"/>
      <c r="Q342" s="3"/>
      <c r="AS342" s="953">
        <v>5307</v>
      </c>
    </row>
    <row r="343" spans="1:45" x14ac:dyDescent="0.45">
      <c r="A343" s="3"/>
      <c r="B343" s="3"/>
      <c r="C343" s="3"/>
      <c r="D343" s="3"/>
      <c r="E343" s="3"/>
      <c r="F343" s="3"/>
      <c r="G343" s="3"/>
      <c r="H343" s="3"/>
      <c r="I343" s="3"/>
      <c r="J343" s="3"/>
      <c r="K343" s="3"/>
      <c r="L343" s="3"/>
      <c r="M343" s="3"/>
      <c r="N343" s="3"/>
      <c r="O343" s="3"/>
      <c r="P343" s="3"/>
      <c r="Q343" s="3"/>
      <c r="AS343" s="953">
        <v>5400</v>
      </c>
    </row>
    <row r="344" spans="1:45" x14ac:dyDescent="0.45">
      <c r="A344" s="3"/>
      <c r="B344" s="3"/>
      <c r="C344" s="3"/>
      <c r="D344" s="3"/>
      <c r="E344" s="3"/>
      <c r="F344" s="3"/>
      <c r="G344" s="3"/>
      <c r="H344" s="3"/>
      <c r="I344" s="3"/>
      <c r="J344" s="3"/>
      <c r="K344" s="3"/>
      <c r="L344" s="3"/>
      <c r="M344" s="3"/>
      <c r="N344" s="3"/>
      <c r="O344" s="3"/>
      <c r="P344" s="3"/>
      <c r="Q344" s="3"/>
      <c r="AS344" s="953">
        <v>5500</v>
      </c>
    </row>
    <row r="345" spans="1:45" x14ac:dyDescent="0.45">
      <c r="A345" s="3"/>
      <c r="B345" s="3"/>
      <c r="C345" s="3"/>
      <c r="D345" s="3"/>
      <c r="E345" s="3"/>
      <c r="F345" s="3"/>
      <c r="G345" s="3"/>
      <c r="H345" s="3"/>
      <c r="I345" s="3"/>
      <c r="J345" s="3"/>
      <c r="K345" s="3"/>
      <c r="L345" s="3"/>
      <c r="M345" s="3"/>
      <c r="N345" s="3"/>
      <c r="O345" s="3"/>
      <c r="P345" s="3"/>
      <c r="Q345" s="3"/>
      <c r="AS345" s="953">
        <v>5501</v>
      </c>
    </row>
    <row r="346" spans="1:45" x14ac:dyDescent="0.45">
      <c r="A346" s="3"/>
      <c r="B346" s="3"/>
      <c r="C346" s="3"/>
      <c r="D346" s="3"/>
      <c r="E346" s="3"/>
      <c r="F346" s="3"/>
      <c r="G346" s="3"/>
      <c r="H346" s="3"/>
      <c r="I346" s="3"/>
      <c r="J346" s="3"/>
      <c r="K346" s="3"/>
      <c r="L346" s="3"/>
      <c r="M346" s="3"/>
      <c r="N346" s="3"/>
      <c r="O346" s="3"/>
      <c r="P346" s="3"/>
      <c r="Q346" s="3"/>
      <c r="AS346" s="953">
        <v>6100</v>
      </c>
    </row>
    <row r="347" spans="1:45" x14ac:dyDescent="0.45">
      <c r="A347" s="3"/>
      <c r="B347" s="3"/>
      <c r="C347" s="3"/>
      <c r="D347" s="3"/>
      <c r="E347" s="3"/>
      <c r="F347" s="3"/>
      <c r="G347" s="3"/>
      <c r="H347" s="3"/>
      <c r="I347" s="3"/>
      <c r="J347" s="3"/>
      <c r="K347" s="3"/>
      <c r="L347" s="3"/>
      <c r="M347" s="3"/>
      <c r="N347" s="3"/>
      <c r="O347" s="3"/>
      <c r="P347" s="3"/>
      <c r="Q347" s="3"/>
      <c r="AS347" s="953">
        <v>6101</v>
      </c>
    </row>
    <row r="348" spans="1:45" x14ac:dyDescent="0.45">
      <c r="A348" s="3"/>
      <c r="B348" s="3"/>
      <c r="C348" s="3"/>
      <c r="D348" s="3"/>
      <c r="E348" s="3"/>
      <c r="F348" s="3"/>
      <c r="G348" s="3"/>
      <c r="H348" s="3"/>
      <c r="I348" s="3"/>
      <c r="J348" s="3"/>
      <c r="K348" s="3"/>
      <c r="L348" s="3"/>
      <c r="M348" s="3"/>
      <c r="N348" s="3"/>
      <c r="O348" s="3"/>
      <c r="P348" s="3"/>
      <c r="Q348" s="3"/>
      <c r="AS348" s="953">
        <v>6102</v>
      </c>
    </row>
    <row r="349" spans="1:45" x14ac:dyDescent="0.45">
      <c r="A349" s="3"/>
      <c r="B349" s="3"/>
      <c r="C349" s="3"/>
      <c r="D349" s="3"/>
      <c r="E349" s="3"/>
      <c r="F349" s="3"/>
      <c r="G349" s="3"/>
      <c r="H349" s="3"/>
      <c r="I349" s="3"/>
      <c r="J349" s="3"/>
      <c r="K349" s="3"/>
      <c r="L349" s="3"/>
      <c r="M349" s="3"/>
      <c r="N349" s="3"/>
      <c r="O349" s="3"/>
      <c r="P349" s="3"/>
      <c r="Q349" s="3"/>
      <c r="AS349" s="953">
        <v>6103</v>
      </c>
    </row>
    <row r="350" spans="1:45" x14ac:dyDescent="0.45">
      <c r="A350" s="3"/>
      <c r="B350" s="3"/>
      <c r="C350" s="3"/>
      <c r="D350" s="3"/>
      <c r="E350" s="3"/>
      <c r="F350" s="3"/>
      <c r="G350" s="3"/>
      <c r="H350" s="3"/>
      <c r="I350" s="3"/>
      <c r="J350" s="3"/>
      <c r="K350" s="3"/>
      <c r="L350" s="3"/>
      <c r="M350" s="3"/>
      <c r="N350" s="3"/>
      <c r="O350" s="3"/>
      <c r="P350" s="3"/>
      <c r="Q350" s="3"/>
      <c r="AS350" s="953">
        <v>6104</v>
      </c>
    </row>
    <row r="351" spans="1:45" x14ac:dyDescent="0.45">
      <c r="A351" s="3"/>
      <c r="B351" s="3"/>
      <c r="C351" s="3"/>
      <c r="D351" s="3"/>
      <c r="E351" s="3"/>
      <c r="F351" s="3"/>
      <c r="G351" s="3"/>
      <c r="H351" s="3"/>
      <c r="I351" s="3"/>
      <c r="J351" s="3"/>
      <c r="K351" s="3"/>
      <c r="L351" s="3"/>
      <c r="M351" s="3"/>
      <c r="N351" s="3"/>
      <c r="O351" s="3"/>
      <c r="P351" s="3"/>
      <c r="Q351" s="3"/>
      <c r="AS351" s="953">
        <v>6105</v>
      </c>
    </row>
    <row r="352" spans="1:45" x14ac:dyDescent="0.45">
      <c r="A352" s="3"/>
      <c r="B352" s="3"/>
      <c r="C352" s="3"/>
      <c r="D352" s="3"/>
      <c r="E352" s="3"/>
      <c r="F352" s="3"/>
      <c r="G352" s="3"/>
      <c r="H352" s="3"/>
      <c r="I352" s="3"/>
      <c r="J352" s="3"/>
      <c r="K352" s="3"/>
      <c r="L352" s="3"/>
      <c r="M352" s="3"/>
      <c r="N352" s="3"/>
      <c r="O352" s="3"/>
      <c r="P352" s="3"/>
      <c r="Q352" s="3"/>
      <c r="AS352" s="953">
        <v>6106</v>
      </c>
    </row>
    <row r="353" spans="1:45" x14ac:dyDescent="0.45">
      <c r="A353" s="3"/>
      <c r="B353" s="3"/>
      <c r="C353" s="3"/>
      <c r="D353" s="3"/>
      <c r="E353" s="3"/>
      <c r="F353" s="3"/>
      <c r="G353" s="3"/>
      <c r="H353" s="3"/>
      <c r="I353" s="3"/>
      <c r="J353" s="3"/>
      <c r="K353" s="3"/>
      <c r="L353" s="3"/>
      <c r="M353" s="3"/>
      <c r="N353" s="3"/>
      <c r="O353" s="3"/>
      <c r="P353" s="3"/>
      <c r="Q353" s="3"/>
      <c r="AS353" s="953">
        <v>6200</v>
      </c>
    </row>
    <row r="354" spans="1:45" x14ac:dyDescent="0.45">
      <c r="A354" s="3"/>
      <c r="B354" s="3"/>
      <c r="C354" s="3"/>
      <c r="D354" s="3"/>
      <c r="E354" s="3"/>
      <c r="F354" s="3"/>
      <c r="G354" s="3"/>
      <c r="H354" s="3"/>
      <c r="I354" s="3"/>
      <c r="J354" s="3"/>
      <c r="K354" s="3"/>
      <c r="L354" s="3"/>
      <c r="M354" s="3"/>
      <c r="N354" s="3"/>
      <c r="O354" s="3"/>
      <c r="P354" s="3"/>
      <c r="Q354" s="3"/>
      <c r="AS354" s="953">
        <v>6201</v>
      </c>
    </row>
    <row r="355" spans="1:45" x14ac:dyDescent="0.45">
      <c r="A355" s="3"/>
      <c r="B355" s="3"/>
      <c r="C355" s="3"/>
      <c r="D355" s="3"/>
      <c r="E355" s="3"/>
      <c r="F355" s="3"/>
      <c r="G355" s="3"/>
      <c r="H355" s="3"/>
      <c r="I355" s="3"/>
      <c r="J355" s="3"/>
      <c r="K355" s="3"/>
      <c r="L355" s="3"/>
      <c r="M355" s="3"/>
      <c r="N355" s="3"/>
      <c r="O355" s="3"/>
      <c r="P355" s="3"/>
      <c r="Q355" s="3"/>
      <c r="AS355" s="953">
        <v>6900</v>
      </c>
    </row>
    <row r="356" spans="1:45" x14ac:dyDescent="0.45">
      <c r="A356" s="3"/>
      <c r="B356" s="3"/>
      <c r="C356" s="3"/>
      <c r="D356" s="3"/>
      <c r="E356" s="3"/>
      <c r="F356" s="3"/>
      <c r="G356" s="3"/>
      <c r="H356" s="3"/>
      <c r="I356" s="3"/>
      <c r="J356" s="3"/>
      <c r="K356" s="3"/>
      <c r="L356" s="3"/>
      <c r="M356" s="3"/>
      <c r="N356" s="3"/>
      <c r="O356" s="3"/>
      <c r="P356" s="3"/>
      <c r="Q356" s="3"/>
      <c r="AS356" s="953">
        <v>7110</v>
      </c>
    </row>
    <row r="357" spans="1:45" x14ac:dyDescent="0.45">
      <c r="A357" s="3"/>
      <c r="B357" s="3"/>
      <c r="C357" s="3"/>
      <c r="D357" s="3"/>
      <c r="E357" s="3"/>
      <c r="F357" s="3"/>
      <c r="G357" s="3"/>
      <c r="H357" s="3"/>
      <c r="I357" s="3"/>
      <c r="J357" s="3"/>
      <c r="K357" s="3"/>
      <c r="L357" s="3"/>
      <c r="M357" s="3"/>
      <c r="N357" s="3"/>
      <c r="O357" s="3"/>
      <c r="P357" s="3"/>
      <c r="Q357" s="3"/>
      <c r="AS357" s="953">
        <v>7120</v>
      </c>
    </row>
    <row r="358" spans="1:45" x14ac:dyDescent="0.45">
      <c r="A358" s="3"/>
      <c r="B358" s="3"/>
      <c r="C358" s="3"/>
      <c r="D358" s="3"/>
      <c r="E358" s="3"/>
      <c r="F358" s="3"/>
      <c r="G358" s="3"/>
      <c r="H358" s="3"/>
      <c r="I358" s="3"/>
      <c r="J358" s="3"/>
      <c r="K358" s="3"/>
      <c r="L358" s="3"/>
      <c r="M358" s="3"/>
      <c r="N358" s="3"/>
      <c r="O358" s="3"/>
      <c r="P358" s="3"/>
      <c r="Q358" s="3"/>
      <c r="AS358" s="953">
        <v>7130</v>
      </c>
    </row>
    <row r="359" spans="1:45" x14ac:dyDescent="0.45">
      <c r="A359" s="3"/>
      <c r="B359" s="3"/>
      <c r="C359" s="3"/>
      <c r="D359" s="3"/>
      <c r="E359" s="3"/>
      <c r="F359" s="3"/>
      <c r="G359" s="3"/>
      <c r="H359" s="3"/>
      <c r="I359" s="3"/>
      <c r="J359" s="3"/>
      <c r="K359" s="3"/>
      <c r="L359" s="3"/>
      <c r="M359" s="3"/>
      <c r="N359" s="3"/>
      <c r="O359" s="3"/>
      <c r="P359" s="3"/>
      <c r="Q359" s="3"/>
      <c r="AS359" s="953">
        <v>7141</v>
      </c>
    </row>
    <row r="360" spans="1:45" x14ac:dyDescent="0.45">
      <c r="A360" s="3"/>
      <c r="B360" s="3"/>
      <c r="C360" s="3"/>
      <c r="D360" s="3"/>
      <c r="E360" s="3"/>
      <c r="F360" s="3"/>
      <c r="G360" s="3"/>
      <c r="H360" s="3"/>
      <c r="I360" s="3"/>
      <c r="J360" s="3"/>
      <c r="K360" s="3"/>
      <c r="L360" s="3"/>
      <c r="M360" s="3"/>
      <c r="N360" s="3"/>
      <c r="O360" s="3"/>
      <c r="P360" s="3"/>
      <c r="Q360" s="3"/>
      <c r="AS360" s="953">
        <v>7142</v>
      </c>
    </row>
    <row r="361" spans="1:45" x14ac:dyDescent="0.45">
      <c r="A361" s="3"/>
      <c r="B361" s="3"/>
      <c r="C361" s="3"/>
      <c r="D361" s="3"/>
      <c r="E361" s="3"/>
      <c r="F361" s="3"/>
      <c r="G361" s="3"/>
      <c r="H361" s="3"/>
      <c r="I361" s="3"/>
      <c r="J361" s="3"/>
      <c r="K361" s="3"/>
      <c r="L361" s="3"/>
      <c r="M361" s="3"/>
      <c r="N361" s="3"/>
      <c r="O361" s="3"/>
      <c r="P361" s="3"/>
      <c r="Q361" s="3"/>
      <c r="AS361" s="953">
        <v>7143</v>
      </c>
    </row>
    <row r="362" spans="1:45" x14ac:dyDescent="0.45">
      <c r="A362" s="3"/>
      <c r="B362" s="3"/>
      <c r="C362" s="3"/>
      <c r="D362" s="3"/>
      <c r="E362" s="3"/>
      <c r="F362" s="3"/>
      <c r="G362" s="3"/>
      <c r="H362" s="3"/>
      <c r="I362" s="3"/>
      <c r="J362" s="3"/>
      <c r="K362" s="3"/>
      <c r="L362" s="3"/>
      <c r="M362" s="3"/>
      <c r="N362" s="3"/>
      <c r="O362" s="3"/>
      <c r="P362" s="3"/>
      <c r="Q362" s="3"/>
      <c r="AS362" s="953">
        <v>7145</v>
      </c>
    </row>
    <row r="363" spans="1:45" x14ac:dyDescent="0.45">
      <c r="A363" s="3"/>
      <c r="B363" s="3"/>
      <c r="C363" s="3"/>
      <c r="D363" s="3"/>
      <c r="E363" s="3"/>
      <c r="F363" s="3"/>
      <c r="G363" s="3"/>
      <c r="H363" s="3"/>
      <c r="I363" s="3"/>
      <c r="J363" s="3"/>
      <c r="K363" s="3"/>
      <c r="L363" s="3"/>
      <c r="M363" s="3"/>
      <c r="N363" s="3"/>
      <c r="O363" s="3"/>
      <c r="P363" s="3"/>
      <c r="Q363" s="3"/>
      <c r="AS363" s="953">
        <v>7147</v>
      </c>
    </row>
    <row r="364" spans="1:45" x14ac:dyDescent="0.45">
      <c r="A364" s="3"/>
      <c r="B364" s="3"/>
      <c r="C364" s="3"/>
      <c r="D364" s="3"/>
      <c r="E364" s="3"/>
      <c r="F364" s="3"/>
      <c r="G364" s="3"/>
      <c r="H364" s="3"/>
      <c r="I364" s="3"/>
      <c r="J364" s="3"/>
      <c r="K364" s="3"/>
      <c r="L364" s="3"/>
      <c r="M364" s="3"/>
      <c r="N364" s="3"/>
      <c r="O364" s="3"/>
      <c r="P364" s="3"/>
      <c r="Q364" s="3"/>
      <c r="AS364" s="953">
        <v>7210</v>
      </c>
    </row>
    <row r="365" spans="1:45" x14ac:dyDescent="0.45">
      <c r="A365" s="3"/>
      <c r="B365" s="3"/>
      <c r="C365" s="3"/>
      <c r="D365" s="3"/>
      <c r="E365" s="3"/>
      <c r="F365" s="3"/>
      <c r="G365" s="3"/>
      <c r="H365" s="3"/>
      <c r="I365" s="3"/>
      <c r="J365" s="3"/>
      <c r="K365" s="3"/>
      <c r="L365" s="3"/>
      <c r="M365" s="3"/>
      <c r="N365" s="3"/>
      <c r="O365" s="3"/>
      <c r="P365" s="3"/>
      <c r="Q365" s="3"/>
      <c r="AS365" s="953">
        <v>7212</v>
      </c>
    </row>
    <row r="366" spans="1:45" x14ac:dyDescent="0.45">
      <c r="A366" s="3"/>
      <c r="B366" s="3"/>
      <c r="C366" s="3"/>
      <c r="D366" s="3"/>
      <c r="E366" s="3"/>
      <c r="F366" s="3"/>
      <c r="G366" s="3"/>
      <c r="H366" s="3"/>
      <c r="I366" s="3"/>
      <c r="J366" s="3"/>
      <c r="K366" s="3"/>
      <c r="L366" s="3"/>
      <c r="M366" s="3"/>
      <c r="N366" s="3"/>
      <c r="O366" s="3"/>
      <c r="P366" s="3"/>
      <c r="Q366" s="3"/>
      <c r="AS366" s="953">
        <v>7213</v>
      </c>
    </row>
    <row r="367" spans="1:45" x14ac:dyDescent="0.45">
      <c r="A367" s="3"/>
      <c r="B367" s="3"/>
      <c r="C367" s="3"/>
      <c r="D367" s="3"/>
      <c r="E367" s="3"/>
      <c r="F367" s="3"/>
      <c r="G367" s="3"/>
      <c r="H367" s="3"/>
      <c r="I367" s="3"/>
      <c r="J367" s="3"/>
      <c r="K367" s="3"/>
      <c r="L367" s="3"/>
      <c r="M367" s="3"/>
      <c r="N367" s="3"/>
      <c r="O367" s="3"/>
      <c r="P367" s="3"/>
      <c r="Q367" s="3"/>
      <c r="AS367" s="953">
        <v>7214</v>
      </c>
    </row>
    <row r="368" spans="1:45" x14ac:dyDescent="0.45">
      <c r="A368" s="3"/>
      <c r="B368" s="3"/>
      <c r="C368" s="3"/>
      <c r="D368" s="3"/>
      <c r="E368" s="3"/>
      <c r="F368" s="3"/>
      <c r="G368" s="3"/>
      <c r="H368" s="3"/>
      <c r="I368" s="3"/>
      <c r="J368" s="3"/>
      <c r="K368" s="3"/>
      <c r="L368" s="3"/>
      <c r="M368" s="3"/>
      <c r="N368" s="3"/>
      <c r="O368" s="3"/>
      <c r="P368" s="3"/>
      <c r="Q368" s="3"/>
      <c r="AS368" s="953">
        <v>7215</v>
      </c>
    </row>
    <row r="369" spans="1:45" x14ac:dyDescent="0.45">
      <c r="A369" s="3"/>
      <c r="B369" s="3"/>
      <c r="C369" s="3"/>
      <c r="D369" s="3"/>
      <c r="E369" s="3"/>
      <c r="F369" s="3"/>
      <c r="G369" s="3"/>
      <c r="H369" s="3"/>
      <c r="I369" s="3"/>
      <c r="J369" s="3"/>
      <c r="K369" s="3"/>
      <c r="L369" s="3"/>
      <c r="M369" s="3"/>
      <c r="N369" s="3"/>
      <c r="O369" s="3"/>
      <c r="P369" s="3"/>
      <c r="Q369" s="3"/>
      <c r="AS369" s="953">
        <v>7218</v>
      </c>
    </row>
    <row r="370" spans="1:45" x14ac:dyDescent="0.45">
      <c r="A370" s="3"/>
      <c r="B370" s="3"/>
      <c r="C370" s="3"/>
      <c r="D370" s="3"/>
      <c r="E370" s="3"/>
      <c r="F370" s="3"/>
      <c r="G370" s="3"/>
      <c r="H370" s="3"/>
      <c r="I370" s="3"/>
      <c r="J370" s="3"/>
      <c r="K370" s="3"/>
      <c r="L370" s="3"/>
      <c r="M370" s="3"/>
      <c r="N370" s="3"/>
      <c r="O370" s="3"/>
      <c r="P370" s="3"/>
      <c r="Q370" s="3"/>
      <c r="AS370" s="953">
        <v>7220</v>
      </c>
    </row>
    <row r="371" spans="1:45" x14ac:dyDescent="0.45">
      <c r="A371" s="3"/>
      <c r="B371" s="3"/>
      <c r="C371" s="3"/>
      <c r="D371" s="3"/>
      <c r="E371" s="3"/>
      <c r="F371" s="3"/>
      <c r="G371" s="3"/>
      <c r="H371" s="3"/>
      <c r="I371" s="3"/>
      <c r="J371" s="3"/>
      <c r="K371" s="3"/>
      <c r="L371" s="3"/>
      <c r="M371" s="3"/>
      <c r="N371" s="3"/>
      <c r="O371" s="3"/>
      <c r="P371" s="3"/>
      <c r="Q371" s="3"/>
      <c r="AS371" s="953">
        <v>7231</v>
      </c>
    </row>
    <row r="372" spans="1:45" x14ac:dyDescent="0.45">
      <c r="A372" s="3"/>
      <c r="B372" s="3"/>
      <c r="C372" s="3"/>
      <c r="D372" s="3"/>
      <c r="E372" s="3"/>
      <c r="F372" s="3"/>
      <c r="G372" s="3"/>
      <c r="H372" s="3"/>
      <c r="I372" s="3"/>
      <c r="J372" s="3"/>
      <c r="K372" s="3"/>
      <c r="L372" s="3"/>
      <c r="M372" s="3"/>
      <c r="N372" s="3"/>
      <c r="O372" s="3"/>
      <c r="P372" s="3"/>
      <c r="Q372" s="3"/>
      <c r="AS372" s="953">
        <v>7232</v>
      </c>
    </row>
    <row r="373" spans="1:45" x14ac:dyDescent="0.45">
      <c r="A373" s="3"/>
      <c r="B373" s="3"/>
      <c r="C373" s="3"/>
      <c r="D373" s="3"/>
      <c r="E373" s="3"/>
      <c r="F373" s="3"/>
      <c r="G373" s="3"/>
      <c r="H373" s="3"/>
      <c r="I373" s="3"/>
      <c r="J373" s="3"/>
      <c r="K373" s="3"/>
      <c r="L373" s="3"/>
      <c r="M373" s="3"/>
      <c r="N373" s="3"/>
      <c r="O373" s="3"/>
      <c r="P373" s="3"/>
      <c r="Q373" s="3"/>
      <c r="AS373" s="953">
        <v>7233</v>
      </c>
    </row>
    <row r="374" spans="1:45" x14ac:dyDescent="0.45">
      <c r="A374" s="3"/>
      <c r="B374" s="3"/>
      <c r="C374" s="3"/>
      <c r="D374" s="3"/>
      <c r="E374" s="3"/>
      <c r="F374" s="3"/>
      <c r="G374" s="3"/>
      <c r="H374" s="3"/>
      <c r="I374" s="3"/>
      <c r="J374" s="3"/>
      <c r="K374" s="3"/>
      <c r="L374" s="3"/>
      <c r="M374" s="3"/>
      <c r="N374" s="3"/>
      <c r="O374" s="3"/>
      <c r="P374" s="3"/>
      <c r="Q374" s="3"/>
      <c r="AS374" s="953">
        <v>7234</v>
      </c>
    </row>
    <row r="375" spans="1:45" x14ac:dyDescent="0.45">
      <c r="A375" s="3"/>
      <c r="B375" s="3"/>
      <c r="C375" s="3"/>
      <c r="D375" s="3"/>
      <c r="E375" s="3"/>
      <c r="F375" s="3"/>
      <c r="G375" s="3"/>
      <c r="H375" s="3"/>
      <c r="I375" s="3"/>
      <c r="J375" s="3"/>
      <c r="K375" s="3"/>
      <c r="L375" s="3"/>
      <c r="M375" s="3"/>
      <c r="N375" s="3"/>
      <c r="O375" s="3"/>
      <c r="P375" s="3"/>
      <c r="Q375" s="3"/>
      <c r="AS375" s="953">
        <v>7235</v>
      </c>
    </row>
    <row r="376" spans="1:45" x14ac:dyDescent="0.45">
      <c r="A376" s="3"/>
      <c r="B376" s="3"/>
      <c r="C376" s="3"/>
      <c r="D376" s="3"/>
      <c r="E376" s="3"/>
      <c r="F376" s="3"/>
      <c r="G376" s="3"/>
      <c r="H376" s="3"/>
      <c r="I376" s="3"/>
      <c r="J376" s="3"/>
      <c r="K376" s="3"/>
      <c r="L376" s="3"/>
      <c r="M376" s="3"/>
      <c r="N376" s="3"/>
      <c r="O376" s="3"/>
      <c r="P376" s="3"/>
      <c r="Q376" s="3"/>
      <c r="AS376" s="953">
        <v>7236</v>
      </c>
    </row>
    <row r="377" spans="1:45" x14ac:dyDescent="0.45">
      <c r="A377" s="3"/>
      <c r="B377" s="3"/>
      <c r="C377" s="3"/>
      <c r="D377" s="3"/>
      <c r="E377" s="3"/>
      <c r="F377" s="3"/>
      <c r="G377" s="3"/>
      <c r="H377" s="3"/>
      <c r="I377" s="3"/>
      <c r="J377" s="3"/>
      <c r="K377" s="3"/>
      <c r="L377" s="3"/>
      <c r="M377" s="3"/>
      <c r="N377" s="3"/>
      <c r="O377" s="3"/>
      <c r="P377" s="3"/>
      <c r="Q377" s="3"/>
      <c r="AS377" s="953">
        <v>7240</v>
      </c>
    </row>
    <row r="378" spans="1:45" x14ac:dyDescent="0.45">
      <c r="A378" s="3"/>
      <c r="B378" s="3"/>
      <c r="C378" s="3"/>
      <c r="D378" s="3"/>
      <c r="E378" s="3"/>
      <c r="F378" s="3"/>
      <c r="G378" s="3"/>
      <c r="H378" s="3"/>
      <c r="I378" s="3"/>
      <c r="J378" s="3"/>
      <c r="K378" s="3"/>
      <c r="L378" s="3"/>
      <c r="M378" s="3"/>
      <c r="N378" s="3"/>
      <c r="O378" s="3"/>
      <c r="P378" s="3"/>
      <c r="Q378" s="3"/>
      <c r="AS378" s="953">
        <v>7241</v>
      </c>
    </row>
    <row r="379" spans="1:45" x14ac:dyDescent="0.45">
      <c r="A379" s="3"/>
      <c r="B379" s="3"/>
      <c r="C379" s="3"/>
      <c r="D379" s="3"/>
      <c r="E379" s="3"/>
      <c r="F379" s="3"/>
      <c r="G379" s="3"/>
      <c r="H379" s="3"/>
      <c r="I379" s="3"/>
      <c r="J379" s="3"/>
      <c r="K379" s="3"/>
      <c r="L379" s="3"/>
      <c r="M379" s="3"/>
      <c r="N379" s="3"/>
      <c r="O379" s="3"/>
      <c r="P379" s="3"/>
      <c r="Q379" s="3"/>
      <c r="AS379" s="953">
        <v>7242</v>
      </c>
    </row>
    <row r="380" spans="1:45" x14ac:dyDescent="0.45">
      <c r="A380" s="3"/>
      <c r="B380" s="3"/>
      <c r="C380" s="3"/>
      <c r="D380" s="3"/>
      <c r="E380" s="3"/>
      <c r="F380" s="3"/>
      <c r="G380" s="3"/>
      <c r="H380" s="3"/>
      <c r="I380" s="3"/>
      <c r="J380" s="3"/>
      <c r="K380" s="3"/>
      <c r="L380" s="3"/>
      <c r="M380" s="3"/>
      <c r="N380" s="3"/>
      <c r="O380" s="3"/>
      <c r="P380" s="3"/>
      <c r="Q380" s="3"/>
      <c r="AS380" s="953">
        <v>7250</v>
      </c>
    </row>
    <row r="381" spans="1:45" x14ac:dyDescent="0.45">
      <c r="A381" s="3"/>
      <c r="B381" s="3"/>
      <c r="C381" s="3"/>
      <c r="D381" s="3"/>
      <c r="E381" s="3"/>
      <c r="F381" s="3"/>
      <c r="G381" s="3"/>
      <c r="H381" s="3"/>
      <c r="I381" s="3"/>
      <c r="J381" s="3"/>
      <c r="K381" s="3"/>
      <c r="L381" s="3"/>
      <c r="M381" s="3"/>
      <c r="N381" s="3"/>
      <c r="O381" s="3"/>
      <c r="P381" s="3"/>
      <c r="Q381" s="3"/>
      <c r="AS381" s="953">
        <v>7251</v>
      </c>
    </row>
    <row r="382" spans="1:45" x14ac:dyDescent="0.45">
      <c r="A382" s="3"/>
      <c r="B382" s="3"/>
      <c r="C382" s="3"/>
      <c r="D382" s="3"/>
      <c r="E382" s="3"/>
      <c r="F382" s="3"/>
      <c r="G382" s="3"/>
      <c r="H382" s="3"/>
      <c r="I382" s="3"/>
      <c r="J382" s="3"/>
      <c r="K382" s="3"/>
      <c r="L382" s="3"/>
      <c r="M382" s="3"/>
      <c r="N382" s="3"/>
      <c r="O382" s="3"/>
      <c r="P382" s="3"/>
      <c r="Q382" s="3"/>
      <c r="AS382" s="953">
        <v>7311</v>
      </c>
    </row>
    <row r="383" spans="1:45" x14ac:dyDescent="0.45">
      <c r="A383" s="3"/>
      <c r="B383" s="3"/>
      <c r="C383" s="3"/>
      <c r="D383" s="3"/>
      <c r="E383" s="3"/>
      <c r="F383" s="3"/>
      <c r="G383" s="3"/>
      <c r="H383" s="3"/>
      <c r="I383" s="3"/>
      <c r="J383" s="3"/>
      <c r="K383" s="3"/>
      <c r="L383" s="3"/>
      <c r="M383" s="3"/>
      <c r="N383" s="3"/>
      <c r="O383" s="3"/>
      <c r="P383" s="3"/>
      <c r="Q383" s="3"/>
      <c r="AS383" s="953">
        <v>7312</v>
      </c>
    </row>
    <row r="384" spans="1:45" x14ac:dyDescent="0.45">
      <c r="A384" s="3"/>
      <c r="B384" s="3"/>
      <c r="C384" s="3"/>
      <c r="D384" s="3"/>
      <c r="E384" s="3"/>
      <c r="F384" s="3"/>
      <c r="G384" s="3"/>
      <c r="H384" s="3"/>
      <c r="I384" s="3"/>
      <c r="J384" s="3"/>
      <c r="K384" s="3"/>
      <c r="L384" s="3"/>
      <c r="M384" s="3"/>
      <c r="N384" s="3"/>
      <c r="O384" s="3"/>
      <c r="P384" s="3"/>
      <c r="Q384" s="3"/>
      <c r="AS384" s="953">
        <v>7313</v>
      </c>
    </row>
    <row r="385" spans="1:45" x14ac:dyDescent="0.45">
      <c r="A385" s="3"/>
      <c r="B385" s="3"/>
      <c r="C385" s="3"/>
      <c r="D385" s="3"/>
      <c r="E385" s="3"/>
      <c r="F385" s="3"/>
      <c r="G385" s="3"/>
      <c r="H385" s="3"/>
      <c r="I385" s="3"/>
      <c r="J385" s="3"/>
      <c r="K385" s="3"/>
      <c r="L385" s="3"/>
      <c r="M385" s="3"/>
      <c r="N385" s="3"/>
      <c r="O385" s="3"/>
      <c r="P385" s="3"/>
      <c r="Q385" s="3"/>
      <c r="AS385" s="953">
        <v>7314</v>
      </c>
    </row>
    <row r="386" spans="1:45" x14ac:dyDescent="0.45">
      <c r="A386" s="3"/>
      <c r="B386" s="3"/>
      <c r="C386" s="3"/>
      <c r="D386" s="3"/>
      <c r="E386" s="3"/>
      <c r="F386" s="3"/>
      <c r="G386" s="3"/>
      <c r="H386" s="3"/>
      <c r="I386" s="3"/>
      <c r="J386" s="3"/>
      <c r="K386" s="3"/>
      <c r="L386" s="3"/>
      <c r="M386" s="3"/>
      <c r="N386" s="3"/>
      <c r="O386" s="3"/>
      <c r="P386" s="3"/>
      <c r="Q386" s="3"/>
      <c r="AS386" s="953">
        <v>7321</v>
      </c>
    </row>
    <row r="387" spans="1:45" x14ac:dyDescent="0.45">
      <c r="A387" s="3"/>
      <c r="B387" s="3"/>
      <c r="C387" s="3"/>
      <c r="D387" s="3"/>
      <c r="E387" s="3"/>
      <c r="F387" s="3"/>
      <c r="G387" s="3"/>
      <c r="H387" s="3"/>
      <c r="I387" s="3"/>
      <c r="J387" s="3"/>
      <c r="K387" s="3"/>
      <c r="L387" s="3"/>
      <c r="M387" s="3"/>
      <c r="N387" s="3"/>
      <c r="O387" s="3"/>
      <c r="P387" s="3"/>
      <c r="Q387" s="3"/>
      <c r="AS387" s="953">
        <v>7322</v>
      </c>
    </row>
    <row r="388" spans="1:45" x14ac:dyDescent="0.45">
      <c r="A388" s="3"/>
      <c r="B388" s="3"/>
      <c r="C388" s="3"/>
      <c r="D388" s="3"/>
      <c r="E388" s="3"/>
      <c r="F388" s="3"/>
      <c r="G388" s="3"/>
      <c r="H388" s="3"/>
      <c r="I388" s="3"/>
      <c r="J388" s="3"/>
      <c r="K388" s="3"/>
      <c r="L388" s="3"/>
      <c r="M388" s="3"/>
      <c r="N388" s="3"/>
      <c r="O388" s="3"/>
      <c r="P388" s="3"/>
      <c r="Q388" s="3"/>
      <c r="AS388" s="953">
        <v>7323</v>
      </c>
    </row>
    <row r="389" spans="1:45" x14ac:dyDescent="0.45">
      <c r="A389" s="3"/>
      <c r="B389" s="3"/>
      <c r="C389" s="3"/>
      <c r="D389" s="3"/>
      <c r="E389" s="3"/>
      <c r="F389" s="3"/>
      <c r="G389" s="3"/>
      <c r="H389" s="3"/>
      <c r="I389" s="3"/>
      <c r="J389" s="3"/>
      <c r="K389" s="3"/>
      <c r="L389" s="3"/>
      <c r="M389" s="3"/>
      <c r="N389" s="3"/>
      <c r="O389" s="3"/>
      <c r="P389" s="3"/>
      <c r="Q389" s="3"/>
      <c r="AS389" s="953">
        <v>7331</v>
      </c>
    </row>
    <row r="390" spans="1:45" x14ac:dyDescent="0.45">
      <c r="A390" s="3"/>
      <c r="B390" s="3"/>
      <c r="C390" s="3"/>
      <c r="D390" s="3"/>
      <c r="E390" s="3"/>
      <c r="F390" s="3"/>
      <c r="G390" s="3"/>
      <c r="H390" s="3"/>
      <c r="I390" s="3"/>
      <c r="J390" s="3"/>
      <c r="K390" s="3"/>
      <c r="L390" s="3"/>
      <c r="M390" s="3"/>
      <c r="N390" s="3"/>
      <c r="O390" s="3"/>
      <c r="P390" s="3"/>
      <c r="Q390" s="3"/>
      <c r="AS390" s="953">
        <v>7332</v>
      </c>
    </row>
    <row r="391" spans="1:45" x14ac:dyDescent="0.45">
      <c r="A391" s="3"/>
      <c r="B391" s="3"/>
      <c r="C391" s="3"/>
      <c r="D391" s="3"/>
      <c r="E391" s="3"/>
      <c r="F391" s="3"/>
      <c r="G391" s="3"/>
      <c r="H391" s="3"/>
      <c r="I391" s="3"/>
      <c r="J391" s="3"/>
      <c r="K391" s="3"/>
      <c r="L391" s="3"/>
      <c r="M391" s="3"/>
      <c r="N391" s="3"/>
      <c r="O391" s="3"/>
      <c r="P391" s="3"/>
      <c r="Q391" s="3"/>
      <c r="AS391" s="953">
        <v>7333</v>
      </c>
    </row>
    <row r="392" spans="1:45" x14ac:dyDescent="0.45">
      <c r="A392" s="3"/>
      <c r="B392" s="3"/>
      <c r="C392" s="3"/>
      <c r="D392" s="3"/>
      <c r="E392" s="3"/>
      <c r="F392" s="3"/>
      <c r="G392" s="3"/>
      <c r="H392" s="3"/>
      <c r="I392" s="3"/>
      <c r="J392" s="3"/>
      <c r="K392" s="3"/>
      <c r="L392" s="3"/>
      <c r="M392" s="3"/>
      <c r="N392" s="3"/>
      <c r="O392" s="3"/>
      <c r="P392" s="3"/>
      <c r="Q392" s="3"/>
      <c r="AS392" s="953">
        <v>7340</v>
      </c>
    </row>
    <row r="393" spans="1:45" x14ac:dyDescent="0.45">
      <c r="A393" s="3"/>
      <c r="B393" s="3"/>
      <c r="C393" s="3"/>
      <c r="D393" s="3"/>
      <c r="E393" s="3"/>
      <c r="F393" s="3"/>
      <c r="G393" s="3"/>
      <c r="H393" s="3"/>
      <c r="I393" s="3"/>
      <c r="J393" s="3"/>
      <c r="K393" s="3"/>
      <c r="L393" s="3"/>
      <c r="M393" s="3"/>
      <c r="N393" s="3"/>
      <c r="O393" s="3"/>
      <c r="P393" s="3"/>
      <c r="Q393" s="3"/>
      <c r="AS393" s="953">
        <v>7341</v>
      </c>
    </row>
    <row r="394" spans="1:45" x14ac:dyDescent="0.45">
      <c r="A394" s="3"/>
      <c r="B394" s="3"/>
      <c r="C394" s="3"/>
      <c r="D394" s="3"/>
      <c r="E394" s="3"/>
      <c r="F394" s="3"/>
      <c r="G394" s="3"/>
      <c r="H394" s="3"/>
      <c r="I394" s="3"/>
      <c r="J394" s="3"/>
      <c r="K394" s="3"/>
      <c r="L394" s="3"/>
      <c r="M394" s="3"/>
      <c r="N394" s="3"/>
      <c r="O394" s="3"/>
      <c r="P394" s="3"/>
      <c r="Q394" s="3"/>
      <c r="AS394" s="953">
        <v>7342</v>
      </c>
    </row>
    <row r="395" spans="1:45" x14ac:dyDescent="0.45">
      <c r="A395" s="3"/>
      <c r="B395" s="3"/>
      <c r="C395" s="3"/>
      <c r="D395" s="3"/>
      <c r="E395" s="3"/>
      <c r="F395" s="3"/>
      <c r="G395" s="3"/>
      <c r="H395" s="3"/>
      <c r="I395" s="3"/>
      <c r="J395" s="3"/>
      <c r="K395" s="3"/>
      <c r="L395" s="3"/>
      <c r="M395" s="3"/>
      <c r="N395" s="3"/>
      <c r="O395" s="3"/>
      <c r="P395" s="3"/>
      <c r="Q395" s="3"/>
      <c r="AS395" s="953">
        <v>7343</v>
      </c>
    </row>
    <row r="396" spans="1:45" x14ac:dyDescent="0.45">
      <c r="A396" s="3"/>
      <c r="B396" s="3"/>
      <c r="C396" s="3"/>
      <c r="D396" s="3"/>
      <c r="E396" s="3"/>
      <c r="F396" s="3"/>
      <c r="G396" s="3"/>
      <c r="H396" s="3"/>
      <c r="I396" s="3"/>
      <c r="J396" s="3"/>
      <c r="K396" s="3"/>
      <c r="L396" s="3"/>
      <c r="M396" s="3"/>
      <c r="N396" s="3"/>
      <c r="O396" s="3"/>
      <c r="P396" s="3"/>
      <c r="Q396" s="3"/>
      <c r="AS396" s="953">
        <v>7344</v>
      </c>
    </row>
    <row r="397" spans="1:45" x14ac:dyDescent="0.45">
      <c r="A397" s="3"/>
      <c r="B397" s="3"/>
      <c r="C397" s="3"/>
      <c r="D397" s="3"/>
      <c r="E397" s="3"/>
      <c r="F397" s="3"/>
      <c r="G397" s="3"/>
      <c r="H397" s="3"/>
      <c r="I397" s="3"/>
      <c r="J397" s="3"/>
      <c r="K397" s="3"/>
      <c r="L397" s="3"/>
      <c r="M397" s="3"/>
      <c r="N397" s="3"/>
      <c r="O397" s="3"/>
      <c r="P397" s="3"/>
      <c r="Q397" s="3"/>
      <c r="AS397" s="953">
        <v>7345</v>
      </c>
    </row>
    <row r="398" spans="1:45" x14ac:dyDescent="0.45">
      <c r="A398" s="3"/>
      <c r="B398" s="3"/>
      <c r="C398" s="3"/>
      <c r="D398" s="3"/>
      <c r="E398" s="3"/>
      <c r="F398" s="3"/>
      <c r="G398" s="3"/>
      <c r="H398" s="3"/>
      <c r="I398" s="3"/>
      <c r="J398" s="3"/>
      <c r="K398" s="3"/>
      <c r="L398" s="3"/>
      <c r="M398" s="3"/>
      <c r="N398" s="3"/>
      <c r="O398" s="3"/>
      <c r="P398" s="3"/>
      <c r="Q398" s="3"/>
      <c r="AS398" s="953">
        <v>7346</v>
      </c>
    </row>
    <row r="399" spans="1:45" x14ac:dyDescent="0.45">
      <c r="A399" s="3"/>
      <c r="B399" s="3"/>
      <c r="C399" s="3"/>
      <c r="D399" s="3"/>
      <c r="E399" s="3"/>
      <c r="F399" s="3"/>
      <c r="G399" s="3"/>
      <c r="H399" s="3"/>
      <c r="I399" s="3"/>
      <c r="J399" s="3"/>
      <c r="K399" s="3"/>
      <c r="L399" s="3"/>
      <c r="M399" s="3"/>
      <c r="N399" s="3"/>
      <c r="O399" s="3"/>
      <c r="P399" s="3"/>
      <c r="Q399" s="3"/>
      <c r="AS399" s="953">
        <v>7347</v>
      </c>
    </row>
    <row r="400" spans="1:45" x14ac:dyDescent="0.45">
      <c r="A400" s="3"/>
      <c r="B400" s="3"/>
      <c r="C400" s="3"/>
      <c r="D400" s="3"/>
      <c r="E400" s="3"/>
      <c r="F400" s="3"/>
      <c r="G400" s="3"/>
      <c r="H400" s="3"/>
      <c r="I400" s="3"/>
      <c r="J400" s="3"/>
      <c r="K400" s="3"/>
      <c r="L400" s="3"/>
      <c r="M400" s="3"/>
      <c r="N400" s="3"/>
      <c r="O400" s="3"/>
      <c r="P400" s="3"/>
      <c r="Q400" s="3"/>
      <c r="AS400" s="953">
        <v>7348</v>
      </c>
    </row>
    <row r="401" spans="1:45" x14ac:dyDescent="0.45">
      <c r="A401" s="3"/>
      <c r="B401" s="3"/>
      <c r="C401" s="3"/>
      <c r="D401" s="3"/>
      <c r="E401" s="3"/>
      <c r="F401" s="3"/>
      <c r="G401" s="3"/>
      <c r="H401" s="3"/>
      <c r="I401" s="3"/>
      <c r="J401" s="3"/>
      <c r="K401" s="3"/>
      <c r="L401" s="3"/>
      <c r="M401" s="3"/>
      <c r="N401" s="3"/>
      <c r="O401" s="3"/>
      <c r="P401" s="3"/>
      <c r="Q401" s="3"/>
      <c r="AS401" s="953">
        <v>7349</v>
      </c>
    </row>
    <row r="402" spans="1:45" x14ac:dyDescent="0.45">
      <c r="A402" s="3"/>
      <c r="B402" s="3"/>
      <c r="C402" s="3"/>
      <c r="D402" s="3"/>
      <c r="E402" s="3"/>
      <c r="F402" s="3"/>
      <c r="G402" s="3"/>
      <c r="H402" s="3"/>
      <c r="I402" s="3"/>
      <c r="J402" s="3"/>
      <c r="K402" s="3"/>
      <c r="L402" s="3"/>
      <c r="M402" s="3"/>
      <c r="N402" s="3"/>
      <c r="O402" s="3"/>
      <c r="P402" s="3"/>
      <c r="Q402" s="3"/>
      <c r="AS402" s="953">
        <v>7351</v>
      </c>
    </row>
    <row r="403" spans="1:45" x14ac:dyDescent="0.45">
      <c r="A403" s="3"/>
      <c r="B403" s="3"/>
      <c r="C403" s="3"/>
      <c r="D403" s="3"/>
      <c r="E403" s="3"/>
      <c r="F403" s="3"/>
      <c r="G403" s="3"/>
      <c r="H403" s="3"/>
      <c r="I403" s="3"/>
      <c r="J403" s="3"/>
      <c r="K403" s="3"/>
      <c r="L403" s="3"/>
      <c r="M403" s="3"/>
      <c r="N403" s="3"/>
      <c r="O403" s="3"/>
      <c r="P403" s="3"/>
      <c r="Q403" s="3"/>
      <c r="AS403" s="953">
        <v>7352</v>
      </c>
    </row>
    <row r="404" spans="1:45" x14ac:dyDescent="0.45">
      <c r="A404" s="3"/>
      <c r="B404" s="3"/>
      <c r="C404" s="3"/>
      <c r="D404" s="3"/>
      <c r="E404" s="3"/>
      <c r="F404" s="3"/>
      <c r="G404" s="3"/>
      <c r="H404" s="3"/>
      <c r="I404" s="3"/>
      <c r="J404" s="3"/>
      <c r="K404" s="3"/>
      <c r="L404" s="3"/>
      <c r="M404" s="3"/>
      <c r="N404" s="3"/>
      <c r="O404" s="3"/>
      <c r="P404" s="3"/>
      <c r="Q404" s="3"/>
      <c r="AS404" s="953">
        <v>7353</v>
      </c>
    </row>
    <row r="405" spans="1:45" x14ac:dyDescent="0.45">
      <c r="A405" s="3"/>
      <c r="B405" s="3"/>
      <c r="C405" s="3"/>
      <c r="D405" s="3"/>
      <c r="E405" s="3"/>
      <c r="F405" s="3"/>
      <c r="G405" s="3"/>
      <c r="H405" s="3"/>
      <c r="I405" s="3"/>
      <c r="J405" s="3"/>
      <c r="K405" s="3"/>
      <c r="L405" s="3"/>
      <c r="M405" s="3"/>
      <c r="N405" s="3"/>
      <c r="O405" s="3"/>
      <c r="P405" s="3"/>
      <c r="Q405" s="3"/>
      <c r="AS405" s="953">
        <v>7354</v>
      </c>
    </row>
    <row r="406" spans="1:45" x14ac:dyDescent="0.45">
      <c r="A406" s="3"/>
      <c r="B406" s="3"/>
      <c r="C406" s="3"/>
      <c r="D406" s="3"/>
      <c r="E406" s="3"/>
      <c r="F406" s="3"/>
      <c r="G406" s="3"/>
      <c r="H406" s="3"/>
      <c r="I406" s="3"/>
      <c r="J406" s="3"/>
      <c r="K406" s="3"/>
      <c r="L406" s="3"/>
      <c r="M406" s="3"/>
      <c r="N406" s="3"/>
      <c r="O406" s="3"/>
      <c r="P406" s="3"/>
      <c r="Q406" s="3"/>
      <c r="AS406" s="953">
        <v>7361</v>
      </c>
    </row>
    <row r="407" spans="1:45" x14ac:dyDescent="0.45">
      <c r="A407" s="3"/>
      <c r="B407" s="3"/>
      <c r="C407" s="3"/>
      <c r="D407" s="3"/>
      <c r="E407" s="3"/>
      <c r="F407" s="3"/>
      <c r="G407" s="3"/>
      <c r="H407" s="3"/>
      <c r="I407" s="3"/>
      <c r="J407" s="3"/>
      <c r="K407" s="3"/>
      <c r="L407" s="3"/>
      <c r="M407" s="3"/>
      <c r="N407" s="3"/>
      <c r="O407" s="3"/>
      <c r="P407" s="3"/>
      <c r="Q407" s="3"/>
      <c r="AS407" s="953">
        <v>7362</v>
      </c>
    </row>
    <row r="408" spans="1:45" x14ac:dyDescent="0.45">
      <c r="A408" s="3"/>
      <c r="B408" s="3"/>
      <c r="C408" s="3"/>
      <c r="D408" s="3"/>
      <c r="E408" s="3"/>
      <c r="F408" s="3"/>
      <c r="G408" s="3"/>
      <c r="H408" s="3"/>
      <c r="I408" s="3"/>
      <c r="J408" s="3"/>
      <c r="K408" s="3"/>
      <c r="L408" s="3"/>
      <c r="M408" s="3"/>
      <c r="N408" s="3"/>
      <c r="O408" s="3"/>
      <c r="P408" s="3"/>
      <c r="Q408" s="3"/>
      <c r="AS408" s="953">
        <v>7371</v>
      </c>
    </row>
    <row r="409" spans="1:45" x14ac:dyDescent="0.45">
      <c r="A409" s="3"/>
      <c r="B409" s="3"/>
      <c r="C409" s="3"/>
      <c r="D409" s="3"/>
      <c r="E409" s="3"/>
      <c r="F409" s="3"/>
      <c r="G409" s="3"/>
      <c r="H409" s="3"/>
      <c r="I409" s="3"/>
      <c r="J409" s="3"/>
      <c r="K409" s="3"/>
      <c r="L409" s="3"/>
      <c r="M409" s="3"/>
      <c r="N409" s="3"/>
      <c r="O409" s="3"/>
      <c r="P409" s="3"/>
      <c r="Q409" s="3"/>
      <c r="AS409" s="953">
        <v>7372</v>
      </c>
    </row>
    <row r="410" spans="1:45" x14ac:dyDescent="0.45">
      <c r="A410" s="3"/>
      <c r="B410" s="3"/>
      <c r="C410" s="3"/>
      <c r="D410" s="3"/>
      <c r="E410" s="3"/>
      <c r="F410" s="3"/>
      <c r="G410" s="3"/>
      <c r="H410" s="3"/>
      <c r="I410" s="3"/>
      <c r="J410" s="3"/>
      <c r="K410" s="3"/>
      <c r="L410" s="3"/>
      <c r="M410" s="3"/>
      <c r="N410" s="3"/>
      <c r="O410" s="3"/>
      <c r="P410" s="3"/>
      <c r="Q410" s="3"/>
      <c r="AS410" s="953">
        <v>7380</v>
      </c>
    </row>
    <row r="411" spans="1:45" x14ac:dyDescent="0.45">
      <c r="A411" s="3"/>
      <c r="B411" s="3"/>
      <c r="C411" s="3"/>
      <c r="D411" s="3"/>
      <c r="E411" s="3"/>
      <c r="F411" s="3"/>
      <c r="G411" s="3"/>
      <c r="H411" s="3"/>
      <c r="I411" s="3"/>
      <c r="J411" s="3"/>
      <c r="K411" s="3"/>
      <c r="L411" s="3"/>
      <c r="M411" s="3"/>
      <c r="N411" s="3"/>
      <c r="O411" s="3"/>
      <c r="P411" s="3"/>
      <c r="Q411" s="3"/>
      <c r="AS411" s="953">
        <v>7381</v>
      </c>
    </row>
    <row r="412" spans="1:45" x14ac:dyDescent="0.45">
      <c r="A412" s="3"/>
      <c r="B412" s="3"/>
      <c r="C412" s="3"/>
      <c r="D412" s="3"/>
      <c r="E412" s="3"/>
      <c r="F412" s="3"/>
      <c r="G412" s="3"/>
      <c r="H412" s="3"/>
      <c r="I412" s="3"/>
      <c r="J412" s="3"/>
      <c r="K412" s="3"/>
      <c r="L412" s="3"/>
      <c r="M412" s="3"/>
      <c r="N412" s="3"/>
      <c r="O412" s="3"/>
      <c r="P412" s="3"/>
      <c r="Q412" s="3"/>
      <c r="AS412" s="953">
        <v>7382</v>
      </c>
    </row>
    <row r="413" spans="1:45" x14ac:dyDescent="0.45">
      <c r="A413" s="3"/>
      <c r="B413" s="3"/>
      <c r="C413" s="3"/>
      <c r="D413" s="3"/>
      <c r="E413" s="3"/>
      <c r="F413" s="3"/>
      <c r="G413" s="3"/>
      <c r="H413" s="3"/>
      <c r="I413" s="3"/>
      <c r="J413" s="3"/>
      <c r="K413" s="3"/>
      <c r="L413" s="3"/>
      <c r="M413" s="3"/>
      <c r="N413" s="3"/>
      <c r="O413" s="3"/>
      <c r="P413" s="3"/>
      <c r="Q413" s="3"/>
      <c r="AS413" s="953">
        <v>7383</v>
      </c>
    </row>
    <row r="414" spans="1:45" x14ac:dyDescent="0.45">
      <c r="A414" s="3"/>
      <c r="B414" s="3"/>
      <c r="C414" s="3"/>
      <c r="D414" s="3"/>
      <c r="E414" s="3"/>
      <c r="F414" s="3"/>
      <c r="G414" s="3"/>
      <c r="H414" s="3"/>
      <c r="I414" s="3"/>
      <c r="J414" s="3"/>
      <c r="K414" s="3"/>
      <c r="L414" s="3"/>
      <c r="M414" s="3"/>
      <c r="N414" s="3"/>
      <c r="O414" s="3"/>
      <c r="P414" s="3"/>
      <c r="Q414" s="3"/>
      <c r="AS414" s="953">
        <v>7384</v>
      </c>
    </row>
    <row r="415" spans="1:45" x14ac:dyDescent="0.45">
      <c r="A415" s="3"/>
      <c r="B415" s="3"/>
      <c r="C415" s="3"/>
      <c r="D415" s="3"/>
      <c r="E415" s="3"/>
      <c r="F415" s="3"/>
      <c r="G415" s="3"/>
      <c r="H415" s="3"/>
      <c r="I415" s="3"/>
      <c r="J415" s="3"/>
      <c r="K415" s="3"/>
      <c r="L415" s="3"/>
      <c r="M415" s="3"/>
      <c r="N415" s="3"/>
      <c r="O415" s="3"/>
      <c r="P415" s="3"/>
      <c r="Q415" s="3"/>
      <c r="AS415" s="953">
        <v>7385</v>
      </c>
    </row>
    <row r="416" spans="1:45" x14ac:dyDescent="0.45">
      <c r="A416" s="3"/>
      <c r="B416" s="3"/>
      <c r="C416" s="3"/>
      <c r="D416" s="3"/>
      <c r="E416" s="3"/>
      <c r="F416" s="3"/>
      <c r="G416" s="3"/>
      <c r="H416" s="3"/>
      <c r="I416" s="3"/>
      <c r="J416" s="3"/>
      <c r="K416" s="3"/>
      <c r="L416" s="3"/>
      <c r="M416" s="3"/>
      <c r="N416" s="3"/>
      <c r="O416" s="3"/>
      <c r="P416" s="3"/>
      <c r="Q416" s="3"/>
      <c r="AS416" s="953">
        <v>7386</v>
      </c>
    </row>
    <row r="417" spans="1:45" x14ac:dyDescent="0.45">
      <c r="A417" s="3"/>
      <c r="B417" s="3"/>
      <c r="C417" s="3"/>
      <c r="D417" s="3"/>
      <c r="E417" s="3"/>
      <c r="F417" s="3"/>
      <c r="G417" s="3"/>
      <c r="H417" s="3"/>
      <c r="I417" s="3"/>
      <c r="J417" s="3"/>
      <c r="K417" s="3"/>
      <c r="L417" s="3"/>
      <c r="M417" s="3"/>
      <c r="N417" s="3"/>
      <c r="O417" s="3"/>
      <c r="P417" s="3"/>
      <c r="Q417" s="3"/>
      <c r="AS417" s="953">
        <v>7387</v>
      </c>
    </row>
    <row r="418" spans="1:45" x14ac:dyDescent="0.45">
      <c r="A418" s="3"/>
      <c r="B418" s="3"/>
      <c r="C418" s="3"/>
      <c r="D418" s="3"/>
      <c r="E418" s="3"/>
      <c r="F418" s="3"/>
      <c r="G418" s="3"/>
      <c r="H418" s="3"/>
      <c r="I418" s="3"/>
      <c r="J418" s="3"/>
      <c r="K418" s="3"/>
      <c r="L418" s="3"/>
      <c r="M418" s="3"/>
      <c r="N418" s="3"/>
      <c r="O418" s="3"/>
      <c r="P418" s="3"/>
      <c r="Q418" s="3"/>
      <c r="AS418" s="953">
        <v>7388</v>
      </c>
    </row>
    <row r="419" spans="1:45" x14ac:dyDescent="0.45">
      <c r="A419" s="3"/>
      <c r="B419" s="3"/>
      <c r="C419" s="3"/>
      <c r="D419" s="3"/>
      <c r="E419" s="3"/>
      <c r="F419" s="3"/>
      <c r="G419" s="3"/>
      <c r="H419" s="3"/>
      <c r="I419" s="3"/>
      <c r="J419" s="3"/>
      <c r="K419" s="3"/>
      <c r="L419" s="3"/>
      <c r="M419" s="3"/>
      <c r="N419" s="3"/>
      <c r="O419" s="3"/>
      <c r="P419" s="3"/>
      <c r="Q419" s="3"/>
      <c r="AS419" s="953">
        <v>7389</v>
      </c>
    </row>
    <row r="420" spans="1:45" x14ac:dyDescent="0.45">
      <c r="A420" s="3"/>
      <c r="B420" s="3"/>
      <c r="C420" s="3"/>
      <c r="D420" s="3"/>
      <c r="E420" s="3"/>
      <c r="F420" s="3"/>
      <c r="G420" s="3"/>
      <c r="H420" s="3"/>
      <c r="I420" s="3"/>
      <c r="J420" s="3"/>
      <c r="K420" s="3"/>
      <c r="L420" s="3"/>
      <c r="M420" s="3"/>
      <c r="N420" s="3"/>
      <c r="O420" s="3"/>
      <c r="P420" s="3"/>
      <c r="Q420" s="3"/>
      <c r="AS420" s="953">
        <v>7411</v>
      </c>
    </row>
    <row r="421" spans="1:45" x14ac:dyDescent="0.45">
      <c r="A421" s="3"/>
      <c r="B421" s="3"/>
      <c r="C421" s="3"/>
      <c r="D421" s="3"/>
      <c r="E421" s="3"/>
      <c r="F421" s="3"/>
      <c r="G421" s="3"/>
      <c r="H421" s="3"/>
      <c r="I421" s="3"/>
      <c r="J421" s="3"/>
      <c r="K421" s="3"/>
      <c r="L421" s="3"/>
      <c r="M421" s="3"/>
      <c r="N421" s="3"/>
      <c r="O421" s="3"/>
      <c r="P421" s="3"/>
      <c r="Q421" s="3"/>
      <c r="AS421" s="953">
        <v>7412</v>
      </c>
    </row>
    <row r="422" spans="1:45" x14ac:dyDescent="0.45">
      <c r="A422" s="3"/>
      <c r="B422" s="3"/>
      <c r="C422" s="3"/>
      <c r="D422" s="3"/>
      <c r="E422" s="3"/>
      <c r="F422" s="3"/>
      <c r="G422" s="3"/>
      <c r="H422" s="3"/>
      <c r="I422" s="3"/>
      <c r="J422" s="3"/>
      <c r="K422" s="3"/>
      <c r="L422" s="3"/>
      <c r="M422" s="3"/>
      <c r="N422" s="3"/>
      <c r="O422" s="3"/>
      <c r="P422" s="3"/>
      <c r="Q422" s="3"/>
      <c r="AS422" s="953">
        <v>7413</v>
      </c>
    </row>
    <row r="423" spans="1:45" x14ac:dyDescent="0.45">
      <c r="A423" s="3"/>
      <c r="B423" s="3"/>
      <c r="C423" s="3"/>
      <c r="D423" s="3"/>
      <c r="E423" s="3"/>
      <c r="F423" s="3"/>
      <c r="G423" s="3"/>
      <c r="H423" s="3"/>
      <c r="I423" s="3"/>
      <c r="J423" s="3"/>
      <c r="K423" s="3"/>
      <c r="L423" s="3"/>
      <c r="M423" s="3"/>
      <c r="N423" s="3"/>
      <c r="O423" s="3"/>
      <c r="P423" s="3"/>
      <c r="Q423" s="3"/>
      <c r="AS423" s="953">
        <v>7414</v>
      </c>
    </row>
    <row r="424" spans="1:45" x14ac:dyDescent="0.45">
      <c r="A424" s="3"/>
      <c r="B424" s="3"/>
      <c r="C424" s="3"/>
      <c r="D424" s="3"/>
      <c r="E424" s="3"/>
      <c r="F424" s="3"/>
      <c r="G424" s="3"/>
      <c r="H424" s="3"/>
      <c r="I424" s="3"/>
      <c r="J424" s="3"/>
      <c r="K424" s="3"/>
      <c r="L424" s="3"/>
      <c r="M424" s="3"/>
      <c r="N424" s="3"/>
      <c r="O424" s="3"/>
      <c r="P424" s="3"/>
      <c r="Q424" s="3"/>
      <c r="AS424" s="953">
        <v>7415</v>
      </c>
    </row>
    <row r="425" spans="1:45" x14ac:dyDescent="0.45">
      <c r="A425" s="3"/>
      <c r="B425" s="3"/>
      <c r="C425" s="3"/>
      <c r="D425" s="3"/>
      <c r="E425" s="3"/>
      <c r="F425" s="3"/>
      <c r="G425" s="3"/>
      <c r="H425" s="3"/>
      <c r="I425" s="3"/>
      <c r="J425" s="3"/>
      <c r="K425" s="3"/>
      <c r="L425" s="3"/>
      <c r="M425" s="3"/>
      <c r="N425" s="3"/>
      <c r="O425" s="3"/>
      <c r="P425" s="3"/>
      <c r="Q425" s="3"/>
      <c r="AS425" s="953">
        <v>7416</v>
      </c>
    </row>
    <row r="426" spans="1:45" x14ac:dyDescent="0.45">
      <c r="A426" s="3"/>
      <c r="B426" s="3"/>
      <c r="C426" s="3"/>
      <c r="D426" s="3"/>
      <c r="E426" s="3"/>
      <c r="F426" s="3"/>
      <c r="G426" s="3"/>
      <c r="H426" s="3"/>
      <c r="I426" s="3"/>
      <c r="J426" s="3"/>
      <c r="K426" s="3"/>
      <c r="L426" s="3"/>
      <c r="M426" s="3"/>
      <c r="N426" s="3"/>
      <c r="O426" s="3"/>
      <c r="P426" s="3"/>
      <c r="Q426" s="3"/>
      <c r="AS426" s="953">
        <v>7417</v>
      </c>
    </row>
    <row r="427" spans="1:45" x14ac:dyDescent="0.45">
      <c r="A427" s="3"/>
      <c r="B427" s="3"/>
      <c r="C427" s="3"/>
      <c r="D427" s="3"/>
      <c r="E427" s="3"/>
      <c r="F427" s="3"/>
      <c r="G427" s="3"/>
      <c r="H427" s="3"/>
      <c r="I427" s="3"/>
      <c r="J427" s="3"/>
      <c r="K427" s="3"/>
      <c r="L427" s="3"/>
      <c r="M427" s="3"/>
      <c r="N427" s="3"/>
      <c r="O427" s="3"/>
      <c r="P427" s="3"/>
      <c r="Q427" s="3"/>
      <c r="AS427" s="953">
        <v>7418</v>
      </c>
    </row>
    <row r="428" spans="1:45" x14ac:dyDescent="0.45">
      <c r="A428" s="3"/>
      <c r="B428" s="3"/>
      <c r="C428" s="3"/>
      <c r="D428" s="3"/>
      <c r="E428" s="3"/>
      <c r="F428" s="3"/>
      <c r="G428" s="3"/>
      <c r="H428" s="3"/>
      <c r="I428" s="3"/>
      <c r="J428" s="3"/>
      <c r="K428" s="3"/>
      <c r="L428" s="3"/>
      <c r="M428" s="3"/>
      <c r="N428" s="3"/>
      <c r="O428" s="3"/>
      <c r="P428" s="3"/>
      <c r="Q428" s="3"/>
      <c r="AS428" s="953">
        <v>7421</v>
      </c>
    </row>
    <row r="429" spans="1:45" x14ac:dyDescent="0.45">
      <c r="A429" s="3"/>
      <c r="B429" s="3"/>
      <c r="C429" s="3"/>
      <c r="D429" s="3"/>
      <c r="E429" s="3"/>
      <c r="F429" s="3"/>
      <c r="G429" s="3"/>
      <c r="H429" s="3"/>
      <c r="I429" s="3"/>
      <c r="J429" s="3"/>
      <c r="K429" s="3"/>
      <c r="L429" s="3"/>
      <c r="M429" s="3"/>
      <c r="N429" s="3"/>
      <c r="O429" s="3"/>
      <c r="P429" s="3"/>
      <c r="Q429" s="3"/>
      <c r="AS429" s="953">
        <v>7422</v>
      </c>
    </row>
    <row r="430" spans="1:45" x14ac:dyDescent="0.45">
      <c r="AS430" s="953">
        <v>7431</v>
      </c>
    </row>
    <row r="431" spans="1:45" x14ac:dyDescent="0.45">
      <c r="AS431" s="953">
        <v>7441</v>
      </c>
    </row>
    <row r="432" spans="1:45" x14ac:dyDescent="0.45">
      <c r="AS432" s="953">
        <v>7442</v>
      </c>
    </row>
    <row r="433" spans="18:45" x14ac:dyDescent="0.45">
      <c r="AS433" s="953">
        <v>7443</v>
      </c>
    </row>
    <row r="434" spans="18:45" x14ac:dyDescent="0.45">
      <c r="AS434" s="953">
        <v>7444</v>
      </c>
    </row>
    <row r="435" spans="18:45" x14ac:dyDescent="0.45">
      <c r="AS435" s="953">
        <v>7445</v>
      </c>
    </row>
    <row r="436" spans="18:45" x14ac:dyDescent="0.45">
      <c r="AS436" s="953">
        <v>7446</v>
      </c>
    </row>
    <row r="437" spans="18:45" x14ac:dyDescent="0.45">
      <c r="AS437" s="953">
        <v>7447</v>
      </c>
    </row>
    <row r="438" spans="18:45" x14ac:dyDescent="0.45">
      <c r="AS438" s="953">
        <v>7511</v>
      </c>
    </row>
    <row r="439" spans="18:45" x14ac:dyDescent="0.45">
      <c r="AS439" s="953">
        <v>7512</v>
      </c>
    </row>
    <row r="440" spans="18:45" x14ac:dyDescent="0.45">
      <c r="AS440" s="953">
        <v>7513</v>
      </c>
    </row>
    <row r="441" spans="18:45" x14ac:dyDescent="0.45">
      <c r="AS441" s="953">
        <v>7514</v>
      </c>
    </row>
    <row r="442" spans="18:45" x14ac:dyDescent="0.45">
      <c r="AS442" s="953">
        <v>7515</v>
      </c>
    </row>
    <row r="443" spans="18:45" x14ac:dyDescent="0.45">
      <c r="AS443" s="953">
        <v>7516</v>
      </c>
    </row>
    <row r="444" spans="18:45" x14ac:dyDescent="0.45">
      <c r="R444" s="2"/>
      <c r="AS444" s="953">
        <v>7517</v>
      </c>
    </row>
    <row r="445" spans="18:45" x14ac:dyDescent="0.45">
      <c r="R445" s="2"/>
      <c r="AS445" s="953">
        <v>7518</v>
      </c>
    </row>
    <row r="446" spans="18:45" x14ac:dyDescent="0.45">
      <c r="R446" s="2"/>
      <c r="AS446" s="953">
        <v>7521</v>
      </c>
    </row>
    <row r="447" spans="18:45" x14ac:dyDescent="0.45">
      <c r="R447" s="2"/>
      <c r="AS447" s="953">
        <v>7522</v>
      </c>
    </row>
    <row r="448" spans="18:45" x14ac:dyDescent="0.45">
      <c r="R448" s="2"/>
      <c r="AS448" s="953">
        <v>7523</v>
      </c>
    </row>
    <row r="449" spans="18:45" x14ac:dyDescent="0.45">
      <c r="R449" s="2"/>
      <c r="AS449" s="953">
        <v>7524</v>
      </c>
    </row>
    <row r="450" spans="18:45" x14ac:dyDescent="0.45">
      <c r="R450" s="2"/>
      <c r="AS450" s="953">
        <v>7531</v>
      </c>
    </row>
    <row r="451" spans="18:45" x14ac:dyDescent="0.45">
      <c r="R451" s="2"/>
      <c r="AS451" s="953">
        <v>7532</v>
      </c>
    </row>
    <row r="452" spans="18:45" x14ac:dyDescent="0.45">
      <c r="R452" s="2"/>
      <c r="AS452" s="953">
        <v>7541</v>
      </c>
    </row>
    <row r="453" spans="18:45" x14ac:dyDescent="0.45">
      <c r="R453" s="2"/>
      <c r="AS453" s="953">
        <v>7542</v>
      </c>
    </row>
    <row r="454" spans="18:45" x14ac:dyDescent="0.45">
      <c r="R454" s="2"/>
      <c r="AS454" s="953">
        <v>7543</v>
      </c>
    </row>
    <row r="455" spans="18:45" x14ac:dyDescent="0.45">
      <c r="R455" s="2"/>
      <c r="AS455" s="953">
        <v>7601</v>
      </c>
    </row>
    <row r="456" spans="18:45" x14ac:dyDescent="0.45">
      <c r="R456" s="2"/>
      <c r="AS456" s="953">
        <v>7602</v>
      </c>
    </row>
    <row r="457" spans="18:45" x14ac:dyDescent="0.45">
      <c r="R457" s="2"/>
      <c r="AS457" s="953">
        <v>7603</v>
      </c>
    </row>
    <row r="458" spans="18:45" x14ac:dyDescent="0.45">
      <c r="R458" s="2"/>
      <c r="AS458" s="953">
        <v>7604</v>
      </c>
    </row>
    <row r="459" spans="18:45" x14ac:dyDescent="0.45">
      <c r="R459" s="2"/>
      <c r="AS459" s="953">
        <v>7605</v>
      </c>
    </row>
    <row r="460" spans="18:45" x14ac:dyDescent="0.45">
      <c r="R460" s="2"/>
      <c r="AS460" s="953">
        <v>7606</v>
      </c>
    </row>
    <row r="461" spans="18:45" x14ac:dyDescent="0.45">
      <c r="R461" s="2"/>
      <c r="AS461" s="953">
        <v>8111</v>
      </c>
    </row>
    <row r="462" spans="18:45" x14ac:dyDescent="0.45">
      <c r="R462" s="2"/>
      <c r="AS462" s="953">
        <v>8112</v>
      </c>
    </row>
    <row r="463" spans="18:45" x14ac:dyDescent="0.45">
      <c r="R463" s="2"/>
      <c r="AS463" s="953">
        <v>8114</v>
      </c>
    </row>
    <row r="464" spans="18:45" x14ac:dyDescent="0.45">
      <c r="R464" s="2"/>
      <c r="AS464" s="953">
        <v>8121</v>
      </c>
    </row>
    <row r="465" spans="18:45" x14ac:dyDescent="0.45">
      <c r="R465" s="2"/>
      <c r="AS465" s="953">
        <v>8122</v>
      </c>
    </row>
    <row r="466" spans="18:45" x14ac:dyDescent="0.45">
      <c r="R466" s="2"/>
      <c r="AS466" s="953">
        <v>8123</v>
      </c>
    </row>
    <row r="467" spans="18:45" x14ac:dyDescent="0.45">
      <c r="R467" s="2"/>
      <c r="AS467" s="953">
        <v>8131</v>
      </c>
    </row>
    <row r="468" spans="18:45" x14ac:dyDescent="0.45">
      <c r="R468" s="2"/>
      <c r="AS468" s="953">
        <v>8132</v>
      </c>
    </row>
    <row r="469" spans="18:45" x14ac:dyDescent="0.45">
      <c r="R469" s="2"/>
      <c r="AS469" s="953">
        <v>8133</v>
      </c>
    </row>
    <row r="470" spans="18:45" x14ac:dyDescent="0.45">
      <c r="R470" s="2"/>
      <c r="AS470" s="953">
        <v>8211</v>
      </c>
    </row>
    <row r="471" spans="18:45" x14ac:dyDescent="0.45">
      <c r="R471" s="2"/>
      <c r="AS471" s="953">
        <v>8221</v>
      </c>
    </row>
    <row r="472" spans="18:45" x14ac:dyDescent="0.45">
      <c r="R472" s="2"/>
      <c r="AS472" s="953">
        <v>8231</v>
      </c>
    </row>
    <row r="473" spans="18:45" x14ac:dyDescent="0.45">
      <c r="R473" s="2"/>
      <c r="AS473" s="953">
        <v>8232</v>
      </c>
    </row>
    <row r="474" spans="18:45" x14ac:dyDescent="0.45">
      <c r="R474" s="2"/>
      <c r="AS474" s="953">
        <v>8241</v>
      </c>
    </row>
    <row r="475" spans="18:45" x14ac:dyDescent="0.45">
      <c r="R475" s="2"/>
      <c r="AS475" s="953">
        <v>8261</v>
      </c>
    </row>
    <row r="476" spans="18:45" x14ac:dyDescent="0.45">
      <c r="R476" s="2"/>
      <c r="AS476" s="953">
        <v>8271</v>
      </c>
    </row>
    <row r="477" spans="18:45" x14ac:dyDescent="0.45">
      <c r="R477" s="2"/>
      <c r="AS477" s="953">
        <v>8311</v>
      </c>
    </row>
    <row r="478" spans="18:45" x14ac:dyDescent="0.45">
      <c r="R478" s="2"/>
      <c r="AS478" s="953">
        <v>8312</v>
      </c>
    </row>
    <row r="479" spans="18:45" x14ac:dyDescent="0.45">
      <c r="R479" s="2"/>
      <c r="AS479" s="953">
        <v>8313</v>
      </c>
    </row>
    <row r="480" spans="18:45" x14ac:dyDescent="0.45">
      <c r="R480" s="2"/>
      <c r="AS480" s="953">
        <v>8314</v>
      </c>
    </row>
    <row r="481" spans="18:45" x14ac:dyDescent="0.45">
      <c r="R481" s="2"/>
      <c r="AS481" s="953">
        <v>8315</v>
      </c>
    </row>
    <row r="482" spans="18:45" x14ac:dyDescent="0.45">
      <c r="R482" s="2"/>
      <c r="AS482" s="953">
        <v>8316</v>
      </c>
    </row>
    <row r="483" spans="18:45" x14ac:dyDescent="0.45">
      <c r="R483" s="2"/>
      <c r="AS483" s="953">
        <v>8321</v>
      </c>
    </row>
    <row r="484" spans="18:45" x14ac:dyDescent="0.45">
      <c r="R484" s="2"/>
      <c r="AS484" s="953">
        <v>8331</v>
      </c>
    </row>
    <row r="485" spans="18:45" x14ac:dyDescent="0.45">
      <c r="R485" s="2"/>
      <c r="AS485" s="953">
        <v>8332</v>
      </c>
    </row>
    <row r="486" spans="18:45" x14ac:dyDescent="0.45">
      <c r="R486" s="2"/>
      <c r="AS486" s="953">
        <v>8333</v>
      </c>
    </row>
    <row r="487" spans="18:45" x14ac:dyDescent="0.45">
      <c r="R487" s="2"/>
      <c r="AS487" s="953">
        <v>8334</v>
      </c>
    </row>
    <row r="488" spans="18:45" x14ac:dyDescent="0.45">
      <c r="R488" s="2"/>
      <c r="AS488" s="953">
        <v>8411</v>
      </c>
    </row>
    <row r="489" spans="18:45" x14ac:dyDescent="0.45">
      <c r="R489" s="2"/>
      <c r="AS489" s="953">
        <v>8412</v>
      </c>
    </row>
    <row r="490" spans="18:45" x14ac:dyDescent="0.45">
      <c r="R490" s="2"/>
      <c r="AS490" s="953">
        <v>8413</v>
      </c>
    </row>
    <row r="491" spans="18:45" x14ac:dyDescent="0.45">
      <c r="R491" s="2"/>
      <c r="AS491" s="953">
        <v>8414</v>
      </c>
    </row>
    <row r="492" spans="18:45" x14ac:dyDescent="0.45">
      <c r="R492" s="2"/>
      <c r="AS492" s="953">
        <v>8415</v>
      </c>
    </row>
    <row r="493" spans="18:45" x14ac:dyDescent="0.45">
      <c r="R493" s="2"/>
      <c r="AS493" s="953">
        <v>8421</v>
      </c>
    </row>
    <row r="494" spans="18:45" x14ac:dyDescent="0.45">
      <c r="R494" s="2"/>
      <c r="AS494" s="953">
        <v>8422</v>
      </c>
    </row>
    <row r="495" spans="18:45" x14ac:dyDescent="0.45">
      <c r="R495" s="2"/>
      <c r="AS495" s="953">
        <v>8431</v>
      </c>
    </row>
    <row r="496" spans="18:45" x14ac:dyDescent="0.45">
      <c r="R496" s="2"/>
      <c r="AS496" s="953">
        <v>8432</v>
      </c>
    </row>
    <row r="497" spans="18:45" x14ac:dyDescent="0.45">
      <c r="R497" s="2"/>
      <c r="AS497" s="953">
        <v>8433</v>
      </c>
    </row>
    <row r="498" spans="18:45" x14ac:dyDescent="0.45">
      <c r="R498" s="2"/>
      <c r="AS498" s="953">
        <v>8434</v>
      </c>
    </row>
    <row r="499" spans="18:45" x14ac:dyDescent="0.45">
      <c r="R499" s="2"/>
      <c r="AS499" s="953">
        <v>8435</v>
      </c>
    </row>
    <row r="500" spans="18:45" x14ac:dyDescent="0.45">
      <c r="R500" s="2"/>
      <c r="AS500" s="953">
        <v>8441</v>
      </c>
    </row>
    <row r="501" spans="18:45" x14ac:dyDescent="0.45">
      <c r="R501" s="2"/>
      <c r="AS501" s="953">
        <v>8442</v>
      </c>
    </row>
    <row r="502" spans="18:45" x14ac:dyDescent="0.45">
      <c r="R502" s="2"/>
      <c r="AS502" s="953">
        <v>8443</v>
      </c>
    </row>
    <row r="503" spans="18:45" x14ac:dyDescent="0.45">
      <c r="R503" s="2"/>
      <c r="AS503" s="953">
        <v>8451</v>
      </c>
    </row>
    <row r="504" spans="18:45" x14ac:dyDescent="0.45">
      <c r="R504" s="2"/>
      <c r="AS504" s="953">
        <v>8452</v>
      </c>
    </row>
    <row r="505" spans="18:45" x14ac:dyDescent="0.45">
      <c r="R505" s="2"/>
      <c r="AS505" s="953">
        <v>8511</v>
      </c>
    </row>
    <row r="506" spans="18:45" x14ac:dyDescent="0.45">
      <c r="R506" s="2"/>
      <c r="AS506" s="953">
        <v>8512</v>
      </c>
    </row>
    <row r="507" spans="18:45" x14ac:dyDescent="0.45">
      <c r="R507" s="2"/>
      <c r="AS507" s="953">
        <v>8513</v>
      </c>
    </row>
    <row r="508" spans="18:45" x14ac:dyDescent="0.45">
      <c r="R508" s="2"/>
      <c r="AS508" s="953">
        <v>8514</v>
      </c>
    </row>
    <row r="509" spans="18:45" x14ac:dyDescent="0.45">
      <c r="R509" s="2"/>
      <c r="AS509" s="953">
        <v>8521</v>
      </c>
    </row>
    <row r="510" spans="18:45" x14ac:dyDescent="0.45">
      <c r="R510" s="2"/>
      <c r="AS510" s="953">
        <v>8522</v>
      </c>
    </row>
    <row r="511" spans="18:45" x14ac:dyDescent="0.45">
      <c r="R511" s="2"/>
      <c r="AS511" s="953">
        <v>8523</v>
      </c>
    </row>
    <row r="512" spans="18:45" x14ac:dyDescent="0.45">
      <c r="R512" s="2"/>
      <c r="AS512" s="953">
        <v>8524</v>
      </c>
    </row>
    <row r="513" spans="18:45" x14ac:dyDescent="0.45">
      <c r="R513" s="2"/>
      <c r="AS513" s="953">
        <v>8525</v>
      </c>
    </row>
    <row r="514" spans="18:45" x14ac:dyDescent="0.45">
      <c r="R514" s="2"/>
      <c r="AS514" s="953">
        <v>8526</v>
      </c>
    </row>
    <row r="515" spans="18:45" x14ac:dyDescent="0.45">
      <c r="R515" s="2"/>
      <c r="AS515" s="953">
        <v>8531</v>
      </c>
    </row>
    <row r="516" spans="18:45" x14ac:dyDescent="0.45">
      <c r="R516" s="2"/>
      <c r="AS516" s="953">
        <v>8541</v>
      </c>
    </row>
    <row r="517" spans="18:45" x14ac:dyDescent="0.45">
      <c r="R517" s="2"/>
      <c r="AS517" s="953">
        <v>8601</v>
      </c>
    </row>
    <row r="518" spans="18:45" x14ac:dyDescent="0.45">
      <c r="R518" s="2"/>
      <c r="AS518" s="953">
        <v>8611</v>
      </c>
    </row>
    <row r="519" spans="18:45" x14ac:dyDescent="0.45">
      <c r="R519" s="2"/>
      <c r="AS519" s="953">
        <v>8612</v>
      </c>
    </row>
    <row r="520" spans="18:45" x14ac:dyDescent="0.45">
      <c r="R520" s="2"/>
      <c r="AS520" s="953">
        <v>8711</v>
      </c>
    </row>
    <row r="521" spans="18:45" x14ac:dyDescent="0.45">
      <c r="R521" s="2"/>
      <c r="AS521" s="953">
        <v>8712</v>
      </c>
    </row>
    <row r="522" spans="18:45" x14ac:dyDescent="0.45">
      <c r="R522" s="2"/>
      <c r="AS522" s="953">
        <v>8713</v>
      </c>
    </row>
    <row r="523" spans="18:45" x14ac:dyDescent="0.45">
      <c r="R523" s="2"/>
      <c r="AS523" s="953">
        <v>8714</v>
      </c>
    </row>
    <row r="524" spans="18:45" x14ac:dyDescent="0.45">
      <c r="R524" s="2"/>
      <c r="AS524" s="953">
        <v>8715</v>
      </c>
    </row>
    <row r="525" spans="18:45" x14ac:dyDescent="0.45">
      <c r="R525" s="2"/>
      <c r="AS525" s="953">
        <v>8721</v>
      </c>
    </row>
    <row r="526" spans="18:45" x14ac:dyDescent="0.45">
      <c r="R526" s="2"/>
      <c r="AS526" s="953">
        <v>8722</v>
      </c>
    </row>
    <row r="527" spans="18:45" x14ac:dyDescent="0.45">
      <c r="R527" s="2"/>
      <c r="AS527" s="953">
        <v>8811</v>
      </c>
    </row>
    <row r="528" spans="18:45" x14ac:dyDescent="0.45">
      <c r="R528" s="2"/>
      <c r="AS528" s="953">
        <v>8821</v>
      </c>
    </row>
    <row r="529" spans="18:45" x14ac:dyDescent="0.45">
      <c r="R529" s="2"/>
      <c r="AS529" s="953">
        <v>8910</v>
      </c>
    </row>
    <row r="530" spans="18:45" x14ac:dyDescent="0.45">
      <c r="R530" s="2"/>
      <c r="AS530" s="953">
        <v>8921</v>
      </c>
    </row>
    <row r="531" spans="18:45" x14ac:dyDescent="0.45">
      <c r="R531" s="2"/>
      <c r="AS531" s="953">
        <v>8922</v>
      </c>
    </row>
    <row r="532" spans="18:45" x14ac:dyDescent="0.45">
      <c r="R532" s="2"/>
      <c r="AS532" s="953">
        <v>8923</v>
      </c>
    </row>
    <row r="533" spans="18:45" x14ac:dyDescent="0.45">
      <c r="R533" s="2"/>
      <c r="AS533" s="953">
        <v>8924</v>
      </c>
    </row>
    <row r="534" spans="18:45" x14ac:dyDescent="0.45">
      <c r="R534" s="2"/>
      <c r="AS534" s="953">
        <v>8925</v>
      </c>
    </row>
    <row r="535" spans="18:45" x14ac:dyDescent="0.45">
      <c r="R535" s="2"/>
      <c r="AS535" s="953">
        <v>8926</v>
      </c>
    </row>
    <row r="536" spans="18:45" x14ac:dyDescent="0.45">
      <c r="R536" s="2"/>
      <c r="AS536" s="953">
        <v>8927</v>
      </c>
    </row>
    <row r="537" spans="18:45" x14ac:dyDescent="0.45">
      <c r="R537" s="2"/>
      <c r="AS537" s="953">
        <v>8928</v>
      </c>
    </row>
    <row r="538" spans="18:45" x14ac:dyDescent="0.45">
      <c r="R538" s="2"/>
      <c r="AS538" s="953">
        <v>8929</v>
      </c>
    </row>
    <row r="539" spans="18:45" x14ac:dyDescent="0.45">
      <c r="R539" s="2"/>
      <c r="AS539" s="953">
        <v>8930</v>
      </c>
    </row>
    <row r="540" spans="18:45" x14ac:dyDescent="0.45">
      <c r="R540" s="2"/>
      <c r="AS540" s="953">
        <v>8931</v>
      </c>
    </row>
    <row r="541" spans="18:45" x14ac:dyDescent="0.45">
      <c r="R541" s="2"/>
      <c r="AS541" s="953">
        <v>8932</v>
      </c>
    </row>
    <row r="542" spans="18:45" x14ac:dyDescent="0.45">
      <c r="R542" s="2"/>
      <c r="AS542" s="953">
        <v>8951</v>
      </c>
    </row>
    <row r="543" spans="18:45" x14ac:dyDescent="0.45">
      <c r="R543" s="2"/>
      <c r="AS543" s="953">
        <v>9351</v>
      </c>
    </row>
    <row r="544" spans="18:45" x14ac:dyDescent="0.45">
      <c r="R544" s="2"/>
      <c r="AS544" s="953" t="s">
        <v>2837</v>
      </c>
    </row>
    <row r="545" spans="18:18" x14ac:dyDescent="0.45">
      <c r="R545" s="2"/>
    </row>
    <row r="546" spans="18:18" x14ac:dyDescent="0.45">
      <c r="R546" s="2"/>
    </row>
  </sheetData>
  <mergeCells count="24">
    <mergeCell ref="A288:Q288"/>
    <mergeCell ref="A1:D2"/>
    <mergeCell ref="E1:G1"/>
    <mergeCell ref="H1:N1"/>
    <mergeCell ref="P1:Q1"/>
    <mergeCell ref="A281:Q281"/>
    <mergeCell ref="A282:Q282"/>
    <mergeCell ref="A283:Q283"/>
    <mergeCell ref="A284:Q284"/>
    <mergeCell ref="A285:Q285"/>
    <mergeCell ref="A286:Q286"/>
    <mergeCell ref="A287:Q287"/>
    <mergeCell ref="A300:Q300"/>
    <mergeCell ref="A289:Q289"/>
    <mergeCell ref="A290:Q290"/>
    <mergeCell ref="A291:Q291"/>
    <mergeCell ref="A292:Q292"/>
    <mergeCell ref="A293:Q293"/>
    <mergeCell ref="A294:Q294"/>
    <mergeCell ref="A295:Q295"/>
    <mergeCell ref="A296:Q296"/>
    <mergeCell ref="A297:Q297"/>
    <mergeCell ref="A298:Q298"/>
    <mergeCell ref="A299:Q299"/>
  </mergeCells>
  <pageMargins left="0.25" right="0.25" top="1" bottom="0.25" header="0.05" footer="0.05"/>
  <pageSetup paperSize="3" scale="88"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BCDF6-4D04-4497-ABF3-64CB9C4C6C28}">
  <dimension ref="A1:G18"/>
  <sheetViews>
    <sheetView workbookViewId="0">
      <selection activeCell="C4" sqref="C4"/>
    </sheetView>
  </sheetViews>
  <sheetFormatPr defaultRowHeight="14.25" x14ac:dyDescent="0.45"/>
  <cols>
    <col min="2" max="5" width="23.86328125" customWidth="1"/>
    <col min="6" max="6" width="29.1328125" customWidth="1"/>
    <col min="7" max="7" width="11.86328125" customWidth="1"/>
  </cols>
  <sheetData>
    <row r="1" spans="1:7" ht="14.65" thickBot="1" x14ac:dyDescent="0.5">
      <c r="A1" s="1516" t="s">
        <v>2838</v>
      </c>
      <c r="B1" s="1516"/>
      <c r="C1" s="1516"/>
      <c r="D1" s="1516"/>
      <c r="E1" s="1516"/>
      <c r="F1" s="1516"/>
    </row>
    <row r="2" spans="1:7" ht="14.65" thickBot="1" x14ac:dyDescent="0.5">
      <c r="A2" s="967" t="s">
        <v>2839</v>
      </c>
      <c r="B2" s="955" t="s">
        <v>2840</v>
      </c>
      <c r="C2" s="955" t="s">
        <v>2841</v>
      </c>
      <c r="D2" s="955" t="s">
        <v>2842</v>
      </c>
      <c r="E2" s="955" t="s">
        <v>2843</v>
      </c>
      <c r="F2" s="967" t="s">
        <v>2844</v>
      </c>
    </row>
    <row r="3" spans="1:7" ht="114.4" thickBot="1" x14ac:dyDescent="0.5">
      <c r="A3" s="956" t="s">
        <v>2845</v>
      </c>
      <c r="B3" s="956" t="s">
        <v>2846</v>
      </c>
      <c r="C3" s="956" t="s">
        <v>2847</v>
      </c>
      <c r="D3" s="956" t="s">
        <v>2848</v>
      </c>
      <c r="E3" s="956" t="s">
        <v>2849</v>
      </c>
      <c r="F3" s="956" t="s">
        <v>2850</v>
      </c>
      <c r="G3" s="957"/>
    </row>
    <row r="4" spans="1:7" ht="71.650000000000006" thickBot="1" x14ac:dyDescent="0.5">
      <c r="A4" s="958" t="s">
        <v>2545</v>
      </c>
      <c r="B4" s="959" t="s">
        <v>2851</v>
      </c>
      <c r="C4" s="959" t="s">
        <v>2852</v>
      </c>
      <c r="D4" s="959" t="s">
        <v>2848</v>
      </c>
      <c r="E4" s="959" t="s">
        <v>2849</v>
      </c>
      <c r="F4" s="959" t="s">
        <v>2853</v>
      </c>
    </row>
    <row r="5" spans="1:7" ht="100.15" thickBot="1" x14ac:dyDescent="0.5">
      <c r="A5" s="958" t="s">
        <v>2854</v>
      </c>
      <c r="B5" s="959" t="s">
        <v>2855</v>
      </c>
      <c r="C5" s="959" t="s">
        <v>2856</v>
      </c>
      <c r="D5" s="959" t="s">
        <v>2857</v>
      </c>
      <c r="E5" s="959" t="s">
        <v>2858</v>
      </c>
      <c r="F5" s="959" t="s">
        <v>2859</v>
      </c>
    </row>
    <row r="6" spans="1:7" ht="85.9" thickBot="1" x14ac:dyDescent="0.5">
      <c r="A6" s="956" t="s">
        <v>2537</v>
      </c>
      <c r="B6" s="960" t="s">
        <v>2860</v>
      </c>
      <c r="C6" s="960" t="s">
        <v>2861</v>
      </c>
      <c r="D6" s="956" t="s">
        <v>2862</v>
      </c>
      <c r="E6" s="960" t="s">
        <v>2863</v>
      </c>
      <c r="F6" s="956" t="s">
        <v>2864</v>
      </c>
    </row>
    <row r="7" spans="1:7" x14ac:dyDescent="0.45">
      <c r="A7" s="961"/>
    </row>
    <row r="8" spans="1:7" ht="366.75" customHeight="1" x14ac:dyDescent="0.45">
      <c r="A8" s="1406" t="s">
        <v>2865</v>
      </c>
      <c r="B8" s="1406"/>
      <c r="C8" s="1406"/>
      <c r="D8" s="1406"/>
      <c r="E8" s="1406"/>
      <c r="F8" s="962"/>
    </row>
    <row r="9" spans="1:7" ht="192" customHeight="1" x14ac:dyDescent="0.45">
      <c r="A9" s="1513" t="s">
        <v>2866</v>
      </c>
      <c r="B9" s="1514"/>
      <c r="C9" s="1514"/>
      <c r="D9" s="1514"/>
      <c r="E9" s="1514"/>
      <c r="F9" s="964" t="s">
        <v>2867</v>
      </c>
    </row>
    <row r="10" spans="1:7" ht="210" customHeight="1" x14ac:dyDescent="0.45">
      <c r="A10" s="1513" t="s">
        <v>2868</v>
      </c>
      <c r="B10" s="1514"/>
      <c r="C10" s="1514"/>
      <c r="D10" s="1514"/>
      <c r="E10" s="1514"/>
      <c r="F10" s="965" t="s">
        <v>2869</v>
      </c>
    </row>
    <row r="11" spans="1:7" ht="128.25" x14ac:dyDescent="0.45">
      <c r="A11" s="1513" t="s">
        <v>2870</v>
      </c>
      <c r="B11" s="1514"/>
      <c r="C11" s="1514"/>
      <c r="D11" s="1514"/>
      <c r="E11" s="1514"/>
      <c r="F11" s="966" t="s">
        <v>2871</v>
      </c>
    </row>
    <row r="12" spans="1:7" ht="75.75" customHeight="1" x14ac:dyDescent="0.45">
      <c r="A12" s="1517" t="s">
        <v>2872</v>
      </c>
      <c r="B12" s="1518"/>
      <c r="C12" s="1518"/>
      <c r="D12" s="1518"/>
      <c r="E12" s="1519"/>
      <c r="F12" s="966" t="s">
        <v>2873</v>
      </c>
    </row>
    <row r="13" spans="1:7" ht="133.5" customHeight="1" x14ac:dyDescent="0.45">
      <c r="A13" s="1513" t="s">
        <v>2874</v>
      </c>
      <c r="B13" s="1514"/>
      <c r="C13" s="1514"/>
      <c r="D13" s="1514"/>
      <c r="E13" s="1514"/>
      <c r="F13" s="777"/>
    </row>
    <row r="14" spans="1:7" ht="150" customHeight="1" x14ac:dyDescent="0.45">
      <c r="A14" s="1406" t="s">
        <v>2875</v>
      </c>
      <c r="B14" s="1446"/>
      <c r="C14" s="1446"/>
      <c r="D14" s="1446"/>
      <c r="E14" s="1446"/>
      <c r="F14" s="58"/>
    </row>
    <row r="15" spans="1:7" ht="22.5" customHeight="1" x14ac:dyDescent="0.45">
      <c r="A15" s="1515" t="s">
        <v>2876</v>
      </c>
      <c r="B15" s="1515"/>
      <c r="C15" s="1515"/>
      <c r="D15" s="1515"/>
      <c r="E15" s="1515"/>
      <c r="F15" s="1515"/>
    </row>
    <row r="16" spans="1:7" ht="18" customHeight="1" x14ac:dyDescent="0.45">
      <c r="A16" s="1406" t="s">
        <v>2877</v>
      </c>
      <c r="B16" s="1406"/>
      <c r="C16" s="1406"/>
      <c r="D16" s="1406"/>
      <c r="E16" s="1406"/>
      <c r="F16" s="1406"/>
    </row>
    <row r="17" spans="1:6" ht="78.75" customHeight="1" x14ac:dyDescent="0.45">
      <c r="A17" s="1406" t="s">
        <v>2878</v>
      </c>
      <c r="B17" s="1406"/>
      <c r="C17" s="1406"/>
      <c r="D17" s="1406"/>
      <c r="E17" s="1406"/>
      <c r="F17" s="1406"/>
    </row>
    <row r="18" spans="1:6" ht="60" customHeight="1" x14ac:dyDescent="0.45">
      <c r="A18" s="1406" t="s">
        <v>2879</v>
      </c>
      <c r="B18" s="1406"/>
      <c r="C18" s="1406"/>
      <c r="D18" s="1406"/>
      <c r="E18" s="1406"/>
      <c r="F18" s="1406"/>
    </row>
  </sheetData>
  <mergeCells count="12">
    <mergeCell ref="A18:F18"/>
    <mergeCell ref="A1:F1"/>
    <mergeCell ref="A8:E8"/>
    <mergeCell ref="A9:E9"/>
    <mergeCell ref="A10:E10"/>
    <mergeCell ref="A11:E11"/>
    <mergeCell ref="A12:E12"/>
    <mergeCell ref="A13:E13"/>
    <mergeCell ref="A14:E14"/>
    <mergeCell ref="A15:F15"/>
    <mergeCell ref="A16:F16"/>
    <mergeCell ref="A17:F17"/>
  </mergeCell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D796-1DCC-4456-A15E-9B4BE19C9559}">
  <sheetPr>
    <pageSetUpPr fitToPage="1"/>
  </sheetPr>
  <dimension ref="A1"/>
  <sheetViews>
    <sheetView workbookViewId="0">
      <selection activeCell="X68" sqref="X68"/>
    </sheetView>
  </sheetViews>
  <sheetFormatPr defaultRowHeight="14.25" x14ac:dyDescent="0.45"/>
  <sheetData/>
  <pageMargins left="0.7" right="0.7" top="0.75" bottom="0.75" header="0.3" footer="0.3"/>
  <pageSetup scale="5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89B9-628D-4555-A497-48BDC7A8DF7A}">
  <sheetPr>
    <pageSetUpPr fitToPage="1"/>
  </sheetPr>
  <dimension ref="A1:O88"/>
  <sheetViews>
    <sheetView workbookViewId="0">
      <selection activeCell="B13" sqref="B13"/>
    </sheetView>
  </sheetViews>
  <sheetFormatPr defaultRowHeight="14.25" x14ac:dyDescent="0.45"/>
  <cols>
    <col min="1" max="1" width="16.1328125" style="974" customWidth="1"/>
    <col min="2" max="2" width="28.3984375" style="974" customWidth="1"/>
  </cols>
  <sheetData>
    <row r="1" spans="1:2" ht="39" customHeight="1" x14ac:dyDescent="0.55000000000000004">
      <c r="A1" s="1521" t="s">
        <v>2880</v>
      </c>
      <c r="B1" s="1521"/>
    </row>
    <row r="2" spans="1:2" ht="15.75" x14ac:dyDescent="0.5">
      <c r="A2" s="968" t="s">
        <v>2881</v>
      </c>
      <c r="B2" s="968" t="s">
        <v>2882</v>
      </c>
    </row>
    <row r="3" spans="1:2" s="961" customFormat="1" x14ac:dyDescent="0.45">
      <c r="A3" s="969" t="s">
        <v>2883</v>
      </c>
      <c r="B3" s="969" t="s">
        <v>2884</v>
      </c>
    </row>
    <row r="4" spans="1:2" s="961" customFormat="1" ht="42.75" x14ac:dyDescent="0.45">
      <c r="A4" s="969" t="s">
        <v>2885</v>
      </c>
      <c r="B4" s="965" t="s">
        <v>2886</v>
      </c>
    </row>
    <row r="5" spans="1:2" s="961" customFormat="1" ht="28.5" x14ac:dyDescent="0.45">
      <c r="A5" s="969" t="s">
        <v>2887</v>
      </c>
      <c r="B5" s="965" t="s">
        <v>2888</v>
      </c>
    </row>
    <row r="6" spans="1:2" s="961" customFormat="1" x14ac:dyDescent="0.45">
      <c r="A6" s="969" t="s">
        <v>2545</v>
      </c>
      <c r="B6" s="969" t="s">
        <v>2889</v>
      </c>
    </row>
    <row r="7" spans="1:2" s="961" customFormat="1" x14ac:dyDescent="0.45">
      <c r="A7" s="969" t="s">
        <v>2890</v>
      </c>
      <c r="B7" s="969" t="s">
        <v>2884</v>
      </c>
    </row>
    <row r="8" spans="1:2" s="961" customFormat="1" x14ac:dyDescent="0.45">
      <c r="A8" s="969" t="s">
        <v>2891</v>
      </c>
      <c r="B8" s="969" t="s">
        <v>2884</v>
      </c>
    </row>
    <row r="9" spans="1:2" s="961" customFormat="1" ht="15.75" x14ac:dyDescent="0.45">
      <c r="A9" s="969" t="s">
        <v>2892</v>
      </c>
      <c r="B9" s="969" t="s">
        <v>2893</v>
      </c>
    </row>
    <row r="10" spans="1:2" s="961" customFormat="1" x14ac:dyDescent="0.45">
      <c r="A10" s="969" t="s">
        <v>2894</v>
      </c>
      <c r="B10" s="969" t="s">
        <v>2893</v>
      </c>
    </row>
    <row r="11" spans="1:2" s="961" customFormat="1" x14ac:dyDescent="0.45">
      <c r="A11" s="969" t="s">
        <v>2895</v>
      </c>
      <c r="B11" s="969" t="s">
        <v>2884</v>
      </c>
    </row>
    <row r="12" spans="1:2" s="961" customFormat="1" x14ac:dyDescent="0.45">
      <c r="A12" s="969" t="s">
        <v>2896</v>
      </c>
      <c r="B12" s="969" t="s">
        <v>2893</v>
      </c>
    </row>
    <row r="13" spans="1:2" s="961" customFormat="1" x14ac:dyDescent="0.45">
      <c r="A13" s="969" t="s">
        <v>2537</v>
      </c>
      <c r="B13" s="969" t="s">
        <v>2884</v>
      </c>
    </row>
    <row r="14" spans="1:2" s="961" customFormat="1" x14ac:dyDescent="0.45">
      <c r="A14" s="969" t="s">
        <v>2897</v>
      </c>
      <c r="B14" s="969" t="s">
        <v>2898</v>
      </c>
    </row>
    <row r="15" spans="1:2" s="961" customFormat="1" x14ac:dyDescent="0.45">
      <c r="B15" s="970"/>
    </row>
    <row r="16" spans="1:2" s="961" customFormat="1" ht="15.75" x14ac:dyDescent="0.45">
      <c r="A16" s="971" t="s">
        <v>2899</v>
      </c>
      <c r="B16" s="970"/>
    </row>
    <row r="17" spans="1:15" s="961" customFormat="1" x14ac:dyDescent="0.45">
      <c r="A17" s="972" t="s">
        <v>2900</v>
      </c>
      <c r="B17" s="970"/>
    </row>
    <row r="18" spans="1:15" s="961" customFormat="1" x14ac:dyDescent="0.45">
      <c r="A18" s="971" t="s">
        <v>2901</v>
      </c>
      <c r="B18" s="970"/>
    </row>
    <row r="19" spans="1:15" s="961" customFormat="1" x14ac:dyDescent="0.45">
      <c r="A19" s="971" t="s">
        <v>2902</v>
      </c>
      <c r="B19" s="970"/>
    </row>
    <row r="20" spans="1:15" s="961" customFormat="1" ht="30.75" customHeight="1" x14ac:dyDescent="0.45">
      <c r="A20" s="1520" t="s">
        <v>2903</v>
      </c>
      <c r="B20" s="1520"/>
      <c r="C20" s="1520"/>
      <c r="D20" s="1520"/>
      <c r="E20" s="1520"/>
      <c r="F20" s="1520"/>
      <c r="G20" s="1520"/>
      <c r="H20" s="1520"/>
      <c r="I20" s="971"/>
      <c r="J20" s="971"/>
      <c r="K20" s="971"/>
      <c r="L20" s="971"/>
      <c r="M20" s="971"/>
      <c r="N20" s="971"/>
      <c r="O20" s="971"/>
    </row>
    <row r="21" spans="1:15" s="961" customFormat="1" x14ac:dyDescent="0.45">
      <c r="A21" s="971" t="s">
        <v>2904</v>
      </c>
      <c r="B21" s="970"/>
    </row>
    <row r="22" spans="1:15" s="961" customFormat="1" x14ac:dyDescent="0.45">
      <c r="A22" s="971" t="s">
        <v>2905</v>
      </c>
      <c r="B22" s="970"/>
    </row>
    <row r="23" spans="1:15" s="961" customFormat="1" x14ac:dyDescent="0.45">
      <c r="A23" s="971"/>
      <c r="B23" s="970"/>
    </row>
    <row r="24" spans="1:15" s="961" customFormat="1" x14ac:dyDescent="0.45">
      <c r="A24" s="972" t="s">
        <v>2906</v>
      </c>
      <c r="B24" s="970"/>
    </row>
    <row r="25" spans="1:15" s="961" customFormat="1" x14ac:dyDescent="0.45">
      <c r="A25" s="971" t="s">
        <v>2907</v>
      </c>
      <c r="B25" s="970"/>
    </row>
    <row r="26" spans="1:15" s="961" customFormat="1" ht="45" customHeight="1" x14ac:dyDescent="0.45">
      <c r="A26" s="1520" t="s">
        <v>2908</v>
      </c>
      <c r="B26" s="1520"/>
      <c r="C26" s="1520"/>
      <c r="D26" s="1520"/>
      <c r="E26" s="1520"/>
      <c r="F26" s="1520"/>
      <c r="G26" s="1520"/>
    </row>
    <row r="27" spans="1:15" s="961" customFormat="1" x14ac:dyDescent="0.45">
      <c r="A27" s="971" t="s">
        <v>2909</v>
      </c>
      <c r="B27" s="970"/>
    </row>
    <row r="28" spans="1:15" s="961" customFormat="1" x14ac:dyDescent="0.45">
      <c r="A28" s="971" t="s">
        <v>2910</v>
      </c>
      <c r="B28" s="970"/>
    </row>
    <row r="29" spans="1:15" x14ac:dyDescent="0.45">
      <c r="A29" s="971" t="s">
        <v>2911</v>
      </c>
    </row>
    <row r="30" spans="1:15" ht="45" customHeight="1" x14ac:dyDescent="0.45">
      <c r="A30" s="1520" t="s">
        <v>2912</v>
      </c>
      <c r="B30" s="1520"/>
      <c r="C30" s="1520"/>
      <c r="D30" s="1520"/>
      <c r="E30" s="1520"/>
      <c r="F30" s="1520"/>
      <c r="G30" s="1520"/>
      <c r="H30" s="1520"/>
    </row>
    <row r="31" spans="1:15" x14ac:dyDescent="0.45">
      <c r="A31" s="971"/>
    </row>
    <row r="32" spans="1:15" x14ac:dyDescent="0.45">
      <c r="A32" s="972" t="s">
        <v>2913</v>
      </c>
    </row>
    <row r="33" spans="1:8" ht="30" customHeight="1" x14ac:dyDescent="0.45">
      <c r="A33" s="1520" t="s">
        <v>2914</v>
      </c>
      <c r="B33" s="1520"/>
      <c r="C33" s="1520"/>
      <c r="D33" s="1520"/>
      <c r="E33" s="1520"/>
      <c r="F33" s="1520"/>
      <c r="G33" s="1520"/>
      <c r="H33" s="1520"/>
    </row>
    <row r="34" spans="1:8" x14ac:dyDescent="0.45">
      <c r="A34" s="971"/>
    </row>
    <row r="35" spans="1:8" x14ac:dyDescent="0.45">
      <c r="A35" s="972" t="s">
        <v>2915</v>
      </c>
    </row>
    <row r="36" spans="1:8" ht="33.6" customHeight="1" x14ac:dyDescent="0.45">
      <c r="A36" s="1520" t="s">
        <v>2916</v>
      </c>
      <c r="B36" s="1520"/>
      <c r="C36" s="1520"/>
      <c r="D36" s="1520"/>
      <c r="E36" s="1520"/>
      <c r="F36" s="1520"/>
      <c r="G36" s="1520"/>
      <c r="H36" s="1520"/>
    </row>
    <row r="37" spans="1:8" x14ac:dyDescent="0.45">
      <c r="A37" s="971"/>
      <c r="D37" s="975"/>
    </row>
    <row r="38" spans="1:8" x14ac:dyDescent="0.45">
      <c r="A38" s="972" t="s">
        <v>2917</v>
      </c>
    </row>
    <row r="39" spans="1:8" ht="30" customHeight="1" x14ac:dyDescent="0.45">
      <c r="A39" s="1520" t="s">
        <v>2918</v>
      </c>
      <c r="B39" s="1520"/>
      <c r="C39" s="1520"/>
      <c r="D39" s="1520"/>
      <c r="E39" s="1520"/>
      <c r="F39" s="1520"/>
      <c r="G39" s="1520"/>
      <c r="H39" s="1520"/>
    </row>
    <row r="40" spans="1:8" x14ac:dyDescent="0.45">
      <c r="A40" s="971"/>
    </row>
    <row r="41" spans="1:8" x14ac:dyDescent="0.45">
      <c r="A41" s="972" t="s">
        <v>2919</v>
      </c>
    </row>
    <row r="42" spans="1:8" ht="45" customHeight="1" x14ac:dyDescent="0.45">
      <c r="A42" s="1520" t="s">
        <v>2920</v>
      </c>
      <c r="B42" s="1520"/>
      <c r="C42" s="1520"/>
      <c r="D42" s="1520"/>
      <c r="E42" s="1520"/>
      <c r="F42" s="1520"/>
      <c r="G42" s="1520"/>
      <c r="H42" s="1520"/>
    </row>
    <row r="43" spans="1:8" x14ac:dyDescent="0.45">
      <c r="A43" s="971"/>
    </row>
    <row r="44" spans="1:8" x14ac:dyDescent="0.45">
      <c r="A44" s="972" t="s">
        <v>2921</v>
      </c>
    </row>
    <row r="45" spans="1:8" ht="30" customHeight="1" x14ac:dyDescent="0.45">
      <c r="A45" s="1520" t="s">
        <v>2922</v>
      </c>
      <c r="B45" s="1520"/>
      <c r="C45" s="1520"/>
      <c r="D45" s="1520"/>
      <c r="E45" s="1520"/>
      <c r="F45" s="1520"/>
      <c r="G45" s="1520"/>
      <c r="H45" s="1520"/>
    </row>
    <row r="46" spans="1:8" x14ac:dyDescent="0.45">
      <c r="A46" s="971" t="s">
        <v>2923</v>
      </c>
    </row>
    <row r="47" spans="1:8" x14ac:dyDescent="0.45">
      <c r="A47" s="971" t="s">
        <v>2924</v>
      </c>
    </row>
    <row r="48" spans="1:8" x14ac:dyDescent="0.45">
      <c r="A48" s="971" t="s">
        <v>2925</v>
      </c>
    </row>
    <row r="49" spans="1:8" x14ac:dyDescent="0.45">
      <c r="A49" s="971" t="s">
        <v>2926</v>
      </c>
    </row>
    <row r="50" spans="1:8" x14ac:dyDescent="0.45">
      <c r="A50" s="971" t="s">
        <v>2927</v>
      </c>
    </row>
    <row r="51" spans="1:8" x14ac:dyDescent="0.45">
      <c r="A51" s="971"/>
    </row>
    <row r="52" spans="1:8" x14ac:dyDescent="0.45">
      <c r="A52" s="972" t="s">
        <v>2928</v>
      </c>
    </row>
    <row r="53" spans="1:8" ht="30" customHeight="1" x14ac:dyDescent="0.45">
      <c r="A53" s="1520" t="s">
        <v>2929</v>
      </c>
      <c r="B53" s="1520"/>
      <c r="C53" s="1520"/>
      <c r="D53" s="1520"/>
      <c r="E53" s="1520"/>
      <c r="F53" s="1520"/>
      <c r="G53" s="1520"/>
      <c r="H53" s="1520"/>
    </row>
    <row r="54" spans="1:8" x14ac:dyDescent="0.45">
      <c r="A54" s="971" t="s">
        <v>2930</v>
      </c>
    </row>
    <row r="55" spans="1:8" x14ac:dyDescent="0.45">
      <c r="A55" s="971" t="s">
        <v>2931</v>
      </c>
    </row>
    <row r="56" spans="1:8" x14ac:dyDescent="0.45">
      <c r="A56" s="971" t="s">
        <v>2932</v>
      </c>
    </row>
    <row r="57" spans="1:8" x14ac:dyDescent="0.45">
      <c r="A57" s="971"/>
    </row>
    <row r="58" spans="1:8" x14ac:dyDescent="0.45">
      <c r="A58" s="972" t="s">
        <v>2933</v>
      </c>
    </row>
    <row r="59" spans="1:8" x14ac:dyDescent="0.45">
      <c r="A59" s="971" t="s">
        <v>2934</v>
      </c>
    </row>
    <row r="60" spans="1:8" x14ac:dyDescent="0.45">
      <c r="A60" s="971"/>
    </row>
    <row r="61" spans="1:8" x14ac:dyDescent="0.45">
      <c r="A61" s="972" t="s">
        <v>2935</v>
      </c>
    </row>
    <row r="62" spans="1:8" ht="30" customHeight="1" x14ac:dyDescent="0.45">
      <c r="A62" s="1520" t="s">
        <v>2936</v>
      </c>
      <c r="B62" s="1520"/>
      <c r="C62" s="1520"/>
      <c r="D62" s="1520"/>
      <c r="E62" s="1520"/>
      <c r="F62" s="1520"/>
      <c r="G62" s="1520"/>
      <c r="H62" s="1520"/>
    </row>
    <row r="63" spans="1:8" x14ac:dyDescent="0.45">
      <c r="A63" s="971" t="s">
        <v>2937</v>
      </c>
    </row>
    <row r="64" spans="1:8" ht="78" customHeight="1" x14ac:dyDescent="0.45">
      <c r="A64" s="1520" t="s">
        <v>2938</v>
      </c>
      <c r="B64" s="1520"/>
      <c r="C64" s="1520"/>
      <c r="D64" s="1520"/>
      <c r="E64" s="1520"/>
      <c r="F64" s="1520"/>
      <c r="G64" s="1520"/>
      <c r="H64" s="1520"/>
    </row>
    <row r="65" spans="1:8" ht="14.25" customHeight="1" x14ac:dyDescent="0.45">
      <c r="A65" s="973"/>
      <c r="B65" s="973"/>
      <c r="C65" s="973"/>
      <c r="D65" s="973"/>
      <c r="E65" s="973"/>
      <c r="F65" s="973"/>
      <c r="G65" s="973"/>
      <c r="H65" s="973"/>
    </row>
    <row r="66" spans="1:8" x14ac:dyDescent="0.45">
      <c r="A66" s="972" t="s">
        <v>2876</v>
      </c>
    </row>
    <row r="67" spans="1:8" x14ac:dyDescent="0.45">
      <c r="A67" s="971" t="s">
        <v>2939</v>
      </c>
    </row>
    <row r="68" spans="1:8" x14ac:dyDescent="0.45">
      <c r="A68" s="971" t="s">
        <v>2940</v>
      </c>
    </row>
    <row r="69" spans="1:8" ht="45" customHeight="1" x14ac:dyDescent="0.45">
      <c r="A69" s="1520" t="s">
        <v>2941</v>
      </c>
      <c r="B69" s="1520"/>
      <c r="C69" s="1520"/>
      <c r="D69" s="1520"/>
      <c r="E69" s="1520"/>
      <c r="F69" s="1520"/>
      <c r="G69" s="1520"/>
      <c r="H69" s="1520"/>
    </row>
    <row r="70" spans="1:8" x14ac:dyDescent="0.45">
      <c r="A70" s="971" t="s">
        <v>2942</v>
      </c>
    </row>
    <row r="71" spans="1:8" x14ac:dyDescent="0.45">
      <c r="A71" s="971" t="s">
        <v>2943</v>
      </c>
    </row>
    <row r="88" ht="14.25" customHeight="1" x14ac:dyDescent="0.45"/>
  </sheetData>
  <mergeCells count="13">
    <mergeCell ref="A36:H36"/>
    <mergeCell ref="A1:B1"/>
    <mergeCell ref="A20:H20"/>
    <mergeCell ref="A26:G26"/>
    <mergeCell ref="A30:H30"/>
    <mergeCell ref="A33:H33"/>
    <mergeCell ref="A69:H69"/>
    <mergeCell ref="A39:H39"/>
    <mergeCell ref="A42:H42"/>
    <mergeCell ref="A45:H45"/>
    <mergeCell ref="A53:H53"/>
    <mergeCell ref="A62:H62"/>
    <mergeCell ref="A64:H64"/>
  </mergeCells>
  <pageMargins left="0.7" right="0.7" top="0.75" bottom="0.75" header="0.3" footer="0.3"/>
  <pageSetup scale="93" fitToHeight="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B20BE-BCD0-4F0D-A362-CD6DE6D9B54F}">
  <dimension ref="A1:A9"/>
  <sheetViews>
    <sheetView workbookViewId="0">
      <selection activeCell="A2" sqref="A2"/>
    </sheetView>
  </sheetViews>
  <sheetFormatPr defaultRowHeight="14.25" x14ac:dyDescent="0.45"/>
  <cols>
    <col min="1" max="1" width="109.86328125" customWidth="1"/>
  </cols>
  <sheetData>
    <row r="1" spans="1:1" ht="18" x14ac:dyDescent="0.55000000000000004">
      <c r="A1" s="976" t="s">
        <v>2944</v>
      </c>
    </row>
    <row r="2" spans="1:1" ht="58.5" x14ac:dyDescent="0.45">
      <c r="A2" s="975" t="s">
        <v>2945</v>
      </c>
    </row>
    <row r="3" spans="1:1" x14ac:dyDescent="0.45">
      <c r="A3" s="975"/>
    </row>
    <row r="4" spans="1:1" ht="15.75" x14ac:dyDescent="0.45">
      <c r="A4" s="975" t="s">
        <v>2946</v>
      </c>
    </row>
    <row r="5" spans="1:1" x14ac:dyDescent="0.45">
      <c r="A5" s="975" t="s">
        <v>85</v>
      </c>
    </row>
    <row r="6" spans="1:1" ht="30" x14ac:dyDescent="0.45">
      <c r="A6" s="975" t="s">
        <v>2947</v>
      </c>
    </row>
    <row r="7" spans="1:1" ht="15.75" x14ac:dyDescent="0.45">
      <c r="A7" s="975" t="s">
        <v>2948</v>
      </c>
    </row>
    <row r="9" spans="1:1" ht="64.5" customHeight="1" x14ac:dyDescent="0.4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0</xdr:col>
                <xdr:colOff>571500</xdr:colOff>
                <xdr:row>8</xdr:row>
                <xdr:rowOff>104775</xdr:rowOff>
              </from>
              <to>
                <xdr:col>0</xdr:col>
                <xdr:colOff>1485900</xdr:colOff>
                <xdr:row>8</xdr:row>
                <xdr:rowOff>790575</xdr:rowOff>
              </to>
            </anchor>
          </objectPr>
        </oleObject>
      </mc:Choice>
      <mc:Fallback>
        <oleObject progId="Acrobat Document" dvAspect="DVASPECT_ICON"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DD32-4DC3-4B5E-B7CA-84212E43B8D4}">
  <sheetPr>
    <pageSetUpPr fitToPage="1"/>
  </sheetPr>
  <dimension ref="A1:B7"/>
  <sheetViews>
    <sheetView workbookViewId="0">
      <selection activeCell="B6" sqref="B6"/>
    </sheetView>
  </sheetViews>
  <sheetFormatPr defaultRowHeight="14.25" x14ac:dyDescent="0.45"/>
  <cols>
    <col min="1" max="1" width="14.86328125" style="975" customWidth="1"/>
    <col min="2" max="2" width="93.1328125" style="975" customWidth="1"/>
  </cols>
  <sheetData>
    <row r="1" spans="1:2" ht="24.75" customHeight="1" x14ac:dyDescent="0.55000000000000004">
      <c r="A1" s="1522" t="s">
        <v>2949</v>
      </c>
      <c r="B1" s="1522"/>
    </row>
    <row r="2" spans="1:2" x14ac:dyDescent="0.45">
      <c r="A2" s="963" t="s">
        <v>2950</v>
      </c>
      <c r="B2" s="963" t="s">
        <v>2951</v>
      </c>
    </row>
    <row r="3" spans="1:2" ht="36.75" customHeight="1" x14ac:dyDescent="0.45">
      <c r="A3" s="963" t="s">
        <v>2952</v>
      </c>
      <c r="B3" s="963" t="s">
        <v>2953</v>
      </c>
    </row>
    <row r="4" spans="1:2" ht="63" customHeight="1" x14ac:dyDescent="0.45">
      <c r="A4" s="963" t="s">
        <v>2954</v>
      </c>
      <c r="B4" s="963" t="s">
        <v>2955</v>
      </c>
    </row>
    <row r="5" spans="1:2" ht="57" x14ac:dyDescent="0.45">
      <c r="A5" s="963" t="s">
        <v>2956</v>
      </c>
      <c r="B5" s="963" t="s">
        <v>2957</v>
      </c>
    </row>
    <row r="6" spans="1:2" ht="57" x14ac:dyDescent="0.45">
      <c r="A6" s="963" t="s">
        <v>2958</v>
      </c>
      <c r="B6" s="963" t="s">
        <v>2959</v>
      </c>
    </row>
    <row r="7" spans="1:2" ht="114" x14ac:dyDescent="0.45">
      <c r="A7" s="963" t="s">
        <v>2960</v>
      </c>
      <c r="B7" s="963" t="s">
        <v>2961</v>
      </c>
    </row>
  </sheetData>
  <mergeCells count="1">
    <mergeCell ref="A1:B1"/>
  </mergeCells>
  <pageMargins left="0.7" right="0.7" top="0.75" bottom="0.75" header="0.3" footer="0.3"/>
  <pageSetup scale="8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PUC Calculations FY2023</vt:lpstr>
      <vt:lpstr>2023 MILCON Inflation Table</vt:lpstr>
      <vt:lpstr>Mil Cost Premiums for PUCs</vt:lpstr>
      <vt:lpstr>M&amp;S Selection Business Rule</vt:lpstr>
      <vt:lpstr>Overhead Crane Rule</vt:lpstr>
      <vt:lpstr>2023 Fire Sprinkler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'2023 MILCON Inflation Table'!Print_Area</vt:lpstr>
      <vt:lpstr>'Mil Cost Premiums for PUCs'!Print_Area</vt:lpstr>
      <vt:lpstr>'PUC Calculations FY2023'!Print_Area</vt:lpstr>
      <vt:lpstr>'Mil Cost Premiums for PUCs'!PRV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Gopal Narayan</dc:creator>
  <cp:lastModifiedBy>Gopal Narayan</cp:lastModifiedBy>
  <dcterms:created xsi:type="dcterms:W3CDTF">2023-07-21T14:11:45Z</dcterms:created>
  <dcterms:modified xsi:type="dcterms:W3CDTF">2023-07-24T17:27:19Z</dcterms:modified>
</cp:coreProperties>
</file>